
<file path=[Content_Types].xml><?xml version="1.0" encoding="utf-8"?>
<Types xmlns="http://schemas.openxmlformats.org/package/2006/content-types">
  <Override PartName="/xl/pivotCache/pivotCacheRecords38.xml" ContentType="application/vnd.openxmlformats-officedocument.spreadsheetml.pivotCacheRecords+xml"/>
  <Override PartName="/xl/pivotCache/pivotCacheDefinition52.xml" ContentType="application/vnd.openxmlformats-officedocument.spreadsheetml.pivotCacheDefinition+xml"/>
  <Override PartName="/xl/pivotTables/pivotTable6.xml" ContentType="application/vnd.openxmlformats-officedocument.spreadsheetml.pivotTable+xml"/>
  <Override PartName="/xl/worksheets/sheet13.xml" ContentType="application/vnd.openxmlformats-officedocument.spreadsheetml.worksheet+xml"/>
  <Override PartName="/xl/pivotCache/pivotCacheRecords16.xml" ContentType="application/vnd.openxmlformats-officedocument.spreadsheetml.pivotCacheRecords+xml"/>
  <Override PartName="/xl/pivotCache/pivotCacheRecords27.xml" ContentType="application/vnd.openxmlformats-officedocument.spreadsheetml.pivotCacheRecords+xml"/>
  <Override PartName="/xl/pivotCache/pivotCacheDefinition41.xml" ContentType="application/vnd.openxmlformats-officedocument.spreadsheetml.pivotCacheDefinition+xml"/>
  <Override PartName="/xl/styles.xml" ContentType="application/vnd.openxmlformats-officedocument.spreadsheetml.styles+xml"/>
  <Override PartName="/xl/pivotTables/pivotTable38.xml" ContentType="application/vnd.openxmlformats-officedocument.spreadsheetml.pivotTable+xml"/>
  <Override PartName="/xl/pivotTables/pivotTable49.xml" ContentType="application/vnd.openxmlformats-officedocument.spreadsheetml.pivotTable+xml"/>
  <Override PartName="/xl/pivotTables/pivotTable85.xml" ContentType="application/vnd.openxmlformats-officedocument.spreadsheetml.pivotTable+xml"/>
  <Override PartName="/xl/pivotTables/pivotTable96.xml" ContentType="application/vnd.openxmlformats-officedocument.spreadsheetml.pivotTable+xml"/>
  <Override PartName="/xl/pivotCache/pivotCacheDefinition30.xml" ContentType="application/vnd.openxmlformats-officedocument.spreadsheetml.pivotCacheDefinition+xml"/>
  <Override PartName="/xl/pivotCache/pivotCacheRecords52.xml" ContentType="application/vnd.openxmlformats-officedocument.spreadsheetml.pivotCacheRecords+xml"/>
  <Override PartName="/xl/pivotTables/pivotTable27.xml" ContentType="application/vnd.openxmlformats-officedocument.spreadsheetml.pivotTable+xml"/>
  <Override PartName="/xl/pivotTables/pivotTable74.xml" ContentType="application/vnd.openxmlformats-officedocument.spreadsheetml.pivotTable+xml"/>
  <Default Extension="xml" ContentType="application/xml"/>
  <Override PartName="/xl/pivotCache/pivotCacheRecords41.xml" ContentType="application/vnd.openxmlformats-officedocument.spreadsheetml.pivotCacheRecords+xml"/>
  <Override PartName="/xl/pivotTables/pivotTable16.xml" ContentType="application/vnd.openxmlformats-officedocument.spreadsheetml.pivotTable+xml"/>
  <Override PartName="/xl/pivotTables/pivotTable63.xml" ContentType="application/vnd.openxmlformats-officedocument.spreadsheetml.pivotTable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Records30.xml" ContentType="application/vnd.openxmlformats-officedocument.spreadsheetml.pivotCacheRecords+xml"/>
  <Override PartName="/xl/pivotTables/pivotTable41.xml" ContentType="application/vnd.openxmlformats-officedocument.spreadsheetml.pivotTable+xml"/>
  <Override PartName="/xl/pivotTables/pivotTable52.xml" ContentType="application/vnd.openxmlformats-officedocument.spreadsheetml.pivotTable+xml"/>
  <Override PartName="/xl/pivotTables/pivotTable108.xml" ContentType="application/vnd.openxmlformats-officedocument.spreadsheetml.pivotTable+xml"/>
  <Override PartName="/xl/pivotTables/pivotTable30.xml" ContentType="application/vnd.openxmlformats-officedocument.spreadsheetml.pivotTable+xml"/>
  <Override PartName="/xl/pivotCache/pivotCacheDefinition57.xml" ContentType="application/vnd.openxmlformats-officedocument.spreadsheetml.pivotCacheDefinition+xml"/>
  <Override PartName="/xl/worksheets/sheet18.xml" ContentType="application/vnd.openxmlformats-officedocument.spreadsheetml.worksheet+xml"/>
  <Override PartName="/xl/pivotCache/pivotCacheDefinition35.xml" ContentType="application/vnd.openxmlformats-officedocument.spreadsheetml.pivotCacheDefinition+xml"/>
  <Override PartName="/xl/pivotCache/pivotCacheDefinition46.xml" ContentType="application/vnd.openxmlformats-officedocument.spreadsheetml.pivotCacheDefinition+xml"/>
  <Override PartName="/xl/pivotTables/pivotTable100.xml" ContentType="application/vnd.openxmlformats-officedocument.spreadsheetml.pivotTable+xml"/>
  <Override PartName="/xl/pivotTables/pivotTable111.xml" ContentType="application/vnd.openxmlformats-officedocument.spreadsheetml.pivotTable+xml"/>
  <Override PartName="/xl/pivotCache/pivotCacheDefinition24.xml" ContentType="application/vnd.openxmlformats-officedocument.spreadsheetml.pivotCacheDefinition+xml"/>
  <Override PartName="/xl/pivotCache/pivotCacheRecords57.xml" ContentType="application/vnd.openxmlformats-officedocument.spreadsheetml.pivotCacheRecords+xml"/>
  <Override PartName="/xl/pivotTables/pivotTable79.xml" ContentType="application/vnd.openxmlformats-officedocument.spreadsheetml.pivotTable+xml"/>
  <Override PartName="/xl/pivotCache/pivotCacheDefinition13.xml" ContentType="application/vnd.openxmlformats-officedocument.spreadsheetml.pivotCacheDefinition+xml"/>
  <Override PartName="/xl/pivotCache/pivotCacheRecords35.xml" ContentType="application/vnd.openxmlformats-officedocument.spreadsheetml.pivotCacheRecords+xml"/>
  <Override PartName="/xl/pivotCache/pivotCacheRecords46.xml" ContentType="application/vnd.openxmlformats-officedocument.spreadsheetml.pivotCacheRecords+xml"/>
  <Override PartName="/xl/pivotCache/pivotCacheDefinition60.xml" ContentType="application/vnd.openxmlformats-officedocument.spreadsheetml.pivotCacheDefinition+xml"/>
  <Override PartName="/xl/pivotTables/pivotTable3.xml" ContentType="application/vnd.openxmlformats-officedocument.spreadsheetml.pivotTable+xml"/>
  <Override PartName="/xl/pivotTables/pivotTable57.xml" ContentType="application/vnd.openxmlformats-officedocument.spreadsheetml.pivotTable+xml"/>
  <Override PartName="/xl/pivotTables/pivotTable68.xml" ContentType="application/vnd.openxmlformats-officedocument.spreadsheetml.pivotTable+xml"/>
  <Override PartName="/xl/worksheets/sheet8.xml" ContentType="application/vnd.openxmlformats-officedocument.spreadsheetml.worksheet+xml"/>
  <Override PartName="/xl/pivotCache/pivotCacheDefinition7.xml" ContentType="application/vnd.openxmlformats-officedocument.spreadsheetml.pivotCacheDefinition+xml"/>
  <Override PartName="/xl/pivotCache/pivotCacheRecords24.xml" ContentType="application/vnd.openxmlformats-officedocument.spreadsheetml.pivotCacheRecords+xml"/>
  <Override PartName="/xl/pivotTables/pivotTable46.xml" ContentType="application/vnd.openxmlformats-officedocument.spreadsheetml.pivotTable+xml"/>
  <Override PartName="/xl/pivotTables/pivotTable93.xml" ContentType="application/vnd.openxmlformats-officedocument.spreadsheetml.pivotTable+xml"/>
  <Override PartName="/xl/worksheets/sheet10.xml" ContentType="application/vnd.openxmlformats-officedocument.spreadsheetml.worksheet+xml"/>
  <Override PartName="/xl/pivotCache/pivotCacheRecords13.xml" ContentType="application/vnd.openxmlformats-officedocument.spreadsheetml.pivotCacheRecords+xml"/>
  <Override PartName="/xl/pivotCache/pivotCacheRecords60.xml" ContentType="application/vnd.openxmlformats-officedocument.spreadsheetml.pivotCacheRecords+xml"/>
  <Override PartName="/xl/pivotTables/pivotTable35.xml" ContentType="application/vnd.openxmlformats-officedocument.spreadsheetml.pivotTable+xml"/>
  <Override PartName="/xl/pivotTables/pivotTable82.xml" ContentType="application/vnd.openxmlformats-officedocument.spreadsheetml.pivotTable+xml"/>
  <Override PartName="/docProps/app.xml" ContentType="application/vnd.openxmlformats-officedocument.extended-properties+xml"/>
  <Override PartName="/xl/pivotTables/pivotTable1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60.xml" ContentType="application/vnd.openxmlformats-officedocument.spreadsheetml.pivotTable+xml"/>
  <Override PartName="/xl/pivotTables/pivotTable71.xml" ContentType="application/vnd.openxmlformats-officedocument.spreadsheetml.pivotTable+xml"/>
  <Override PartName="/xl/pivotCache/pivotCacheRecords5.xml" ContentType="application/vnd.openxmlformats-officedocument.spreadsheetml.pivotCacheRecords+xml"/>
  <Override PartName="/xl/pivotCache/pivotCacheDefinition58.xml" ContentType="application/vnd.openxmlformats-officedocument.spreadsheetml.pivotCacheDefinition+xml"/>
  <Default Extension="vml" ContentType="application/vnd.openxmlformats-officedocument.vmlDrawing"/>
  <Override PartName="/xl/comments1.xml" ContentType="application/vnd.openxmlformats-officedocument.spreadsheetml.comments+xml"/>
  <Override PartName="/xl/pivotTables/pivotTable31.xml" ContentType="application/vnd.openxmlformats-officedocument.spreadsheetml.pivotTable+xml"/>
  <Override PartName="/xl/pivotTables/pivotTable105.xml" ContentType="application/vnd.openxmlformats-officedocument.spreadsheetml.pivotTable+xml"/>
  <Override PartName="/xl/calcChain.xml" ContentType="application/vnd.openxmlformats-officedocument.spreadsheetml.calcChain+xml"/>
  <Override PartName="/xl/pivotCache/pivotCacheDefinition18.xml" ContentType="application/vnd.openxmlformats-officedocument.spreadsheetml.pivotCacheDefinition+xml"/>
  <Override PartName="/xl/pivotCache/pivotCacheDefinition29.xml" ContentType="application/vnd.openxmlformats-officedocument.spreadsheetml.pivotCacheDefinition+xml"/>
  <Override PartName="/xl/pivotCache/pivotCacheDefinition47.xml" ContentType="application/vnd.openxmlformats-officedocument.spreadsheetml.pivotCacheDefinition+xml"/>
  <Override PartName="/xl/pivotTables/pivotTable20.xml" ContentType="application/vnd.openxmlformats-officedocument.spreadsheetml.pivotTable+xml"/>
  <Override PartName="/xl/pivotTables/pivotTable112.xml" ContentType="application/vnd.openxmlformats-officedocument.spreadsheetml.pivotTable+xml"/>
  <Override PartName="/xl/pivotCache/pivotCacheRecords1.xml" ContentType="application/vnd.openxmlformats-officedocument.spreadsheetml.pivotCacheRecords+xml"/>
  <Override PartName="/xl/pivotCache/pivotCacheDefinition36.xml" ContentType="application/vnd.openxmlformats-officedocument.spreadsheetml.pivotCacheDefinition+xml"/>
  <Override PartName="/xl/pivotCache/pivotCacheDefinition54.xml" ContentType="application/vnd.openxmlformats-officedocument.spreadsheetml.pivotCacheDefinition+xml"/>
  <Override PartName="/xl/pivotCache/pivotCacheRecords58.xml" ContentType="application/vnd.openxmlformats-officedocument.spreadsheetml.pivotCacheRecords+xml"/>
  <Override PartName="/xl/pivotTables/pivotTable8.xml" ContentType="application/vnd.openxmlformats-officedocument.spreadsheetml.pivotTable+xml"/>
  <Override PartName="/xl/pivotTables/pivotTable101.xml" ContentType="application/vnd.openxmlformats-officedocument.spreadsheetml.pivotTable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pivotCache/pivotCacheDefinition14.xml" ContentType="application/vnd.openxmlformats-officedocument.spreadsheetml.pivotCacheDefinition+xml"/>
  <Override PartName="/xl/pivotCache/pivotCacheRecords18.xml" ContentType="application/vnd.openxmlformats-officedocument.spreadsheetml.pivotCacheRecords+xml"/>
  <Override PartName="/xl/pivotCache/pivotCacheDefinition25.xml" ContentType="application/vnd.openxmlformats-officedocument.spreadsheetml.pivotCacheDefinition+xml"/>
  <Override PartName="/xl/pivotCache/pivotCacheRecords29.xml" ContentType="application/vnd.openxmlformats-officedocument.spreadsheetml.pivotCacheRecords+xml"/>
  <Override PartName="/xl/pivotCache/pivotCacheDefinition43.xml" ContentType="application/vnd.openxmlformats-officedocument.spreadsheetml.pivotCacheDefinition+xml"/>
  <Override PartName="/xl/pivotCache/pivotCacheRecords47.xml" ContentType="application/vnd.openxmlformats-officedocument.spreadsheetml.pivotCacheRecords+xml"/>
  <Override PartName="/xl/pivotCache/pivotCacheDefinition61.xml" ContentType="application/vnd.openxmlformats-officedocument.spreadsheetml.pivotCacheDefinition+xml"/>
  <Override PartName="/xl/pivotTables/pivotTable69.xml" ContentType="application/vnd.openxmlformats-officedocument.spreadsheetml.pivotTable+xml"/>
  <Override PartName="/xl/pivotTables/pivotTable87.xml" ContentType="application/vnd.openxmlformats-officedocument.spreadsheetml.pivotTable+xml"/>
  <Override PartName="/xl/pivotTables/pivotTable98.xml" ContentType="application/vnd.openxmlformats-officedocument.spreadsheetml.pivotTable+xml"/>
  <Override PartName="/xl/worksheets/sheet9.xml" ContentType="application/vnd.openxmlformats-officedocument.spreadsheetml.worksheet+xml"/>
  <Override PartName="/xl/pivotCache/pivotCacheDefinition32.xml" ContentType="application/vnd.openxmlformats-officedocument.spreadsheetml.pivotCacheDefinition+xml"/>
  <Override PartName="/xl/pivotCache/pivotCacheRecords36.xml" ContentType="application/vnd.openxmlformats-officedocument.spreadsheetml.pivotCacheRecords+xml"/>
  <Override PartName="/xl/pivotCache/pivotCacheDefinition50.xml" ContentType="application/vnd.openxmlformats-officedocument.spreadsheetml.pivotCacheDefinition+xml"/>
  <Override PartName="/xl/pivotCache/pivotCacheRecords54.xml" ContentType="application/vnd.openxmlformats-officedocument.spreadsheetml.pivotCacheRecords+xml"/>
  <Override PartName="/xl/theme/theme1.xml" ContentType="application/vnd.openxmlformats-officedocument.theme+xml"/>
  <Override PartName="/xl/pivotTables/pivotTable4.xml" ContentType="application/vnd.openxmlformats-officedocument.spreadsheetml.pivotTable+xml"/>
  <Override PartName="/xl/pivotTables/pivotTable29.xml" ContentType="application/vnd.openxmlformats-officedocument.spreadsheetml.pivotTable+xml"/>
  <Override PartName="/xl/pivotTables/pivotTable58.xml" ContentType="application/vnd.openxmlformats-officedocument.spreadsheetml.pivotTable+xml"/>
  <Override PartName="/xl/pivotTables/pivotTable76.xml" ContentType="application/vnd.openxmlformats-officedocument.spreadsheetml.pivotTable+xml"/>
  <Override PartName="/xl/worksheets/sheet11.xml" ContentType="application/vnd.openxmlformats-officedocument.spreadsheetml.worksheet+xml"/>
  <Override PartName="/xl/pivotCache/pivotCacheDefinition8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Records14.xml" ContentType="application/vnd.openxmlformats-officedocument.spreadsheetml.pivotCacheRecords+xml"/>
  <Override PartName="/xl/pivotCache/pivotCacheDefinition21.xml" ContentType="application/vnd.openxmlformats-officedocument.spreadsheetml.pivotCacheDefinition+xml"/>
  <Override PartName="/xl/pivotCache/pivotCacheRecords25.xml" ContentType="application/vnd.openxmlformats-officedocument.spreadsheetml.pivotCacheRecords+xml"/>
  <Override PartName="/xl/pivotCache/pivotCacheRecords43.xml" ContentType="application/vnd.openxmlformats-officedocument.spreadsheetml.pivotCacheRecords+xml"/>
  <Override PartName="/xl/pivotCache/pivotCacheRecords61.xml" ContentType="application/vnd.openxmlformats-officedocument.spreadsheetml.pivotCacheRecords+xml"/>
  <Override PartName="/xl/pivotTables/pivotTable18.xml" ContentType="application/vnd.openxmlformats-officedocument.spreadsheetml.pivotTable+xml"/>
  <Override PartName="/xl/pivotTables/pivotTable36.xml" ContentType="application/vnd.openxmlformats-officedocument.spreadsheetml.pivotTable+xml"/>
  <Override PartName="/xl/pivotTables/pivotTable47.xml" ContentType="application/vnd.openxmlformats-officedocument.spreadsheetml.pivotTable+xml"/>
  <Override PartName="/xl/pivotTables/pivotTable65.xml" ContentType="application/vnd.openxmlformats-officedocument.spreadsheetml.pivotTable+xml"/>
  <Override PartName="/xl/pivotTables/pivotTable83.xml" ContentType="application/vnd.openxmlformats-officedocument.spreadsheetml.pivotTable+xml"/>
  <Override PartName="/xl/pivotTables/pivotTable94.xml" ContentType="application/vnd.openxmlformats-officedocument.spreadsheetml.pivotTable+xml"/>
  <Default Extension="rels" ContentType="application/vnd.openxmlformats-package.relationships+xml"/>
  <Override PartName="/xl/worksheets/sheet5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xl/pivotCache/pivotCacheRecords32.xml" ContentType="application/vnd.openxmlformats-officedocument.spreadsheetml.pivotCacheRecords+xml"/>
  <Override PartName="/xl/pivotCache/pivotCacheRecords50.xml" ContentType="application/vnd.openxmlformats-officedocument.spreadsheetml.pivotCacheRecords+xml"/>
  <Override PartName="/xl/pivotTables/pivotTable25.xml" ContentType="application/vnd.openxmlformats-officedocument.spreadsheetml.pivotTable+xml"/>
  <Override PartName="/xl/pivotTables/pivotTable54.xml" ContentType="application/vnd.openxmlformats-officedocument.spreadsheetml.pivotTable+xml"/>
  <Override PartName="/xl/pivotTables/pivotTable72.xml" ContentType="application/vnd.openxmlformats-officedocument.spreadsheetml.pivotTable+xml"/>
  <Override PartName="/xl/pivotCache/pivotCacheRecords10.xml" ContentType="application/vnd.openxmlformats-officedocument.spreadsheetml.pivotCacheRecords+xml"/>
  <Override PartName="/xl/pivotCache/pivotCacheRecords21.xml" ContentType="application/vnd.openxmlformats-officedocument.spreadsheetml.pivotCacheRecords+xml"/>
  <Override PartName="/xl/pivotTables/pivotTable14.xml" ContentType="application/vnd.openxmlformats-officedocument.spreadsheetml.pivotTable+xml"/>
  <Override PartName="/xl/pivotTables/pivotTable32.xml" ContentType="application/vnd.openxmlformats-officedocument.spreadsheetml.pivotTable+xml"/>
  <Override PartName="/xl/pivotTables/pivotTable43.xml" ContentType="application/vnd.openxmlformats-officedocument.spreadsheetml.pivotTable+xml"/>
  <Override PartName="/xl/pivotTables/pivotTable61.xml" ContentType="application/vnd.openxmlformats-officedocument.spreadsheetml.pivotTable+xml"/>
  <Override PartName="/xl/pivotTables/pivotTable90.xml" ContentType="application/vnd.openxmlformats-officedocument.spreadsheetml.pivotTable+xml"/>
  <Override PartName="/xl/worksheets/sheet1.xml" ContentType="application/vnd.openxmlformats-officedocument.spreadsheetml.worksheet+xml"/>
  <Override PartName="/xl/pivotCache/pivotCacheRecords6.xml" ContentType="application/vnd.openxmlformats-officedocument.spreadsheetml.pivotCacheRecords+xml"/>
  <Override PartName="/xl/pivotCache/pivotCacheDefinition59.xml" ContentType="application/vnd.openxmlformats-officedocument.spreadsheetml.pivotCacheDefinition+xml"/>
  <Override PartName="/xl/pivotTables/pivotTable21.xml" ContentType="application/vnd.openxmlformats-officedocument.spreadsheetml.pivotTable+xml"/>
  <Override PartName="/xl/pivotTables/pivotTable50.xml" ContentType="application/vnd.openxmlformats-officedocument.spreadsheetml.pivotTable+xml"/>
  <Override PartName="/xl/pivotTables/pivotTable106.xml" ContentType="application/vnd.openxmlformats-officedocument.spreadsheetml.pivotTable+xml"/>
  <Override PartName="/xl/pivotCache/pivotCacheDefinition19.xml" ContentType="application/vnd.openxmlformats-officedocument.spreadsheetml.pivotCacheDefinition+xml"/>
  <Override PartName="/xl/pivotCache/pivotCacheDefinition37.xml" ContentType="application/vnd.openxmlformats-officedocument.spreadsheetml.pivotCacheDefinition+xml"/>
  <Override PartName="/xl/pivotCache/pivotCacheDefinition48.xml" ContentType="application/vnd.openxmlformats-officedocument.spreadsheetml.pivotCacheDefinition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02.xml" ContentType="application/vnd.openxmlformats-officedocument.spreadsheetml.pivotTable+xml"/>
  <Override PartName="/xl/pivotCache/pivotCacheRecords2.xml" ContentType="application/vnd.openxmlformats-officedocument.spreadsheetml.pivotCacheRecords+xml"/>
  <Override PartName="/xl/pivotCache/pivotCacheDefinition26.xml" ContentType="application/vnd.openxmlformats-officedocument.spreadsheetml.pivotCacheDefinition+xml"/>
  <Override PartName="/xl/pivotCache/pivotCacheDefinition55.xml" ContentType="application/vnd.openxmlformats-officedocument.spreadsheetml.pivotCacheDefinition+xml"/>
  <Override PartName="/xl/pivotCache/pivotCacheRecords59.xml" ContentType="application/vnd.openxmlformats-officedocument.spreadsheetml.pivotCacheRecords+xml"/>
  <Override PartName="/xl/pivotTables/pivotTable99.xml" ContentType="application/vnd.openxmlformats-officedocument.spreadsheetml.pivotTable+xml"/>
  <Override PartName="/xl/worksheets/sheet16.xml" ContentType="application/vnd.openxmlformats-officedocument.spreadsheetml.worksheet+xml"/>
  <Override PartName="/xl/pivotCache/pivotCacheDefinition15.xml" ContentType="application/vnd.openxmlformats-officedocument.spreadsheetml.pivotCacheDefinition+xml"/>
  <Override PartName="/xl/pivotCache/pivotCacheRecords19.xml" ContentType="application/vnd.openxmlformats-officedocument.spreadsheetml.pivotCacheRecords+xml"/>
  <Override PartName="/xl/pivotCache/pivotCacheDefinition33.xml" ContentType="application/vnd.openxmlformats-officedocument.spreadsheetml.pivotCacheDefinition+xml"/>
  <Override PartName="/xl/pivotCache/pivotCacheRecords37.xml" ContentType="application/vnd.openxmlformats-officedocument.spreadsheetml.pivotCacheRecords+xml"/>
  <Override PartName="/xl/pivotCache/pivotCacheDefinition44.xml" ContentType="application/vnd.openxmlformats-officedocument.spreadsheetml.pivotCacheDefinition+xml"/>
  <Override PartName="/xl/pivotCache/pivotCacheRecords48.xml" ContentType="application/vnd.openxmlformats-officedocument.spreadsheetml.pivotCacheRecords+xml"/>
  <Override PartName="/xl/pivotTables/pivotTable5.xml" ContentType="application/vnd.openxmlformats-officedocument.spreadsheetml.pivotTable+xml"/>
  <Override PartName="/xl/pivotTables/pivotTable59.xml" ContentType="application/vnd.openxmlformats-officedocument.spreadsheetml.pivotTable+xml"/>
  <Override PartName="/xl/pivotTables/pivotTable88.xml" ContentType="application/vnd.openxmlformats-officedocument.spreadsheetml.pivotTable+xml"/>
  <Override PartName="/xl/pivotCache/pivotCacheDefinition9.xml" ContentType="application/vnd.openxmlformats-officedocument.spreadsheetml.pivotCacheDefinition+xml"/>
  <Override PartName="/xl/pivotCache/pivotCacheDefinition22.xml" ContentType="application/vnd.openxmlformats-officedocument.spreadsheetml.pivotCacheDefinition+xml"/>
  <Override PartName="/xl/pivotCache/pivotCacheRecords26.xml" ContentType="application/vnd.openxmlformats-officedocument.spreadsheetml.pivotCacheRecords+xml"/>
  <Override PartName="/xl/pivotCache/pivotCacheDefinition40.xml" ContentType="application/vnd.openxmlformats-officedocument.spreadsheetml.pivotCacheDefinition+xml"/>
  <Override PartName="/xl/pivotCache/pivotCacheDefinition51.xml" ContentType="application/vnd.openxmlformats-officedocument.spreadsheetml.pivotCacheDefinition+xml"/>
  <Override PartName="/xl/pivotCache/pivotCacheRecords55.xml" ContentType="application/vnd.openxmlformats-officedocument.spreadsheetml.pivotCacheRecords+xml"/>
  <Override PartName="/xl/pivotTables/pivotTable19.xml" ContentType="application/vnd.openxmlformats-officedocument.spreadsheetml.pivotTable+xml"/>
  <Override PartName="/xl/pivotTables/pivotTable48.xml" ContentType="application/vnd.openxmlformats-officedocument.spreadsheetml.pivotTable+xml"/>
  <Override PartName="/xl/pivotTables/pivotTable77.xml" ContentType="application/vnd.openxmlformats-officedocument.spreadsheetml.pivotTable+xml"/>
  <Override PartName="/xl/pivotTables/pivotTable95.xml" ContentType="application/vnd.openxmlformats-officedocument.spreadsheetml.pivotTable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1.xml" ContentType="application/vnd.openxmlformats-officedocument.spreadsheetml.pivotCacheDefinition+xml"/>
  <Override PartName="/xl/pivotCache/pivotCacheRecords15.xml" ContentType="application/vnd.openxmlformats-officedocument.spreadsheetml.pivotCacheRecords+xml"/>
  <Override PartName="/xl/pivotCache/pivotCacheRecords33.xml" ContentType="application/vnd.openxmlformats-officedocument.spreadsheetml.pivotCacheRecords+xml"/>
  <Override PartName="/xl/pivotCache/pivotCacheRecords44.xml" ContentType="application/vnd.openxmlformats-officedocument.spreadsheetml.pivotCacheRecords+xml"/>
  <Override PartName="/xl/pivotTables/pivotTable1.xml" ContentType="application/vnd.openxmlformats-officedocument.spreadsheetml.pivotTable+xml"/>
  <Override PartName="/xl/pivotTables/pivotTable37.xml" ContentType="application/vnd.openxmlformats-officedocument.spreadsheetml.pivotTable+xml"/>
  <Override PartName="/xl/pivotTables/pivotTable55.xml" ContentType="application/vnd.openxmlformats-officedocument.spreadsheetml.pivotTable+xml"/>
  <Override PartName="/xl/pivotTables/pivotTable66.xml" ContentType="application/vnd.openxmlformats-officedocument.spreadsheetml.pivotTable+xml"/>
  <Override PartName="/xl/pivotTables/pivotTable84.xml" ContentType="application/vnd.openxmlformats-officedocument.spreadsheetml.pivotTable+xml"/>
  <Override PartName="/xl/pivotCache/pivotCacheDefinition5.xml" ContentType="application/vnd.openxmlformats-officedocument.spreadsheetml.pivotCacheDefinition+xml"/>
  <Override PartName="/xl/pivotCache/pivotCacheRecords22.xml" ContentType="application/vnd.openxmlformats-officedocument.spreadsheetml.pivotCacheRecords+xml"/>
  <Override PartName="/xl/pivotCache/pivotCacheRecords40.xml" ContentType="application/vnd.openxmlformats-officedocument.spreadsheetml.pivotCacheRecords+xml"/>
  <Override PartName="/xl/pivotCache/pivotCacheRecords51.xml" ContentType="application/vnd.openxmlformats-officedocument.spreadsheetml.pivotCacheRecords+xml"/>
  <Override PartName="/xl/pivotTables/pivotTable15.xml" ContentType="application/vnd.openxmlformats-officedocument.spreadsheetml.pivotTable+xml"/>
  <Override PartName="/xl/pivotTables/pivotTable26.xml" ContentType="application/vnd.openxmlformats-officedocument.spreadsheetml.pivotTable+xml"/>
  <Override PartName="/xl/pivotTables/pivotTable44.xml" ContentType="application/vnd.openxmlformats-officedocument.spreadsheetml.pivotTable+xml"/>
  <Override PartName="/xl/pivotTables/pivotTable62.xml" ContentType="application/vnd.openxmlformats-officedocument.spreadsheetml.pivotTable+xml"/>
  <Override PartName="/xl/pivotTables/pivotTable73.xml" ContentType="application/vnd.openxmlformats-officedocument.spreadsheetml.pivotTable+xml"/>
  <Override PartName="/xl/pivotTables/pivotTable91.xml" ContentType="application/vnd.openxmlformats-officedocument.spreadsheetml.pivotTable+xml"/>
  <Override PartName="/xl/worksheets/sheet2.xml" ContentType="application/vnd.openxmlformats-officedocument.spreadsheetml.worksheet+xml"/>
  <Override PartName="/xl/pivotCache/pivotCacheRecords7.xml" ContentType="application/vnd.openxmlformats-officedocument.spreadsheetml.pivotCacheRecords+xml"/>
  <Override PartName="/xl/pivotCache/pivotCacheRecords11.xml" ContentType="application/vnd.openxmlformats-officedocument.spreadsheetml.pivotCacheRecords+xml"/>
  <Override PartName="/xl/pivotTables/pivotTable33.xml" ContentType="application/vnd.openxmlformats-officedocument.spreadsheetml.pivotTable+xml"/>
  <Override PartName="/xl/pivotTables/pivotTable51.xml" ContentType="application/vnd.openxmlformats-officedocument.spreadsheetml.pivotTable+xml"/>
  <Override PartName="/xl/pivotTables/pivotTable80.xml" ContentType="application/vnd.openxmlformats-officedocument.spreadsheetml.pivotTable+xml"/>
  <Override PartName="/xl/pivotTables/pivotTable107.xml" ContentType="application/vnd.openxmlformats-officedocument.spreadsheetml.pivotTable+xml"/>
  <Override PartName="/xl/drawings/drawing1.xml" ContentType="application/vnd.openxmlformats-officedocument.drawing+xml"/>
  <Override PartName="/xl/pivotCache/pivotCacheDefinition1.xml" ContentType="application/vnd.openxmlformats-officedocument.spreadsheetml.pivotCacheDefinition+xml"/>
  <Override PartName="/xl/pivotCache/pivotCacheDefinition49.xml" ContentType="application/vnd.openxmlformats-officedocument.spreadsheetml.pivotCacheDefinition+xml"/>
  <Override PartName="/xl/pivotTables/pivotTable1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40.xml" ContentType="application/vnd.openxmlformats-officedocument.spreadsheetml.pivotTable+xml"/>
  <Override PartName="/xl/pivotCache/pivotCacheRecords3.xml" ContentType="application/vnd.openxmlformats-officedocument.spreadsheetml.pivotCacheRecords+xml"/>
  <Override PartName="/xl/pivotCache/pivotCacheDefinition38.xml" ContentType="application/vnd.openxmlformats-officedocument.spreadsheetml.pivotCacheDefinition+xml"/>
  <Override PartName="/xl/pivotCache/pivotCacheDefinition56.xml" ContentType="application/vnd.openxmlformats-officedocument.spreadsheetml.pivotCacheDefinition+xml"/>
  <Override PartName="/xl/pivotTables/pivotTable103.xml" ContentType="application/vnd.openxmlformats-officedocument.spreadsheetml.pivotTable+xml"/>
  <Override PartName="/xl/worksheets/sheet17.xml" ContentType="application/vnd.openxmlformats-officedocument.spreadsheetml.worksheet+xml"/>
  <Override PartName="/xl/pivotCache/pivotCacheDefinition16.xml" ContentType="application/vnd.openxmlformats-officedocument.spreadsheetml.pivotCacheDefinition+xml"/>
  <Override PartName="/xl/pivotCache/pivotCacheDefinition27.xml" ContentType="application/vnd.openxmlformats-officedocument.spreadsheetml.pivotCacheDefinition+xml"/>
  <Override PartName="/xl/pivotCache/pivotCacheDefinition45.xml" ContentType="application/vnd.openxmlformats-officedocument.spreadsheetml.pivotCacheDefinition+xml"/>
  <Override PartName="/xl/pivotCache/pivotCacheRecords49.xml" ContentType="application/vnd.openxmlformats-officedocument.spreadsheetml.pivotCacheRecords+xml"/>
  <Override PartName="/xl/pivotTables/pivotTable89.xml" ContentType="application/vnd.openxmlformats-officedocument.spreadsheetml.pivotTable+xml"/>
  <Override PartName="/xl/pivotTables/pivotTable110.xml" ContentType="application/vnd.openxmlformats-officedocument.spreadsheetml.pivotTable+xml"/>
  <Override PartName="/xl/pivotCache/pivotCacheDefinition34.xml" ContentType="application/vnd.openxmlformats-officedocument.spreadsheetml.pivotCacheDefinition+xml"/>
  <Override PartName="/xl/pivotCache/pivotCacheRecords56.xml" ContentType="application/vnd.openxmlformats-officedocument.spreadsheetml.pivotCacheRecords+xml"/>
  <Override PartName="/xl/pivotTables/pivotTable78.xml" ContentType="application/vnd.openxmlformats-officedocument.spreadsheetml.pivotTable+xml"/>
  <Override PartName="/xl/pivotCache/pivotCacheDefinition12.xml" ContentType="application/vnd.openxmlformats-officedocument.spreadsheetml.pivotCacheDefinition+xml"/>
  <Override PartName="/xl/pivotCache/pivotCacheDefinition23.xml" ContentType="application/vnd.openxmlformats-officedocument.spreadsheetml.pivotCacheDefinition+xml"/>
  <Override PartName="/xl/pivotCache/pivotCacheRecords45.xml" ContentType="application/vnd.openxmlformats-officedocument.spreadsheetml.pivotCacheRecords+xml"/>
  <Override PartName="/xl/pivotTables/pivotTable67.xml" ContentType="application/vnd.openxmlformats-officedocument.spreadsheetml.pivotTable+xml"/>
  <Override PartName="/xl/worksheets/sheet7.xml" ContentType="application/vnd.openxmlformats-officedocument.spreadsheetml.worksheet+xml"/>
  <Override PartName="/xl/pivotCache/pivotCacheDefinition6.xml" ContentType="application/vnd.openxmlformats-officedocument.spreadsheetml.pivotCacheDefinition+xml"/>
  <Override PartName="/xl/pivotCache/pivotCacheRecords34.xml" ContentType="application/vnd.openxmlformats-officedocument.spreadsheetml.pivotCacheRecords+xml"/>
  <Override PartName="/xl/pivotTables/pivotTable2.xml" ContentType="application/vnd.openxmlformats-officedocument.spreadsheetml.pivotTable+xml"/>
  <Override PartName="/xl/pivotTables/pivotTable56.xml" ContentType="application/vnd.openxmlformats-officedocument.spreadsheetml.pivotTable+xml"/>
  <Override PartName="/xl/pivotCache/pivotCacheRecords12.xml" ContentType="application/vnd.openxmlformats-officedocument.spreadsheetml.pivotCacheRecords+xml"/>
  <Override PartName="/xl/pivotCache/pivotCacheRecords23.xml" ContentType="application/vnd.openxmlformats-officedocument.spreadsheetml.pivotCacheRecords+xml"/>
  <Override PartName="/xl/pivotTables/pivotTable34.xml" ContentType="application/vnd.openxmlformats-officedocument.spreadsheetml.pivotTable+xml"/>
  <Override PartName="/xl/pivotTables/pivotTable45.xml" ContentType="application/vnd.openxmlformats-officedocument.spreadsheetml.pivotTable+xml"/>
  <Override PartName="/xl/pivotTables/pivotTable81.xml" ContentType="application/vnd.openxmlformats-officedocument.spreadsheetml.pivotTable+xml"/>
  <Override PartName="/xl/pivotTables/pivotTable9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70.xml" ContentType="application/vnd.openxmlformats-officedocument.spreadsheetml.pivotTable+xml"/>
  <Override PartName="/xl/pivotCache/pivotCacheDefinition39.xml" ContentType="application/vnd.openxmlformats-officedocument.spreadsheetml.pivotCacheDefinition+xml"/>
  <Override PartName="/xl/pivotTables/pivotTable12.xml" ContentType="application/vnd.openxmlformats-officedocument.spreadsheetml.pivotTable+xml"/>
  <Override PartName="/xl/pivotCache/pivotCacheRecords4.xml" ContentType="application/vnd.openxmlformats-officedocument.spreadsheetml.pivotCacheRecords+xml"/>
  <Override PartName="/xl/pivotCache/pivotCacheDefinition28.xml" ContentType="application/vnd.openxmlformats-officedocument.spreadsheetml.pivotCacheDefinition+xml"/>
  <Override PartName="/xl/sharedStrings.xml" ContentType="application/vnd.openxmlformats-officedocument.spreadsheetml.sharedStrings+xml"/>
  <Override PartName="/xl/pivotTables/pivotTable104.xml" ContentType="application/vnd.openxmlformats-officedocument.spreadsheetml.pivotTable+xml"/>
  <Override PartName="/xl/pivotCache/pivotCacheDefinition17.xml" ContentType="application/vnd.openxmlformats-officedocument.spreadsheetml.pivotCacheDefinition+xml"/>
  <Override PartName="/xl/pivotCache/pivotCacheRecords39.xml" ContentType="application/vnd.openxmlformats-officedocument.spreadsheetml.pivotCacheRecords+xml"/>
  <Override PartName="/xl/pivotTables/pivotTable7.xml" ContentType="application/vnd.openxmlformats-officedocument.spreadsheetml.pivotTable+xml"/>
  <Override PartName="/xl/pivotCache/pivotCacheRecords28.xml" ContentType="application/vnd.openxmlformats-officedocument.spreadsheetml.pivotCacheRecords+xml"/>
  <Override PartName="/xl/pivotCache/pivotCacheDefinition42.xml" ContentType="application/vnd.openxmlformats-officedocument.spreadsheetml.pivotCacheDefinition+xml"/>
  <Override PartName="/xl/pivotCache/pivotCacheDefinition53.xml" ContentType="application/vnd.openxmlformats-officedocument.spreadsheetml.pivotCacheDefinition+xml"/>
  <Default Extension="bin" ContentType="application/vnd.openxmlformats-officedocument.spreadsheetml.printerSettings"/>
  <Override PartName="/xl/pivotTables/pivotTable97.xml" ContentType="application/vnd.openxmlformats-officedocument.spreadsheetml.pivotTable+xml"/>
  <Override PartName="/xl/worksheets/sheet14.xml" ContentType="application/vnd.openxmlformats-officedocument.spreadsheetml.worksheet+xml"/>
  <Override PartName="/xl/pivotCache/pivotCacheRecords17.xml" ContentType="application/vnd.openxmlformats-officedocument.spreadsheetml.pivotCacheRecords+xml"/>
  <Override PartName="/xl/pivotCache/pivotCacheDefinition31.xml" ContentType="application/vnd.openxmlformats-officedocument.spreadsheetml.pivotCacheDefinition+xml"/>
  <Override PartName="/xl/pivotTables/pivotTable39.xml" ContentType="application/vnd.openxmlformats-officedocument.spreadsheetml.pivotTable+xml"/>
  <Override PartName="/xl/pivotTables/pivotTable86.xml" ContentType="application/vnd.openxmlformats-officedocument.spreadsheetml.pivotTable+xml"/>
  <Override PartName="/xl/pivotCache/pivotCacheDefinition20.xml" ContentType="application/vnd.openxmlformats-officedocument.spreadsheetml.pivotCacheDefinition+xml"/>
  <Override PartName="/xl/pivotCache/pivotCacheRecords42.xml" ContentType="application/vnd.openxmlformats-officedocument.spreadsheetml.pivotCacheRecords+xml"/>
  <Override PartName="/xl/pivotCache/pivotCacheRecords53.xml" ContentType="application/vnd.openxmlformats-officedocument.spreadsheetml.pivotCacheRecords+xml"/>
  <Override PartName="/xl/pivotTables/pivotTable17.xml" ContentType="application/vnd.openxmlformats-officedocument.spreadsheetml.pivotTable+xml"/>
  <Override PartName="/xl/pivotTables/pivotTable28.xml" ContentType="application/vnd.openxmlformats-officedocument.spreadsheetml.pivotTable+xml"/>
  <Override PartName="/xl/pivotTables/pivotTable64.xml" ContentType="application/vnd.openxmlformats-officedocument.spreadsheetml.pivotTable+xml"/>
  <Override PartName="/xl/pivotTables/pivotTable75.xml" ContentType="application/vnd.openxmlformats-officedocument.spreadsheetml.pivotTable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pivotCache/pivotCacheRecords9.xml" ContentType="application/vnd.openxmlformats-officedocument.spreadsheetml.pivotCacheRecords+xml"/>
  <Override PartName="/xl/pivotCache/pivotCacheRecords31.xml" ContentType="application/vnd.openxmlformats-officedocument.spreadsheetml.pivotCacheRecords+xml"/>
  <Override PartName="/xl/pivotTables/pivotTable53.xml" ContentType="application/vnd.openxmlformats-officedocument.spreadsheetml.pivotTable+xml"/>
  <Override PartName="/xl/pivotTables/pivotTable109.xml" ContentType="application/vnd.openxmlformats-officedocument.spreadsheetml.pivotTable+xml"/>
  <Override PartName="/xl/pivotCache/pivotCacheDefinition3.xml" ContentType="application/vnd.openxmlformats-officedocument.spreadsheetml.pivotCacheDefinition+xml"/>
  <Override PartName="/xl/pivotCache/pivotCacheRecords20.xml" ContentType="application/vnd.openxmlformats-officedocument.spreadsheetml.pivotCacheRecords+xml"/>
  <Override PartName="/xl/pivotTables/pivotTable42.xml" ContentType="application/vnd.openxmlformats-officedocument.spreadsheetml.pivotTab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 defaultThemeVersion="124226"/>
  <bookViews>
    <workbookView xWindow="360" yWindow="90" windowWidth="18870" windowHeight="11205" tabRatio="887"/>
  </bookViews>
  <sheets>
    <sheet name="Grille de saisie" sheetId="1" r:id="rId1"/>
    <sheet name="Fréquence" sheetId="2" r:id="rId2"/>
    <sheet name="Éligibilité" sheetId="47" r:id="rId3"/>
    <sheet name="Sécurité perçue" sheetId="12" r:id="rId4"/>
    <sheet name="Perception du risque" sheetId="38" r:id="rId5"/>
    <sheet name="Perception désordre incivilités" sheetId="4" r:id="rId6"/>
    <sheet name="Cohésion et paix sociales" sheetId="7" r:id="rId7"/>
    <sheet name="Protection ou évitement" sheetId="11" r:id="rId8"/>
    <sheet name="Services municipaux" sheetId="10" r:id="rId9"/>
    <sheet name="Services policiers" sheetId="37" r:id="rId10"/>
    <sheet name="Participation communautaire" sheetId="48" r:id="rId11"/>
    <sheet name="Victimation" sheetId="5" r:id="rId12"/>
    <sheet name="Accidents" sheetId="36" r:id="rId13"/>
    <sheet name="Caractéristiques répondant" sheetId="8" r:id="rId14"/>
    <sheet name="Croisements sexe" sheetId="29" r:id="rId15"/>
    <sheet name="Croisements âge" sheetId="32" r:id="rId16"/>
    <sheet name="Khi2" sheetId="46" r:id="rId17"/>
    <sheet name="Croisements" sheetId="28" r:id="rId18"/>
  </sheets>
  <definedNames>
    <definedName name="_xlnm.Print_Titles" localSheetId="1">Fréquence!$1:$2</definedName>
    <definedName name="_xlnm.Print_Area" localSheetId="12">Accidents!$A$1:$G$28</definedName>
    <definedName name="_xlnm.Print_Area" localSheetId="13">'Caractéristiques répondant'!$A$1:$G$88</definedName>
    <definedName name="_xlnm.Print_Area" localSheetId="6">'Cohésion et paix sociales'!$A$1:$G$28</definedName>
    <definedName name="_xlnm.Print_Area" localSheetId="15">'Croisements âge'!$A$1:$O$293</definedName>
    <definedName name="_xlnm.Print_Area" localSheetId="14">'Croisements sexe'!$A$1:$M$302</definedName>
    <definedName name="_xlnm.Print_Area" localSheetId="2">Éligibilité!$A$1:$G$14</definedName>
    <definedName name="_xlnm.Print_Area" localSheetId="1">Fréquence!$A$1:$G$464</definedName>
    <definedName name="_xlnm.Print_Area" localSheetId="10">'Participation communautaire'!$A$1:$G$29</definedName>
    <definedName name="_xlnm.Print_Area" localSheetId="5">'Perception désordre incivilités'!$A$1:$G$48</definedName>
    <definedName name="_xlnm.Print_Area" localSheetId="4">'Perception du risque'!$A$1:$G$64</definedName>
    <definedName name="_xlnm.Print_Area" localSheetId="7">'Protection ou évitement'!$A$1:$G$59</definedName>
    <definedName name="_xlnm.Print_Area" localSheetId="3">'Sécurité perçue'!$A$1:$G$22</definedName>
    <definedName name="_xlnm.Print_Area" localSheetId="8">'Services municipaux'!$A$1:$G$20</definedName>
    <definedName name="_xlnm.Print_Area" localSheetId="9">'Services policiers'!$A$1:$G$59</definedName>
    <definedName name="_xlnm.Print_Area" localSheetId="11">Victimation!$A$1:$G$14</definedName>
  </definedNames>
  <calcPr calcId="125725"/>
  <pivotCaches>
    <pivotCache cacheId="256" r:id="rId19"/>
    <pivotCache cacheId="257" r:id="rId20"/>
    <pivotCache cacheId="258" r:id="rId21"/>
    <pivotCache cacheId="259" r:id="rId22"/>
    <pivotCache cacheId="260" r:id="rId23"/>
    <pivotCache cacheId="261" r:id="rId24"/>
    <pivotCache cacheId="262" r:id="rId25"/>
    <pivotCache cacheId="263" r:id="rId26"/>
    <pivotCache cacheId="264" r:id="rId27"/>
    <pivotCache cacheId="265" r:id="rId28"/>
    <pivotCache cacheId="266" r:id="rId29"/>
    <pivotCache cacheId="267" r:id="rId30"/>
    <pivotCache cacheId="268" r:id="rId31"/>
    <pivotCache cacheId="269" r:id="rId32"/>
    <pivotCache cacheId="270" r:id="rId33"/>
    <pivotCache cacheId="271" r:id="rId34"/>
    <pivotCache cacheId="272" r:id="rId35"/>
    <pivotCache cacheId="273" r:id="rId36"/>
    <pivotCache cacheId="274" r:id="rId37"/>
    <pivotCache cacheId="275" r:id="rId38"/>
    <pivotCache cacheId="276" r:id="rId39"/>
    <pivotCache cacheId="277" r:id="rId40"/>
    <pivotCache cacheId="278" r:id="rId41"/>
    <pivotCache cacheId="279" r:id="rId42"/>
    <pivotCache cacheId="280" r:id="rId43"/>
    <pivotCache cacheId="281" r:id="rId44"/>
    <pivotCache cacheId="282" r:id="rId45"/>
    <pivotCache cacheId="283" r:id="rId46"/>
    <pivotCache cacheId="284" r:id="rId47"/>
    <pivotCache cacheId="285" r:id="rId48"/>
    <pivotCache cacheId="286" r:id="rId49"/>
    <pivotCache cacheId="287" r:id="rId50"/>
    <pivotCache cacheId="288" r:id="rId51"/>
    <pivotCache cacheId="289" r:id="rId52"/>
    <pivotCache cacheId="290" r:id="rId53"/>
    <pivotCache cacheId="291" r:id="rId54"/>
    <pivotCache cacheId="292" r:id="rId55"/>
    <pivotCache cacheId="293" r:id="rId56"/>
    <pivotCache cacheId="294" r:id="rId57"/>
    <pivotCache cacheId="295" r:id="rId58"/>
    <pivotCache cacheId="296" r:id="rId59"/>
    <pivotCache cacheId="297" r:id="rId60"/>
    <pivotCache cacheId="298" r:id="rId61"/>
    <pivotCache cacheId="299" r:id="rId62"/>
    <pivotCache cacheId="300" r:id="rId63"/>
    <pivotCache cacheId="301" r:id="rId64"/>
    <pivotCache cacheId="302" r:id="rId65"/>
    <pivotCache cacheId="303" r:id="rId66"/>
    <pivotCache cacheId="304" r:id="rId67"/>
    <pivotCache cacheId="305" r:id="rId68"/>
    <pivotCache cacheId="306" r:id="rId69"/>
    <pivotCache cacheId="307" r:id="rId70"/>
    <pivotCache cacheId="308" r:id="rId71"/>
    <pivotCache cacheId="309" r:id="rId72"/>
    <pivotCache cacheId="310" r:id="rId73"/>
    <pivotCache cacheId="311" r:id="rId74"/>
    <pivotCache cacheId="312" r:id="rId75"/>
    <pivotCache cacheId="313" r:id="rId76"/>
    <pivotCache cacheId="314" r:id="rId77"/>
    <pivotCache cacheId="315" r:id="rId78"/>
    <pivotCache cacheId="316" r:id="rId79"/>
  </pivotCaches>
</workbook>
</file>

<file path=xl/calcChain.xml><?xml version="1.0" encoding="utf-8"?>
<calcChain xmlns="http://schemas.openxmlformats.org/spreadsheetml/2006/main">
  <c r="CQ4" i="1"/>
  <c r="CQ5"/>
  <c r="CQ6"/>
  <c r="CQ7"/>
  <c r="CQ8"/>
  <c r="CQ9"/>
  <c r="CQ10"/>
  <c r="CQ11"/>
  <c r="CQ12"/>
  <c r="CQ13"/>
  <c r="CQ14"/>
  <c r="CQ15"/>
  <c r="CQ16"/>
  <c r="CQ17"/>
  <c r="CQ18"/>
  <c r="CQ19"/>
  <c r="CQ20"/>
  <c r="CQ21"/>
  <c r="CQ22"/>
  <c r="CQ23"/>
  <c r="CQ24"/>
  <c r="CQ25"/>
  <c r="CQ26"/>
  <c r="CQ27"/>
  <c r="CQ28"/>
  <c r="CQ29"/>
  <c r="CQ30"/>
  <c r="CQ31"/>
  <c r="CQ32"/>
  <c r="CQ33"/>
  <c r="CQ34"/>
  <c r="CQ35"/>
  <c r="CQ36"/>
  <c r="CQ37"/>
  <c r="CQ38"/>
  <c r="CQ39"/>
  <c r="CQ40"/>
  <c r="CQ41"/>
  <c r="CQ42"/>
  <c r="CQ43"/>
  <c r="CQ44"/>
  <c r="CQ45"/>
  <c r="CQ46"/>
  <c r="CQ47"/>
  <c r="CQ48"/>
  <c r="CQ49"/>
  <c r="CQ50"/>
  <c r="CQ51"/>
  <c r="CQ52"/>
  <c r="CQ53"/>
  <c r="CQ54"/>
  <c r="CQ55"/>
  <c r="CQ56"/>
  <c r="CQ57"/>
  <c r="CQ58"/>
  <c r="CQ59"/>
  <c r="CQ60"/>
  <c r="CQ61"/>
  <c r="CQ62"/>
  <c r="CQ63"/>
  <c r="CQ64"/>
  <c r="CQ65"/>
  <c r="CQ66"/>
  <c r="CQ67"/>
  <c r="CQ68"/>
  <c r="CQ69"/>
  <c r="CQ70"/>
  <c r="CQ71"/>
  <c r="CQ72"/>
  <c r="CQ73"/>
  <c r="CQ74"/>
  <c r="CQ75"/>
  <c r="CQ76"/>
  <c r="CQ77"/>
  <c r="CQ78"/>
  <c r="CQ79"/>
  <c r="CQ80"/>
  <c r="CQ81"/>
  <c r="CQ82"/>
  <c r="CQ83"/>
  <c r="CQ84"/>
  <c r="CQ85"/>
  <c r="CQ86"/>
  <c r="CQ87"/>
  <c r="CQ88"/>
  <c r="CQ89"/>
  <c r="CQ90"/>
  <c r="CQ91"/>
  <c r="CQ92"/>
  <c r="CQ93"/>
  <c r="CQ94"/>
  <c r="CQ95"/>
  <c r="CQ96"/>
  <c r="CQ97"/>
  <c r="CQ98"/>
  <c r="CQ99"/>
  <c r="CQ100"/>
  <c r="CQ101"/>
  <c r="CQ102"/>
  <c r="CQ103"/>
  <c r="CQ104"/>
  <c r="CQ105"/>
  <c r="CQ106"/>
  <c r="CQ107"/>
  <c r="CQ108"/>
  <c r="CQ109"/>
  <c r="CQ110"/>
  <c r="CQ111"/>
  <c r="CQ112"/>
  <c r="CQ113"/>
  <c r="CQ114"/>
  <c r="CQ115"/>
  <c r="CQ116"/>
  <c r="CQ117"/>
  <c r="CQ118"/>
  <c r="CQ119"/>
  <c r="CQ120"/>
  <c r="CQ121"/>
  <c r="CQ122"/>
  <c r="CQ123"/>
  <c r="CQ124"/>
  <c r="CQ125"/>
  <c r="CQ126"/>
  <c r="CQ127"/>
  <c r="CQ128"/>
  <c r="CQ129"/>
  <c r="CQ130"/>
  <c r="CQ131"/>
  <c r="CQ132"/>
  <c r="CQ133"/>
  <c r="CQ134"/>
  <c r="CQ135"/>
  <c r="CQ136"/>
  <c r="CQ137"/>
  <c r="CQ138"/>
  <c r="CQ139"/>
  <c r="CQ140"/>
  <c r="CQ141"/>
  <c r="CQ142"/>
  <c r="CQ143"/>
  <c r="CQ144"/>
  <c r="CQ145"/>
  <c r="CQ146"/>
  <c r="CQ147"/>
  <c r="CQ148"/>
  <c r="CQ149"/>
  <c r="CQ150"/>
  <c r="CQ151"/>
  <c r="CQ152"/>
  <c r="CQ153"/>
  <c r="CQ154"/>
  <c r="CQ155"/>
  <c r="CQ156"/>
  <c r="CQ157"/>
  <c r="CQ158"/>
  <c r="CQ159"/>
  <c r="CQ160"/>
  <c r="CQ161"/>
  <c r="CQ162"/>
  <c r="CQ163"/>
  <c r="CQ164"/>
  <c r="CQ165"/>
  <c r="CQ166"/>
  <c r="CQ167"/>
  <c r="CQ168"/>
  <c r="CQ169"/>
  <c r="CQ170"/>
  <c r="CQ171"/>
  <c r="CQ172"/>
  <c r="CQ173"/>
  <c r="CQ174"/>
  <c r="CQ175"/>
  <c r="CQ176"/>
  <c r="CQ177"/>
  <c r="CQ178"/>
  <c r="CQ179"/>
  <c r="CQ180"/>
  <c r="CQ181"/>
  <c r="CQ182"/>
  <c r="CQ183"/>
  <c r="CQ184"/>
  <c r="CQ185"/>
  <c r="CQ186"/>
  <c r="CQ187"/>
  <c r="CQ188"/>
  <c r="CQ189"/>
  <c r="CQ190"/>
  <c r="CQ191"/>
  <c r="CQ192"/>
  <c r="CQ193"/>
  <c r="CQ194"/>
  <c r="CQ195"/>
  <c r="CQ196"/>
  <c r="CQ197"/>
  <c r="CQ198"/>
  <c r="CQ199"/>
  <c r="CQ200"/>
  <c r="CQ201"/>
  <c r="CQ202"/>
  <c r="CQ203"/>
  <c r="CQ204"/>
  <c r="CQ205"/>
  <c r="CQ206"/>
  <c r="CQ207"/>
  <c r="CQ208"/>
  <c r="CQ209"/>
  <c r="CQ210"/>
  <c r="CQ211"/>
  <c r="CQ212"/>
  <c r="CQ213"/>
  <c r="CQ214"/>
  <c r="CQ215"/>
  <c r="CQ216"/>
  <c r="CQ217"/>
  <c r="CQ218"/>
  <c r="CQ219"/>
  <c r="CQ220"/>
  <c r="CQ221"/>
  <c r="CQ222"/>
  <c r="CQ223"/>
  <c r="CQ224"/>
  <c r="CQ225"/>
  <c r="CQ226"/>
  <c r="CQ227"/>
  <c r="CQ228"/>
  <c r="CQ229"/>
  <c r="CQ230"/>
  <c r="CQ231"/>
  <c r="CQ232"/>
  <c r="CQ233"/>
  <c r="CQ234"/>
  <c r="CQ235"/>
  <c r="CQ236"/>
  <c r="CQ237"/>
  <c r="CQ238"/>
  <c r="CQ239"/>
  <c r="CQ240"/>
  <c r="CQ241"/>
  <c r="CQ242"/>
  <c r="CQ243"/>
  <c r="CQ244"/>
  <c r="CQ245"/>
  <c r="CQ246"/>
  <c r="CQ247"/>
  <c r="CQ248"/>
  <c r="CQ249"/>
  <c r="CQ250"/>
  <c r="CQ251"/>
  <c r="CQ252"/>
  <c r="CQ253"/>
  <c r="CQ254"/>
  <c r="CQ255"/>
  <c r="CQ256"/>
  <c r="CQ257"/>
  <c r="CQ258"/>
  <c r="CQ259"/>
  <c r="CQ260"/>
  <c r="CQ261"/>
  <c r="CQ262"/>
  <c r="CQ263"/>
  <c r="CQ264"/>
  <c r="CQ265"/>
  <c r="CQ266"/>
  <c r="CQ267"/>
  <c r="CQ268"/>
  <c r="CQ269"/>
  <c r="CQ270"/>
  <c r="CQ271"/>
  <c r="CQ272"/>
  <c r="CQ273"/>
  <c r="CQ274"/>
  <c r="CQ275"/>
  <c r="CQ276"/>
  <c r="CQ277"/>
  <c r="CQ278"/>
  <c r="CQ279"/>
  <c r="CQ280"/>
  <c r="CQ281"/>
  <c r="CQ282"/>
  <c r="CQ283"/>
  <c r="CQ284"/>
  <c r="CQ285"/>
  <c r="CQ286"/>
  <c r="CQ287"/>
  <c r="CQ288"/>
  <c r="CQ289"/>
  <c r="CQ290"/>
  <c r="CQ291"/>
  <c r="CQ292"/>
  <c r="CQ293"/>
  <c r="CQ294"/>
  <c r="CQ295"/>
  <c r="CQ296"/>
  <c r="CQ297"/>
  <c r="CQ298"/>
  <c r="CQ299"/>
  <c r="CQ300"/>
  <c r="CQ301"/>
  <c r="CQ302"/>
  <c r="CQ303"/>
  <c r="CQ304"/>
  <c r="CQ305"/>
  <c r="CQ306"/>
  <c r="CQ307"/>
  <c r="CQ308"/>
  <c r="CQ309"/>
  <c r="CQ310"/>
  <c r="CQ311"/>
  <c r="CQ312"/>
  <c r="CQ313"/>
  <c r="CQ314"/>
  <c r="CQ315"/>
  <c r="CQ316"/>
  <c r="CQ317"/>
  <c r="CQ318"/>
  <c r="CQ319"/>
  <c r="CQ320"/>
  <c r="CQ321"/>
  <c r="CQ322"/>
  <c r="CQ323"/>
  <c r="CQ324"/>
  <c r="CQ325"/>
  <c r="CQ326"/>
  <c r="CQ327"/>
  <c r="CQ328"/>
  <c r="CQ329"/>
  <c r="CQ330"/>
  <c r="CQ331"/>
  <c r="CQ332"/>
  <c r="CQ333"/>
  <c r="CQ334"/>
  <c r="CQ335"/>
  <c r="CQ336"/>
  <c r="CQ337"/>
  <c r="CQ338"/>
  <c r="CQ339"/>
  <c r="CQ340"/>
  <c r="CQ341"/>
  <c r="CQ342"/>
  <c r="CQ343"/>
  <c r="CQ344"/>
  <c r="CQ345"/>
  <c r="CQ346"/>
  <c r="CQ347"/>
  <c r="CQ348"/>
  <c r="CQ349"/>
  <c r="CQ350"/>
  <c r="CQ351"/>
  <c r="CQ352"/>
  <c r="CQ353"/>
  <c r="CQ354"/>
  <c r="CQ355"/>
  <c r="CQ356"/>
  <c r="CQ357"/>
  <c r="CQ358"/>
  <c r="CQ359"/>
  <c r="CQ360"/>
  <c r="CQ361"/>
  <c r="CQ362"/>
  <c r="CQ363"/>
  <c r="CQ364"/>
  <c r="CQ365"/>
  <c r="CQ366"/>
  <c r="CQ367"/>
  <c r="CQ368"/>
  <c r="CQ369"/>
  <c r="CQ370"/>
  <c r="CQ371"/>
  <c r="CQ372"/>
  <c r="CQ373"/>
  <c r="CQ374"/>
  <c r="CQ375"/>
  <c r="CQ376"/>
  <c r="CQ377"/>
  <c r="CQ378"/>
  <c r="CQ379"/>
  <c r="CQ380"/>
  <c r="CQ381"/>
  <c r="CQ382"/>
  <c r="CQ383"/>
  <c r="CQ384"/>
  <c r="CQ385"/>
  <c r="CQ386"/>
  <c r="CQ387"/>
  <c r="CQ388"/>
  <c r="CQ389"/>
  <c r="CQ390"/>
  <c r="CQ391"/>
  <c r="CQ392"/>
  <c r="CQ393"/>
  <c r="CQ394"/>
  <c r="CQ395"/>
  <c r="CQ396"/>
  <c r="CQ397"/>
  <c r="CQ398"/>
  <c r="CQ399"/>
  <c r="CQ400"/>
  <c r="CQ401"/>
  <c r="CQ402"/>
  <c r="CQ403"/>
  <c r="CQ404"/>
  <c r="CQ405"/>
  <c r="CQ406"/>
  <c r="CQ407"/>
  <c r="CQ408"/>
  <c r="CQ409"/>
  <c r="CQ410"/>
  <c r="CQ411"/>
  <c r="CQ412"/>
  <c r="CQ413"/>
  <c r="CQ414"/>
  <c r="CQ415"/>
  <c r="CQ416"/>
  <c r="CQ417"/>
  <c r="CQ418"/>
  <c r="CQ419"/>
  <c r="CQ420"/>
  <c r="CQ421"/>
  <c r="CQ422"/>
  <c r="CQ423"/>
  <c r="CQ424"/>
  <c r="CQ425"/>
  <c r="CQ426"/>
  <c r="CQ427"/>
  <c r="CQ428"/>
  <c r="CQ429"/>
  <c r="CQ430"/>
  <c r="CQ431"/>
  <c r="CQ432"/>
  <c r="CQ433"/>
  <c r="CQ434"/>
  <c r="CQ435"/>
  <c r="CQ436"/>
  <c r="CQ437"/>
  <c r="CQ438"/>
  <c r="CQ439"/>
  <c r="CQ440"/>
  <c r="CQ441"/>
  <c r="CQ442"/>
  <c r="CQ443"/>
  <c r="CQ444"/>
  <c r="CQ445"/>
  <c r="CQ446"/>
  <c r="CQ447"/>
  <c r="CQ448"/>
  <c r="CQ449"/>
  <c r="CQ450"/>
  <c r="CQ451"/>
  <c r="CQ452"/>
  <c r="CQ453"/>
  <c r="CQ454"/>
  <c r="CQ455"/>
  <c r="CQ456"/>
  <c r="CQ457"/>
  <c r="CQ458"/>
  <c r="CQ459"/>
  <c r="CQ460"/>
  <c r="CQ461"/>
  <c r="CQ462"/>
  <c r="CQ463"/>
  <c r="CQ464"/>
  <c r="CQ465"/>
  <c r="CQ466"/>
  <c r="CQ467"/>
  <c r="CQ468"/>
  <c r="CQ469"/>
  <c r="CQ470"/>
  <c r="CQ471"/>
  <c r="CQ472"/>
  <c r="CQ473"/>
  <c r="CQ474"/>
  <c r="CQ475"/>
  <c r="CQ476"/>
  <c r="CQ477"/>
  <c r="CQ478"/>
  <c r="CQ479"/>
  <c r="CQ480"/>
  <c r="CQ481"/>
  <c r="CQ482"/>
  <c r="CQ483"/>
  <c r="CQ484"/>
  <c r="CQ485"/>
  <c r="CQ486"/>
  <c r="CQ487"/>
  <c r="CQ488"/>
  <c r="CQ489"/>
  <c r="CQ490"/>
  <c r="CQ491"/>
  <c r="CQ492"/>
  <c r="CQ493"/>
  <c r="CQ494"/>
  <c r="CQ495"/>
  <c r="CQ496"/>
  <c r="CQ497"/>
  <c r="CQ498"/>
  <c r="CQ499"/>
  <c r="CQ500"/>
  <c r="CQ501"/>
  <c r="CQ502"/>
  <c r="CQ503"/>
  <c r="CQ504"/>
  <c r="CQ505"/>
  <c r="CQ506"/>
  <c r="CQ507"/>
  <c r="CQ508"/>
  <c r="CQ509"/>
  <c r="CQ510"/>
  <c r="CQ511"/>
  <c r="CQ512"/>
  <c r="CQ513"/>
  <c r="CQ514"/>
  <c r="CQ515"/>
  <c r="CQ516"/>
  <c r="CQ517"/>
  <c r="CQ518"/>
  <c r="CQ519"/>
  <c r="CQ520"/>
  <c r="CQ521"/>
  <c r="CQ522"/>
  <c r="CQ523"/>
  <c r="CQ524"/>
  <c r="CQ525"/>
  <c r="CQ526"/>
  <c r="CQ527"/>
  <c r="CQ528"/>
  <c r="CQ529"/>
  <c r="CQ530"/>
  <c r="CQ531"/>
  <c r="CQ532"/>
  <c r="CQ533"/>
  <c r="CQ534"/>
  <c r="CQ535"/>
  <c r="CQ536"/>
  <c r="CQ537"/>
  <c r="CQ538"/>
  <c r="CQ539"/>
  <c r="CQ540"/>
  <c r="CQ541"/>
  <c r="CQ542"/>
  <c r="CQ543"/>
  <c r="CQ544"/>
  <c r="CQ545"/>
  <c r="CQ546"/>
  <c r="CQ547"/>
  <c r="CQ548"/>
  <c r="CQ549"/>
  <c r="CQ550"/>
  <c r="CQ551"/>
  <c r="CQ552"/>
  <c r="CQ553"/>
  <c r="CQ554"/>
  <c r="CQ555"/>
  <c r="CQ556"/>
  <c r="CQ557"/>
  <c r="CQ558"/>
  <c r="CQ559"/>
  <c r="CQ560"/>
  <c r="CQ561"/>
  <c r="CQ562"/>
  <c r="CQ563"/>
  <c r="CQ564"/>
  <c r="CQ565"/>
  <c r="CQ566"/>
  <c r="CQ567"/>
  <c r="CQ568"/>
  <c r="CQ569"/>
  <c r="CQ570"/>
  <c r="CQ571"/>
  <c r="CQ572"/>
  <c r="CQ573"/>
  <c r="CQ574"/>
  <c r="CQ575"/>
  <c r="CQ576"/>
  <c r="CQ577"/>
  <c r="CQ578"/>
  <c r="CQ579"/>
  <c r="CQ580"/>
  <c r="CQ581"/>
  <c r="CQ582"/>
  <c r="CQ583"/>
  <c r="CQ584"/>
  <c r="CQ585"/>
  <c r="CQ586"/>
  <c r="CQ587"/>
  <c r="CQ588"/>
  <c r="CQ589"/>
  <c r="CQ590"/>
  <c r="CQ591"/>
  <c r="CQ592"/>
  <c r="CQ593"/>
  <c r="CQ594"/>
  <c r="CQ595"/>
  <c r="CQ596"/>
  <c r="CQ597"/>
  <c r="CQ598"/>
  <c r="CQ599"/>
  <c r="CQ600"/>
  <c r="CQ601"/>
  <c r="CQ602"/>
  <c r="CQ3"/>
  <c r="CP4"/>
  <c r="CP5"/>
  <c r="CP6"/>
  <c r="CP7"/>
  <c r="CP8"/>
  <c r="CP9"/>
  <c r="CP10"/>
  <c r="CP11"/>
  <c r="CP12"/>
  <c r="CP13"/>
  <c r="CP14"/>
  <c r="CP15"/>
  <c r="CP16"/>
  <c r="CP17"/>
  <c r="CP18"/>
  <c r="CP19"/>
  <c r="CP20"/>
  <c r="CP21"/>
  <c r="CP22"/>
  <c r="CP23"/>
  <c r="CP24"/>
  <c r="CP25"/>
  <c r="CP26"/>
  <c r="CP27"/>
  <c r="CP28"/>
  <c r="CP29"/>
  <c r="CP30"/>
  <c r="CP31"/>
  <c r="CP32"/>
  <c r="CP33"/>
  <c r="CP34"/>
  <c r="CP35"/>
  <c r="CP36"/>
  <c r="CP37"/>
  <c r="CP38"/>
  <c r="CP39"/>
  <c r="CP40"/>
  <c r="CP41"/>
  <c r="CP42"/>
  <c r="CP43"/>
  <c r="CP44"/>
  <c r="CP45"/>
  <c r="CP46"/>
  <c r="CP47"/>
  <c r="CP48"/>
  <c r="CP49"/>
  <c r="CP50"/>
  <c r="CP51"/>
  <c r="CP52"/>
  <c r="CP53"/>
  <c r="CP54"/>
  <c r="CP55"/>
  <c r="CP56"/>
  <c r="CP57"/>
  <c r="CP58"/>
  <c r="CP59"/>
  <c r="CP60"/>
  <c r="CP61"/>
  <c r="CP62"/>
  <c r="CP63"/>
  <c r="CP64"/>
  <c r="CP65"/>
  <c r="CP66"/>
  <c r="CP67"/>
  <c r="CP68"/>
  <c r="CP69"/>
  <c r="CP70"/>
  <c r="CP71"/>
  <c r="CP72"/>
  <c r="CP73"/>
  <c r="CP74"/>
  <c r="CP75"/>
  <c r="CP76"/>
  <c r="CP77"/>
  <c r="CP78"/>
  <c r="CP79"/>
  <c r="CP80"/>
  <c r="CP81"/>
  <c r="CP82"/>
  <c r="CP83"/>
  <c r="CP84"/>
  <c r="CP85"/>
  <c r="CP86"/>
  <c r="CP87"/>
  <c r="CP88"/>
  <c r="CP89"/>
  <c r="CP90"/>
  <c r="CP91"/>
  <c r="CP92"/>
  <c r="CP93"/>
  <c r="CP94"/>
  <c r="CP95"/>
  <c r="CP96"/>
  <c r="CP97"/>
  <c r="CP98"/>
  <c r="CP99"/>
  <c r="CP100"/>
  <c r="CP101"/>
  <c r="CP102"/>
  <c r="CP103"/>
  <c r="CP104"/>
  <c r="CP105"/>
  <c r="CP106"/>
  <c r="CP107"/>
  <c r="CP108"/>
  <c r="CP109"/>
  <c r="CP110"/>
  <c r="CP111"/>
  <c r="CP112"/>
  <c r="CP113"/>
  <c r="CP114"/>
  <c r="CP115"/>
  <c r="CP116"/>
  <c r="CP117"/>
  <c r="CP118"/>
  <c r="CP119"/>
  <c r="CP120"/>
  <c r="CP121"/>
  <c r="CP122"/>
  <c r="CP123"/>
  <c r="CP124"/>
  <c r="CP125"/>
  <c r="CP126"/>
  <c r="CP127"/>
  <c r="CP128"/>
  <c r="CP129"/>
  <c r="CP130"/>
  <c r="CP131"/>
  <c r="CP132"/>
  <c r="CP133"/>
  <c r="CP134"/>
  <c r="CP135"/>
  <c r="CP136"/>
  <c r="CP137"/>
  <c r="CP138"/>
  <c r="CP139"/>
  <c r="CP140"/>
  <c r="CP141"/>
  <c r="CP142"/>
  <c r="CP143"/>
  <c r="CP144"/>
  <c r="CP145"/>
  <c r="CP146"/>
  <c r="CP147"/>
  <c r="CP148"/>
  <c r="CP149"/>
  <c r="CP150"/>
  <c r="CP151"/>
  <c r="CP152"/>
  <c r="CP153"/>
  <c r="CP154"/>
  <c r="CP155"/>
  <c r="CP156"/>
  <c r="CP157"/>
  <c r="CP158"/>
  <c r="CP159"/>
  <c r="CP160"/>
  <c r="CP161"/>
  <c r="CP162"/>
  <c r="CP163"/>
  <c r="CP164"/>
  <c r="CP165"/>
  <c r="CP166"/>
  <c r="CP167"/>
  <c r="CP168"/>
  <c r="CP169"/>
  <c r="CP170"/>
  <c r="CP171"/>
  <c r="CP172"/>
  <c r="CP173"/>
  <c r="CP174"/>
  <c r="CP175"/>
  <c r="CP176"/>
  <c r="CP177"/>
  <c r="CP178"/>
  <c r="CP179"/>
  <c r="CP180"/>
  <c r="CP181"/>
  <c r="CP182"/>
  <c r="CP183"/>
  <c r="CP184"/>
  <c r="CP185"/>
  <c r="CP186"/>
  <c r="CP187"/>
  <c r="CP188"/>
  <c r="CP189"/>
  <c r="CP190"/>
  <c r="CP191"/>
  <c r="CP192"/>
  <c r="CP193"/>
  <c r="CP194"/>
  <c r="CP195"/>
  <c r="CP196"/>
  <c r="CP197"/>
  <c r="CP198"/>
  <c r="CP199"/>
  <c r="CP200"/>
  <c r="CP201"/>
  <c r="CP202"/>
  <c r="CP203"/>
  <c r="CP204"/>
  <c r="CP205"/>
  <c r="CP206"/>
  <c r="CP207"/>
  <c r="CP208"/>
  <c r="CP209"/>
  <c r="CP210"/>
  <c r="CP211"/>
  <c r="CP212"/>
  <c r="CP213"/>
  <c r="CP214"/>
  <c r="CP215"/>
  <c r="CP216"/>
  <c r="CP217"/>
  <c r="CP218"/>
  <c r="CP219"/>
  <c r="CP220"/>
  <c r="CP221"/>
  <c r="CP222"/>
  <c r="CP223"/>
  <c r="CP224"/>
  <c r="CP225"/>
  <c r="CP226"/>
  <c r="CP227"/>
  <c r="CP228"/>
  <c r="CP229"/>
  <c r="CP230"/>
  <c r="CP231"/>
  <c r="CP232"/>
  <c r="CP233"/>
  <c r="CP234"/>
  <c r="CP235"/>
  <c r="CP236"/>
  <c r="CP237"/>
  <c r="CP238"/>
  <c r="CP239"/>
  <c r="CP240"/>
  <c r="CP241"/>
  <c r="CP242"/>
  <c r="CP243"/>
  <c r="CP244"/>
  <c r="CP245"/>
  <c r="CP246"/>
  <c r="CP247"/>
  <c r="CP248"/>
  <c r="CP249"/>
  <c r="CP250"/>
  <c r="CP251"/>
  <c r="CP252"/>
  <c r="CP253"/>
  <c r="CP254"/>
  <c r="CP255"/>
  <c r="CP256"/>
  <c r="CP257"/>
  <c r="CP258"/>
  <c r="CP259"/>
  <c r="CP260"/>
  <c r="CP261"/>
  <c r="CP262"/>
  <c r="CP263"/>
  <c r="CP264"/>
  <c r="CP265"/>
  <c r="CP266"/>
  <c r="CP267"/>
  <c r="CP268"/>
  <c r="CP269"/>
  <c r="CP270"/>
  <c r="CP271"/>
  <c r="CP272"/>
  <c r="CP273"/>
  <c r="CP274"/>
  <c r="CP275"/>
  <c r="CP276"/>
  <c r="CP277"/>
  <c r="CP278"/>
  <c r="CP279"/>
  <c r="CP280"/>
  <c r="CP281"/>
  <c r="CP282"/>
  <c r="CP283"/>
  <c r="CP284"/>
  <c r="CP285"/>
  <c r="CP286"/>
  <c r="CP287"/>
  <c r="CP288"/>
  <c r="CP289"/>
  <c r="CP290"/>
  <c r="CP291"/>
  <c r="CP292"/>
  <c r="CP293"/>
  <c r="CP294"/>
  <c r="CP295"/>
  <c r="CP296"/>
  <c r="CP297"/>
  <c r="CP298"/>
  <c r="CP299"/>
  <c r="CP300"/>
  <c r="CP301"/>
  <c r="CP302"/>
  <c r="CP303"/>
  <c r="CP304"/>
  <c r="CP305"/>
  <c r="CP306"/>
  <c r="CP307"/>
  <c r="CP308"/>
  <c r="CP309"/>
  <c r="CP310"/>
  <c r="CP311"/>
  <c r="CP312"/>
  <c r="CP313"/>
  <c r="CP314"/>
  <c r="CP315"/>
  <c r="CP316"/>
  <c r="CP317"/>
  <c r="CP318"/>
  <c r="CP319"/>
  <c r="CP320"/>
  <c r="CP321"/>
  <c r="CP322"/>
  <c r="CP323"/>
  <c r="CP324"/>
  <c r="CP325"/>
  <c r="CP326"/>
  <c r="CP327"/>
  <c r="CP328"/>
  <c r="CP329"/>
  <c r="CP330"/>
  <c r="CP331"/>
  <c r="CP332"/>
  <c r="CP333"/>
  <c r="CP334"/>
  <c r="CP335"/>
  <c r="CP336"/>
  <c r="CP337"/>
  <c r="CP338"/>
  <c r="CP339"/>
  <c r="CP340"/>
  <c r="CP341"/>
  <c r="CP342"/>
  <c r="CP343"/>
  <c r="CP344"/>
  <c r="CP345"/>
  <c r="CP346"/>
  <c r="CP347"/>
  <c r="CP348"/>
  <c r="CP349"/>
  <c r="CP350"/>
  <c r="CP351"/>
  <c r="CP352"/>
  <c r="CP353"/>
  <c r="CP354"/>
  <c r="CP355"/>
  <c r="CP356"/>
  <c r="CP357"/>
  <c r="CP358"/>
  <c r="CP359"/>
  <c r="CP360"/>
  <c r="CP361"/>
  <c r="CP362"/>
  <c r="CP363"/>
  <c r="CP364"/>
  <c r="CP365"/>
  <c r="CP366"/>
  <c r="CP367"/>
  <c r="CP368"/>
  <c r="CP369"/>
  <c r="CP370"/>
  <c r="CP371"/>
  <c r="CP372"/>
  <c r="CP373"/>
  <c r="CP374"/>
  <c r="CP375"/>
  <c r="CP376"/>
  <c r="CP377"/>
  <c r="CP378"/>
  <c r="CP379"/>
  <c r="CP380"/>
  <c r="CP381"/>
  <c r="CP382"/>
  <c r="CP383"/>
  <c r="CP384"/>
  <c r="CP385"/>
  <c r="CP386"/>
  <c r="CP387"/>
  <c r="CP388"/>
  <c r="CP389"/>
  <c r="CP390"/>
  <c r="CP391"/>
  <c r="CP392"/>
  <c r="CP393"/>
  <c r="CP394"/>
  <c r="CP395"/>
  <c r="CP396"/>
  <c r="CP397"/>
  <c r="CP398"/>
  <c r="CP399"/>
  <c r="CP400"/>
  <c r="CP401"/>
  <c r="CP402"/>
  <c r="CP403"/>
  <c r="CP404"/>
  <c r="CP405"/>
  <c r="CP406"/>
  <c r="CP407"/>
  <c r="CP408"/>
  <c r="CP409"/>
  <c r="CP410"/>
  <c r="CP411"/>
  <c r="CP412"/>
  <c r="CP413"/>
  <c r="CP414"/>
  <c r="CP415"/>
  <c r="CP416"/>
  <c r="CP417"/>
  <c r="CP418"/>
  <c r="CP419"/>
  <c r="CP420"/>
  <c r="CP421"/>
  <c r="CP422"/>
  <c r="CP423"/>
  <c r="CP424"/>
  <c r="CP425"/>
  <c r="CP426"/>
  <c r="CP427"/>
  <c r="CP428"/>
  <c r="CP429"/>
  <c r="CP430"/>
  <c r="CP431"/>
  <c r="CP432"/>
  <c r="CP433"/>
  <c r="CP434"/>
  <c r="CP435"/>
  <c r="CP436"/>
  <c r="CP437"/>
  <c r="CP438"/>
  <c r="CP439"/>
  <c r="CP440"/>
  <c r="CP441"/>
  <c r="CP442"/>
  <c r="CP443"/>
  <c r="CP444"/>
  <c r="CP445"/>
  <c r="CP446"/>
  <c r="CP447"/>
  <c r="CP448"/>
  <c r="CP449"/>
  <c r="CP450"/>
  <c r="CP451"/>
  <c r="CP452"/>
  <c r="CP453"/>
  <c r="CP454"/>
  <c r="CP455"/>
  <c r="CP456"/>
  <c r="CP457"/>
  <c r="CP458"/>
  <c r="CP459"/>
  <c r="CP460"/>
  <c r="CP461"/>
  <c r="CP462"/>
  <c r="CP463"/>
  <c r="CP464"/>
  <c r="CP465"/>
  <c r="CP466"/>
  <c r="CP467"/>
  <c r="CP468"/>
  <c r="CP469"/>
  <c r="CP470"/>
  <c r="CP471"/>
  <c r="CP472"/>
  <c r="CP473"/>
  <c r="CP474"/>
  <c r="CP475"/>
  <c r="CP476"/>
  <c r="CP477"/>
  <c r="CP478"/>
  <c r="CP479"/>
  <c r="CP480"/>
  <c r="CP481"/>
  <c r="CP482"/>
  <c r="CP483"/>
  <c r="CP484"/>
  <c r="CP485"/>
  <c r="CP486"/>
  <c r="CP487"/>
  <c r="CP488"/>
  <c r="CP489"/>
  <c r="CP490"/>
  <c r="CP491"/>
  <c r="CP492"/>
  <c r="CP493"/>
  <c r="CP494"/>
  <c r="CP495"/>
  <c r="CP496"/>
  <c r="CP497"/>
  <c r="CP498"/>
  <c r="CP499"/>
  <c r="CP500"/>
  <c r="CP501"/>
  <c r="CP502"/>
  <c r="CP503"/>
  <c r="CP504"/>
  <c r="CP505"/>
  <c r="CP506"/>
  <c r="CP507"/>
  <c r="CP508"/>
  <c r="CP509"/>
  <c r="CP510"/>
  <c r="CP511"/>
  <c r="CP512"/>
  <c r="CP513"/>
  <c r="CP514"/>
  <c r="CP515"/>
  <c r="CP516"/>
  <c r="CP517"/>
  <c r="CP518"/>
  <c r="CP519"/>
  <c r="CP520"/>
  <c r="CP521"/>
  <c r="CP522"/>
  <c r="CP523"/>
  <c r="CP524"/>
  <c r="CP525"/>
  <c r="CP526"/>
  <c r="CP527"/>
  <c r="CP528"/>
  <c r="CP529"/>
  <c r="CP530"/>
  <c r="CP531"/>
  <c r="CP532"/>
  <c r="CP533"/>
  <c r="CP534"/>
  <c r="CP535"/>
  <c r="CP536"/>
  <c r="CP537"/>
  <c r="CP538"/>
  <c r="CP539"/>
  <c r="CP540"/>
  <c r="CP541"/>
  <c r="CP542"/>
  <c r="CP543"/>
  <c r="CP544"/>
  <c r="CP545"/>
  <c r="CP546"/>
  <c r="CP547"/>
  <c r="CP548"/>
  <c r="CP549"/>
  <c r="CP550"/>
  <c r="CP551"/>
  <c r="CP552"/>
  <c r="CP553"/>
  <c r="CP554"/>
  <c r="CP555"/>
  <c r="CP556"/>
  <c r="CP557"/>
  <c r="CP558"/>
  <c r="CP559"/>
  <c r="CP560"/>
  <c r="CP561"/>
  <c r="CP562"/>
  <c r="CP563"/>
  <c r="CP564"/>
  <c r="CP565"/>
  <c r="CP566"/>
  <c r="CP567"/>
  <c r="CP568"/>
  <c r="CP569"/>
  <c r="CP570"/>
  <c r="CP571"/>
  <c r="CP572"/>
  <c r="CP573"/>
  <c r="CP574"/>
  <c r="CP575"/>
  <c r="CP576"/>
  <c r="CP577"/>
  <c r="CP578"/>
  <c r="CP579"/>
  <c r="CP580"/>
  <c r="CP581"/>
  <c r="CP582"/>
  <c r="CP583"/>
  <c r="CP584"/>
  <c r="CP585"/>
  <c r="CP586"/>
  <c r="CP587"/>
  <c r="CP588"/>
  <c r="CP589"/>
  <c r="CP590"/>
  <c r="CP591"/>
  <c r="CP592"/>
  <c r="CP593"/>
  <c r="CP594"/>
  <c r="CP595"/>
  <c r="CP596"/>
  <c r="CP597"/>
  <c r="CP598"/>
  <c r="CP599"/>
  <c r="CP600"/>
  <c r="CP601"/>
  <c r="CP602"/>
  <c r="CP3"/>
  <c r="CO4"/>
  <c r="CO5"/>
  <c r="CO6"/>
  <c r="CO7"/>
  <c r="CO8"/>
  <c r="CO9"/>
  <c r="CO10"/>
  <c r="CO11"/>
  <c r="CO12"/>
  <c r="CO13"/>
  <c r="CO14"/>
  <c r="CO15"/>
  <c r="CO16"/>
  <c r="CO17"/>
  <c r="CO18"/>
  <c r="CO19"/>
  <c r="CO20"/>
  <c r="CO21"/>
  <c r="CO22"/>
  <c r="CO23"/>
  <c r="CO24"/>
  <c r="CO25"/>
  <c r="CO26"/>
  <c r="CO27"/>
  <c r="CO28"/>
  <c r="CO29"/>
  <c r="CO30"/>
  <c r="CO31"/>
  <c r="CO32"/>
  <c r="CO33"/>
  <c r="CO34"/>
  <c r="CO35"/>
  <c r="CO36"/>
  <c r="CO37"/>
  <c r="CO38"/>
  <c r="CO39"/>
  <c r="CO40"/>
  <c r="CO41"/>
  <c r="CO42"/>
  <c r="CO43"/>
  <c r="CO44"/>
  <c r="CO45"/>
  <c r="CO46"/>
  <c r="CO47"/>
  <c r="CO48"/>
  <c r="CO49"/>
  <c r="CO50"/>
  <c r="CO51"/>
  <c r="CO52"/>
  <c r="CO53"/>
  <c r="CO54"/>
  <c r="CO55"/>
  <c r="CO56"/>
  <c r="CO57"/>
  <c r="CO58"/>
  <c r="CO59"/>
  <c r="CO60"/>
  <c r="CO61"/>
  <c r="CO62"/>
  <c r="CO63"/>
  <c r="CO64"/>
  <c r="CO65"/>
  <c r="CO66"/>
  <c r="CO67"/>
  <c r="CO68"/>
  <c r="CO69"/>
  <c r="CO70"/>
  <c r="CO71"/>
  <c r="CO72"/>
  <c r="CO73"/>
  <c r="CO74"/>
  <c r="CO75"/>
  <c r="CO76"/>
  <c r="CO77"/>
  <c r="CO78"/>
  <c r="CO79"/>
  <c r="CO80"/>
  <c r="CO81"/>
  <c r="CO82"/>
  <c r="CO83"/>
  <c r="CO84"/>
  <c r="CO85"/>
  <c r="CO86"/>
  <c r="CO87"/>
  <c r="CO88"/>
  <c r="CO89"/>
  <c r="CO90"/>
  <c r="CO91"/>
  <c r="CO92"/>
  <c r="CO93"/>
  <c r="CO94"/>
  <c r="CO95"/>
  <c r="CO96"/>
  <c r="CO97"/>
  <c r="CO98"/>
  <c r="CO99"/>
  <c r="CO100"/>
  <c r="CO101"/>
  <c r="CO102"/>
  <c r="CO103"/>
  <c r="CO104"/>
  <c r="CO105"/>
  <c r="CO106"/>
  <c r="CO107"/>
  <c r="CO108"/>
  <c r="CO109"/>
  <c r="CO110"/>
  <c r="CO111"/>
  <c r="CO112"/>
  <c r="CO113"/>
  <c r="CO114"/>
  <c r="CO115"/>
  <c r="CO116"/>
  <c r="CO117"/>
  <c r="CO118"/>
  <c r="CO119"/>
  <c r="CO120"/>
  <c r="CO121"/>
  <c r="CO122"/>
  <c r="CO123"/>
  <c r="CO124"/>
  <c r="CO125"/>
  <c r="CO126"/>
  <c r="CO127"/>
  <c r="CO128"/>
  <c r="CO129"/>
  <c r="CO130"/>
  <c r="CO131"/>
  <c r="CO132"/>
  <c r="CO133"/>
  <c r="CO134"/>
  <c r="CO135"/>
  <c r="CO136"/>
  <c r="CO137"/>
  <c r="CO138"/>
  <c r="CO139"/>
  <c r="CO140"/>
  <c r="CO141"/>
  <c r="CO142"/>
  <c r="CO143"/>
  <c r="CO144"/>
  <c r="CO145"/>
  <c r="CO146"/>
  <c r="CO147"/>
  <c r="CO148"/>
  <c r="CO149"/>
  <c r="CO150"/>
  <c r="CO151"/>
  <c r="CO152"/>
  <c r="CO153"/>
  <c r="CO154"/>
  <c r="CO155"/>
  <c r="CO156"/>
  <c r="CO157"/>
  <c r="CO158"/>
  <c r="CO159"/>
  <c r="CO160"/>
  <c r="CO161"/>
  <c r="CO162"/>
  <c r="CO163"/>
  <c r="CO164"/>
  <c r="CO165"/>
  <c r="CO166"/>
  <c r="CO167"/>
  <c r="CO168"/>
  <c r="CO169"/>
  <c r="CO170"/>
  <c r="CO171"/>
  <c r="CO172"/>
  <c r="CO173"/>
  <c r="CO174"/>
  <c r="CO175"/>
  <c r="CO176"/>
  <c r="CO177"/>
  <c r="CO178"/>
  <c r="CO179"/>
  <c r="CO180"/>
  <c r="CO181"/>
  <c r="CO182"/>
  <c r="CO183"/>
  <c r="CO184"/>
  <c r="CO185"/>
  <c r="CO186"/>
  <c r="CO187"/>
  <c r="CO188"/>
  <c r="CO189"/>
  <c r="CO190"/>
  <c r="CO191"/>
  <c r="CO192"/>
  <c r="CO193"/>
  <c r="CO194"/>
  <c r="CO195"/>
  <c r="CO196"/>
  <c r="CO197"/>
  <c r="CO198"/>
  <c r="CO199"/>
  <c r="CO200"/>
  <c r="CO201"/>
  <c r="CO202"/>
  <c r="CO203"/>
  <c r="CO204"/>
  <c r="CO205"/>
  <c r="CO206"/>
  <c r="CO207"/>
  <c r="CO208"/>
  <c r="CO209"/>
  <c r="CO210"/>
  <c r="CO211"/>
  <c r="CO212"/>
  <c r="CO213"/>
  <c r="CO214"/>
  <c r="CO215"/>
  <c r="CO216"/>
  <c r="CO217"/>
  <c r="CO218"/>
  <c r="CO219"/>
  <c r="CO220"/>
  <c r="CO221"/>
  <c r="CO222"/>
  <c r="CO223"/>
  <c r="CO224"/>
  <c r="CO225"/>
  <c r="CO226"/>
  <c r="CO227"/>
  <c r="CO228"/>
  <c r="CO229"/>
  <c r="CO230"/>
  <c r="CO231"/>
  <c r="CO232"/>
  <c r="CO233"/>
  <c r="CO234"/>
  <c r="CO235"/>
  <c r="CO236"/>
  <c r="CO237"/>
  <c r="CO238"/>
  <c r="CO239"/>
  <c r="CO240"/>
  <c r="CO241"/>
  <c r="CO242"/>
  <c r="CO243"/>
  <c r="CO244"/>
  <c r="CO245"/>
  <c r="CO246"/>
  <c r="CO247"/>
  <c r="CO248"/>
  <c r="CO249"/>
  <c r="CO250"/>
  <c r="CO251"/>
  <c r="CO252"/>
  <c r="CO253"/>
  <c r="CO254"/>
  <c r="CO255"/>
  <c r="CO256"/>
  <c r="CO257"/>
  <c r="CO258"/>
  <c r="CO259"/>
  <c r="CO260"/>
  <c r="CO261"/>
  <c r="CO262"/>
  <c r="CO263"/>
  <c r="CO264"/>
  <c r="CO265"/>
  <c r="CO266"/>
  <c r="CO267"/>
  <c r="CO268"/>
  <c r="CO269"/>
  <c r="CO270"/>
  <c r="CO271"/>
  <c r="CO272"/>
  <c r="CO273"/>
  <c r="CO274"/>
  <c r="CO275"/>
  <c r="CO276"/>
  <c r="CO277"/>
  <c r="CO278"/>
  <c r="CO279"/>
  <c r="CO280"/>
  <c r="CO281"/>
  <c r="CO282"/>
  <c r="CO283"/>
  <c r="CO284"/>
  <c r="CO285"/>
  <c r="CO286"/>
  <c r="CO287"/>
  <c r="CO288"/>
  <c r="CO289"/>
  <c r="CO290"/>
  <c r="CO291"/>
  <c r="CO292"/>
  <c r="CO293"/>
  <c r="CO294"/>
  <c r="CO295"/>
  <c r="CO296"/>
  <c r="CO297"/>
  <c r="CO298"/>
  <c r="CO299"/>
  <c r="CO300"/>
  <c r="CO301"/>
  <c r="CO302"/>
  <c r="CO303"/>
  <c r="CO304"/>
  <c r="CO305"/>
  <c r="CO306"/>
  <c r="CO307"/>
  <c r="CO308"/>
  <c r="CO309"/>
  <c r="CO310"/>
  <c r="CO311"/>
  <c r="CO312"/>
  <c r="CO313"/>
  <c r="CO314"/>
  <c r="CO315"/>
  <c r="CO316"/>
  <c r="CO317"/>
  <c r="CO318"/>
  <c r="CO319"/>
  <c r="CO320"/>
  <c r="CO321"/>
  <c r="CO322"/>
  <c r="CO323"/>
  <c r="CO324"/>
  <c r="CO325"/>
  <c r="CO326"/>
  <c r="CO327"/>
  <c r="CO328"/>
  <c r="CO329"/>
  <c r="CO330"/>
  <c r="CO331"/>
  <c r="CO332"/>
  <c r="CO333"/>
  <c r="CO334"/>
  <c r="CO335"/>
  <c r="CO336"/>
  <c r="CO337"/>
  <c r="CO338"/>
  <c r="CO339"/>
  <c r="CO340"/>
  <c r="CO341"/>
  <c r="CO342"/>
  <c r="CO343"/>
  <c r="CO344"/>
  <c r="CO345"/>
  <c r="CO346"/>
  <c r="CO347"/>
  <c r="CO348"/>
  <c r="CO349"/>
  <c r="CO350"/>
  <c r="CO351"/>
  <c r="CO352"/>
  <c r="CO353"/>
  <c r="CO354"/>
  <c r="CO355"/>
  <c r="CO356"/>
  <c r="CO357"/>
  <c r="CO358"/>
  <c r="CO359"/>
  <c r="CO360"/>
  <c r="CO361"/>
  <c r="CO362"/>
  <c r="CO363"/>
  <c r="CO364"/>
  <c r="CO365"/>
  <c r="CO366"/>
  <c r="CO367"/>
  <c r="CO368"/>
  <c r="CO369"/>
  <c r="CO370"/>
  <c r="CO371"/>
  <c r="CO372"/>
  <c r="CO373"/>
  <c r="CO374"/>
  <c r="CO375"/>
  <c r="CO376"/>
  <c r="CO377"/>
  <c r="CO378"/>
  <c r="CO379"/>
  <c r="CO380"/>
  <c r="CO381"/>
  <c r="CO382"/>
  <c r="CO383"/>
  <c r="CO384"/>
  <c r="CO385"/>
  <c r="CO386"/>
  <c r="CO387"/>
  <c r="CO388"/>
  <c r="CO389"/>
  <c r="CO390"/>
  <c r="CO391"/>
  <c r="CO392"/>
  <c r="CO393"/>
  <c r="CO394"/>
  <c r="CO395"/>
  <c r="CO396"/>
  <c r="CO397"/>
  <c r="CO398"/>
  <c r="CO399"/>
  <c r="CO400"/>
  <c r="CO401"/>
  <c r="CO402"/>
  <c r="CO403"/>
  <c r="CO404"/>
  <c r="CO405"/>
  <c r="CO406"/>
  <c r="CO407"/>
  <c r="CO408"/>
  <c r="CO409"/>
  <c r="CO410"/>
  <c r="CO411"/>
  <c r="CO412"/>
  <c r="CO413"/>
  <c r="CO414"/>
  <c r="CO415"/>
  <c r="CO416"/>
  <c r="CO417"/>
  <c r="CO418"/>
  <c r="CO419"/>
  <c r="CO420"/>
  <c r="CO421"/>
  <c r="CO422"/>
  <c r="CO423"/>
  <c r="CO424"/>
  <c r="CO425"/>
  <c r="CO426"/>
  <c r="CO427"/>
  <c r="CO428"/>
  <c r="CO429"/>
  <c r="CO430"/>
  <c r="CO431"/>
  <c r="CO432"/>
  <c r="CO433"/>
  <c r="CO434"/>
  <c r="CO435"/>
  <c r="CO436"/>
  <c r="CO437"/>
  <c r="CO438"/>
  <c r="CO439"/>
  <c r="CO440"/>
  <c r="CO441"/>
  <c r="CO442"/>
  <c r="CO443"/>
  <c r="CO444"/>
  <c r="CO445"/>
  <c r="CO446"/>
  <c r="CO447"/>
  <c r="CO448"/>
  <c r="CO449"/>
  <c r="CO450"/>
  <c r="CO451"/>
  <c r="CO452"/>
  <c r="CO453"/>
  <c r="CO454"/>
  <c r="CO455"/>
  <c r="CO456"/>
  <c r="CO457"/>
  <c r="CO458"/>
  <c r="CO459"/>
  <c r="CO460"/>
  <c r="CO461"/>
  <c r="CO462"/>
  <c r="CO463"/>
  <c r="CO464"/>
  <c r="CO465"/>
  <c r="CO466"/>
  <c r="CO467"/>
  <c r="CO468"/>
  <c r="CO469"/>
  <c r="CO470"/>
  <c r="CO471"/>
  <c r="CO472"/>
  <c r="CO473"/>
  <c r="CO474"/>
  <c r="CO475"/>
  <c r="CO476"/>
  <c r="CO477"/>
  <c r="CO478"/>
  <c r="CO479"/>
  <c r="CO480"/>
  <c r="CO481"/>
  <c r="CO482"/>
  <c r="CO483"/>
  <c r="CO484"/>
  <c r="CO485"/>
  <c r="CO486"/>
  <c r="CO487"/>
  <c r="CO488"/>
  <c r="CO489"/>
  <c r="CO490"/>
  <c r="CO491"/>
  <c r="CO492"/>
  <c r="CO493"/>
  <c r="CO494"/>
  <c r="CO495"/>
  <c r="CO496"/>
  <c r="CO497"/>
  <c r="CO498"/>
  <c r="CO499"/>
  <c r="CO500"/>
  <c r="CO501"/>
  <c r="CO502"/>
  <c r="CO503"/>
  <c r="CO504"/>
  <c r="CO505"/>
  <c r="CO506"/>
  <c r="CO507"/>
  <c r="CO508"/>
  <c r="CO509"/>
  <c r="CO510"/>
  <c r="CO511"/>
  <c r="CO512"/>
  <c r="CO513"/>
  <c r="CO514"/>
  <c r="CO515"/>
  <c r="CO516"/>
  <c r="CO517"/>
  <c r="CO518"/>
  <c r="CO519"/>
  <c r="CO520"/>
  <c r="CO521"/>
  <c r="CO522"/>
  <c r="CO523"/>
  <c r="CO524"/>
  <c r="CO525"/>
  <c r="CO526"/>
  <c r="CO527"/>
  <c r="CO528"/>
  <c r="CO529"/>
  <c r="CO530"/>
  <c r="CO531"/>
  <c r="CO532"/>
  <c r="CO533"/>
  <c r="CO534"/>
  <c r="CO535"/>
  <c r="CO536"/>
  <c r="CO537"/>
  <c r="CO538"/>
  <c r="CO539"/>
  <c r="CO540"/>
  <c r="CO541"/>
  <c r="CO542"/>
  <c r="CO543"/>
  <c r="CO544"/>
  <c r="CO545"/>
  <c r="CO546"/>
  <c r="CO547"/>
  <c r="CO548"/>
  <c r="CO549"/>
  <c r="CO550"/>
  <c r="CO551"/>
  <c r="CO552"/>
  <c r="CO553"/>
  <c r="CO554"/>
  <c r="CO555"/>
  <c r="CO556"/>
  <c r="CO557"/>
  <c r="CO558"/>
  <c r="CO559"/>
  <c r="CO560"/>
  <c r="CO561"/>
  <c r="CO562"/>
  <c r="CO563"/>
  <c r="CO564"/>
  <c r="CO565"/>
  <c r="CO566"/>
  <c r="CO567"/>
  <c r="CO568"/>
  <c r="CO569"/>
  <c r="CO570"/>
  <c r="CO571"/>
  <c r="CO572"/>
  <c r="CO573"/>
  <c r="CO574"/>
  <c r="CO575"/>
  <c r="CO576"/>
  <c r="CO577"/>
  <c r="CO578"/>
  <c r="CO579"/>
  <c r="CO580"/>
  <c r="CO581"/>
  <c r="CO582"/>
  <c r="CO583"/>
  <c r="CO584"/>
  <c r="CO585"/>
  <c r="CO586"/>
  <c r="CO587"/>
  <c r="CO588"/>
  <c r="CO589"/>
  <c r="CO590"/>
  <c r="CO591"/>
  <c r="CO592"/>
  <c r="CO593"/>
  <c r="CO594"/>
  <c r="CO595"/>
  <c r="CO596"/>
  <c r="CO597"/>
  <c r="CO598"/>
  <c r="CO599"/>
  <c r="CO600"/>
  <c r="CO601"/>
  <c r="CO602"/>
  <c r="CO3"/>
  <c r="F16" i="8"/>
  <c r="F17"/>
  <c r="F18"/>
  <c r="F19"/>
  <c r="F20"/>
  <c r="F395" i="2"/>
  <c r="F396"/>
  <c r="F397"/>
  <c r="F398"/>
  <c r="D19" i="8" l="1"/>
  <c r="E19" s="1"/>
  <c r="D17"/>
  <c r="E17" s="1"/>
  <c r="D396" i="2"/>
  <c r="E396" s="1"/>
  <c r="D18" i="8"/>
  <c r="E18" s="1"/>
  <c r="D20"/>
  <c r="E20" s="1"/>
  <c r="D397" i="2"/>
  <c r="E397" s="1"/>
  <c r="D398"/>
  <c r="E398" s="1"/>
  <c r="F401"/>
  <c r="CM3" i="1" l="1"/>
  <c r="CN3" s="1"/>
  <c r="F23" i="8" l="1"/>
  <c r="D23" s="1"/>
  <c r="D401" i="2"/>
  <c r="F72" i="8"/>
  <c r="F73"/>
  <c r="F74"/>
  <c r="F71"/>
  <c r="D71" s="1"/>
  <c r="F65"/>
  <c r="F66"/>
  <c r="F67"/>
  <c r="F68"/>
  <c r="F64"/>
  <c r="D64" s="1"/>
  <c r="F56"/>
  <c r="F57"/>
  <c r="F58"/>
  <c r="F59"/>
  <c r="F60"/>
  <c r="F61"/>
  <c r="F55"/>
  <c r="D55" s="1"/>
  <c r="F46"/>
  <c r="F47"/>
  <c r="F48"/>
  <c r="F49"/>
  <c r="F50"/>
  <c r="F51"/>
  <c r="F52"/>
  <c r="F45"/>
  <c r="D45" s="1"/>
  <c r="F40"/>
  <c r="F41"/>
  <c r="F42"/>
  <c r="F39"/>
  <c r="D39" s="1"/>
  <c r="F31"/>
  <c r="F30"/>
  <c r="D30" s="1"/>
  <c r="F25"/>
  <c r="F26"/>
  <c r="F27"/>
  <c r="F24"/>
  <c r="F13"/>
  <c r="F14"/>
  <c r="F15"/>
  <c r="D16" s="1"/>
  <c r="E16" s="1"/>
  <c r="F12"/>
  <c r="D12" s="1"/>
  <c r="F5"/>
  <c r="F6"/>
  <c r="F7"/>
  <c r="F8"/>
  <c r="F9"/>
  <c r="F4"/>
  <c r="D4" s="1"/>
  <c r="F5" i="5"/>
  <c r="F4"/>
  <c r="D4" s="1"/>
  <c r="F27" i="48"/>
  <c r="F26"/>
  <c r="D26" s="1"/>
  <c r="F23"/>
  <c r="F22"/>
  <c r="D22" s="1"/>
  <c r="F19"/>
  <c r="F18"/>
  <c r="D18" s="1"/>
  <c r="F15"/>
  <c r="F14"/>
  <c r="D14" s="1"/>
  <c r="F10"/>
  <c r="F9"/>
  <c r="D9" s="1"/>
  <c r="F38" i="38"/>
  <c r="F37"/>
  <c r="F36"/>
  <c r="F35"/>
  <c r="F34"/>
  <c r="D34" s="1"/>
  <c r="F13" i="47"/>
  <c r="F12"/>
  <c r="F11"/>
  <c r="F10"/>
  <c r="F9"/>
  <c r="D9" s="1"/>
  <c r="F6"/>
  <c r="F5"/>
  <c r="F4"/>
  <c r="D4" s="1"/>
  <c r="J276" i="32"/>
  <c r="D104" i="29"/>
  <c r="B83"/>
  <c r="J265" i="32"/>
  <c r="B299" i="29"/>
  <c r="F286" i="32"/>
  <c r="D830" i="46"/>
  <c r="H167" i="29"/>
  <c r="F244" i="32"/>
  <c r="D136" i="29"/>
  <c r="C863" i="46"/>
  <c r="H243" i="29"/>
  <c r="D28"/>
  <c r="B126"/>
  <c r="N235" i="32"/>
  <c r="B261" i="29"/>
  <c r="C829" i="46"/>
  <c r="B5" i="32"/>
  <c r="H40" i="29"/>
  <c r="B104"/>
  <c r="B910" i="46"/>
  <c r="J28" i="32"/>
  <c r="B50" i="29"/>
  <c r="J252"/>
  <c r="H186"/>
  <c r="B273"/>
  <c r="J272"/>
  <c r="B41"/>
  <c r="D264" i="32"/>
  <c r="B167" i="29"/>
  <c r="J186"/>
  <c r="D254" i="32"/>
  <c r="D911" i="46"/>
  <c r="J50" i="29"/>
  <c r="D862" i="46"/>
  <c r="H126" i="29"/>
  <c r="D829" i="46"/>
  <c r="D208" i="29"/>
  <c r="D894" i="46"/>
  <c r="B93" i="29"/>
  <c r="J29" i="32"/>
  <c r="B243"/>
  <c r="J232" i="29"/>
  <c r="C854" i="46"/>
  <c r="D902"/>
  <c r="F276" i="32"/>
  <c r="B235"/>
  <c r="H5" i="29"/>
  <c r="N234" i="32"/>
  <c r="N225"/>
  <c r="C846" i="46"/>
  <c r="D7" i="32"/>
  <c r="D298" i="29"/>
  <c r="B286" i="32"/>
  <c r="B903" i="46"/>
  <c r="D103" i="29"/>
  <c r="H50"/>
  <c r="N276" i="32"/>
  <c r="B103" i="29"/>
  <c r="J40"/>
  <c r="B862" i="46"/>
  <c r="C878"/>
  <c r="H219" i="29"/>
  <c r="H262"/>
  <c r="J157"/>
  <c r="L265" i="32"/>
  <c r="L254"/>
  <c r="F275"/>
  <c r="N253"/>
  <c r="D157" i="29"/>
  <c r="B828" i="46"/>
  <c r="J218" i="29"/>
  <c r="H232"/>
  <c r="D235" i="32"/>
  <c r="D895" i="46"/>
  <c r="H136" i="29"/>
  <c r="B264" i="32"/>
  <c r="D878" i="46"/>
  <c r="D286" i="32"/>
  <c r="D262" i="29"/>
  <c r="C871" i="46"/>
  <c r="C910"/>
  <c r="H187" i="29"/>
  <c r="D300"/>
  <c r="B40"/>
  <c r="B298"/>
  <c r="H208"/>
  <c r="H156"/>
  <c r="N275" i="32"/>
  <c r="H252" i="29"/>
  <c r="D838" i="46"/>
  <c r="C862"/>
  <c r="J207" i="29"/>
  <c r="B208"/>
  <c r="N29" i="32"/>
  <c r="J29" i="29"/>
  <c r="J156"/>
  <c r="B855" i="46"/>
  <c r="J262" i="29"/>
  <c r="C895" i="46"/>
  <c r="F243" i="32"/>
  <c r="D903" i="46"/>
  <c r="J6" i="32"/>
  <c r="D41" i="29"/>
  <c r="L264" i="32"/>
  <c r="B146" i="29"/>
  <c r="J229"/>
  <c r="H64"/>
  <c r="B234" i="32"/>
  <c r="B28" i="29"/>
  <c r="B879" i="46"/>
  <c r="H83" i="29"/>
  <c r="B197"/>
  <c r="D50"/>
  <c r="J284"/>
  <c r="B300"/>
  <c r="L16" i="32"/>
  <c r="B52" i="29"/>
  <c r="J264" i="32"/>
  <c r="F5"/>
  <c r="N16"/>
  <c r="C830" i="46"/>
  <c r="F6" i="32"/>
  <c r="J5"/>
  <c r="B157" i="29"/>
  <c r="H177"/>
  <c r="D296"/>
  <c r="H198"/>
  <c r="D273"/>
  <c r="D126"/>
  <c r="H285"/>
  <c r="D299"/>
  <c r="B878" i="46"/>
  <c r="D275" i="32"/>
  <c r="L224"/>
  <c r="B886" i="46"/>
  <c r="J64" i="29"/>
  <c r="D83"/>
  <c r="B73"/>
  <c r="J219"/>
  <c r="J115"/>
  <c r="J41"/>
  <c r="N243" i="32"/>
  <c r="D166" i="29"/>
  <c r="D253" i="32"/>
  <c r="J275"/>
  <c r="D297" i="29"/>
  <c r="B275" i="32"/>
  <c r="J16" i="29"/>
  <c r="H218"/>
  <c r="D94"/>
  <c r="B94"/>
  <c r="B831" i="46"/>
  <c r="D167" i="29"/>
  <c r="C903" i="46"/>
  <c r="J197" i="29"/>
  <c r="B297"/>
  <c r="H63"/>
  <c r="J126"/>
  <c r="J83"/>
  <c r="H272"/>
  <c r="B156"/>
  <c r="D831" i="46"/>
  <c r="J224" i="32"/>
  <c r="J187" i="29"/>
  <c r="J63"/>
  <c r="C886" i="46"/>
  <c r="J147" i="29"/>
  <c r="H41"/>
  <c r="J74"/>
  <c r="F254" i="32"/>
  <c r="J198" i="29"/>
  <c r="H196"/>
  <c r="D879" i="46"/>
  <c r="H73" i="29"/>
  <c r="F7" i="32"/>
  <c r="B186" i="29"/>
  <c r="N224" i="32"/>
  <c r="J16"/>
  <c r="B6"/>
  <c r="J137" i="29"/>
  <c r="C838" i="46"/>
  <c r="B176" i="29"/>
  <c r="J93"/>
  <c r="B7" i="32"/>
  <c r="B196" i="29"/>
  <c r="J6"/>
  <c r="J235" i="32"/>
  <c r="D252" i="29"/>
  <c r="H242"/>
  <c r="D176"/>
  <c r="J125"/>
  <c r="F28" i="32"/>
  <c r="D114" i="29"/>
  <c r="B218"/>
  <c r="B54"/>
  <c r="D839" i="46"/>
  <c r="B887"/>
  <c r="J225" i="32"/>
  <c r="D828" i="46"/>
  <c r="D846"/>
  <c r="H197" i="29"/>
  <c r="F235" i="32"/>
  <c r="H207" i="29"/>
  <c r="D197"/>
  <c r="N17" i="32"/>
  <c r="B29"/>
  <c r="J167" i="29"/>
  <c r="N28" i="32"/>
  <c r="D28"/>
  <c r="J253"/>
  <c r="J223"/>
  <c r="B115" i="29"/>
  <c r="D29" i="32"/>
  <c r="B830" i="46"/>
  <c r="H115" i="29"/>
  <c r="B839" i="46"/>
  <c r="D847"/>
  <c r="D229" i="29"/>
  <c r="D854" i="46"/>
  <c r="H16" i="29"/>
  <c r="J230"/>
  <c r="J251"/>
  <c r="D283"/>
  <c r="B262"/>
  <c r="B871" i="46"/>
  <c r="N5" i="32"/>
  <c r="L253"/>
  <c r="H273" i="29"/>
  <c r="B244" i="32"/>
  <c r="L6"/>
  <c r="B863" i="46"/>
  <c r="D218" i="29"/>
  <c r="D29"/>
  <c r="H51"/>
  <c r="H104"/>
  <c r="B846" i="46"/>
  <c r="H74" i="29"/>
  <c r="B894" i="46"/>
  <c r="C911"/>
  <c r="B136" i="29"/>
  <c r="D251"/>
  <c r="J166"/>
  <c r="B296"/>
  <c r="H125"/>
  <c r="H166"/>
  <c r="J254" i="32"/>
  <c r="C902" i="46"/>
  <c r="H251" i="29"/>
  <c r="J146"/>
  <c r="D265" i="32"/>
  <c r="C831" i="46"/>
  <c r="D196" i="29"/>
  <c r="N6" i="32"/>
  <c r="J243" i="29"/>
  <c r="C847" i="46"/>
  <c r="C879"/>
  <c r="J73" i="29"/>
  <c r="D64"/>
  <c r="D54"/>
  <c r="H6"/>
  <c r="L5" i="32"/>
  <c r="B137" i="29"/>
  <c r="B147"/>
  <c r="H157"/>
  <c r="D272"/>
  <c r="H229"/>
  <c r="J5"/>
  <c r="J17"/>
  <c r="J94"/>
  <c r="D73"/>
  <c r="J196"/>
  <c r="D6" i="32"/>
  <c r="J103" i="29"/>
  <c r="D63"/>
  <c r="B230"/>
  <c r="B219"/>
  <c r="H94"/>
  <c r="J84"/>
  <c r="D125"/>
  <c r="B276" i="32"/>
  <c r="H176" i="29"/>
  <c r="B177"/>
  <c r="C855" i="46"/>
  <c r="F234" i="32"/>
  <c r="F29"/>
  <c r="L29"/>
  <c r="J243"/>
  <c r="B84" i="29"/>
  <c r="L17" i="32"/>
  <c r="L28"/>
  <c r="J114" i="29"/>
  <c r="J261"/>
  <c r="B229"/>
  <c r="B895" i="46"/>
  <c r="D219" i="29"/>
  <c r="H84"/>
  <c r="D207"/>
  <c r="D886" i="46"/>
  <c r="H17" i="29"/>
  <c r="J244" i="32"/>
  <c r="B854" i="46"/>
  <c r="D187" i="29"/>
  <c r="L223" i="32"/>
  <c r="B284" i="29"/>
  <c r="N264" i="32"/>
  <c r="B252" i="29"/>
  <c r="H261"/>
  <c r="D74"/>
  <c r="C887" i="46"/>
  <c r="B251" i="29"/>
  <c r="B283"/>
  <c r="B838" i="46"/>
  <c r="F265" i="32"/>
  <c r="D871" i="46"/>
  <c r="N223" i="32"/>
  <c r="D147" i="29"/>
  <c r="B53"/>
  <c r="D52"/>
  <c r="B829" i="46"/>
  <c r="C870"/>
  <c r="J285" i="29"/>
  <c r="D146"/>
  <c r="C839" i="46"/>
  <c r="H231" i="29"/>
  <c r="H230"/>
  <c r="L235" i="32"/>
  <c r="B253"/>
  <c r="J176" i="29"/>
  <c r="N244" i="32"/>
  <c r="B125" i="29"/>
  <c r="D244" i="32"/>
  <c r="C828" i="46"/>
  <c r="B847"/>
  <c r="B28" i="32"/>
  <c r="D887" i="46"/>
  <c r="D115" i="29"/>
  <c r="C894" i="46"/>
  <c r="D177" i="29"/>
  <c r="D910" i="46"/>
  <c r="J28" i="29"/>
  <c r="B166"/>
  <c r="F253" i="32"/>
  <c r="B51" i="29"/>
  <c r="B265" i="32"/>
  <c r="H93" i="29"/>
  <c r="J177"/>
  <c r="B870" i="46"/>
  <c r="D51" i="29"/>
  <c r="J231"/>
  <c r="J234" i="32"/>
  <c r="B902" i="46"/>
  <c r="D156" i="29"/>
  <c r="B207"/>
  <c r="J51"/>
  <c r="D53"/>
  <c r="B911" i="46"/>
  <c r="B114" i="29"/>
  <c r="B29"/>
  <c r="D137"/>
  <c r="J273"/>
  <c r="L244" i="32"/>
  <c r="L243"/>
  <c r="H29" i="29"/>
  <c r="J208"/>
  <c r="D870" i="46"/>
  <c r="D230" i="29"/>
  <c r="D5" i="32"/>
  <c r="N254"/>
  <c r="B64" i="29"/>
  <c r="L276" i="32"/>
  <c r="N265"/>
  <c r="B74" i="29"/>
  <c r="H146"/>
  <c r="L225" i="32"/>
  <c r="B63" i="29"/>
  <c r="D40"/>
  <c r="J242"/>
  <c r="H137"/>
  <c r="J104"/>
  <c r="H114"/>
  <c r="D855" i="46"/>
  <c r="J17" i="32"/>
  <c r="D284" i="29"/>
  <c r="D863" i="46"/>
  <c r="L234" i="32"/>
  <c r="H147" i="29"/>
  <c r="D261"/>
  <c r="D276" i="32"/>
  <c r="D93" i="29"/>
  <c r="H28"/>
  <c r="J136"/>
  <c r="D84"/>
  <c r="L275" i="32"/>
  <c r="B187" i="29"/>
  <c r="H103"/>
  <c r="D234" i="32"/>
  <c r="F264"/>
  <c r="D243"/>
  <c r="B272" i="29"/>
  <c r="H284"/>
  <c r="B254" i="32"/>
  <c r="D186" i="29"/>
  <c r="D59" i="8" l="1"/>
  <c r="E59" s="1"/>
  <c r="D50"/>
  <c r="E50" s="1"/>
  <c r="E23"/>
  <c r="G23" s="1"/>
  <c r="E12"/>
  <c r="G12" s="1"/>
  <c r="D24"/>
  <c r="E24" s="1"/>
  <c r="D49"/>
  <c r="E49" s="1"/>
  <c r="D58"/>
  <c r="E58" s="1"/>
  <c r="D41"/>
  <c r="E41" s="1"/>
  <c r="D47"/>
  <c r="E47" s="1"/>
  <c r="D15"/>
  <c r="E15" s="1"/>
  <c r="D26"/>
  <c r="E26" s="1"/>
  <c r="D68"/>
  <c r="E68" s="1"/>
  <c r="E34" i="38"/>
  <c r="G34" s="1"/>
  <c r="E64" i="8"/>
  <c r="G64" s="1"/>
  <c r="D74"/>
  <c r="E74" s="1"/>
  <c r="D57"/>
  <c r="E57" s="1"/>
  <c r="D48"/>
  <c r="E48" s="1"/>
  <c r="D9"/>
  <c r="E9" s="1"/>
  <c r="B245" i="32"/>
  <c r="C244" s="1"/>
  <c r="J245"/>
  <c r="K243" s="1"/>
  <c r="B277"/>
  <c r="C276" s="1"/>
  <c r="N277"/>
  <c r="O275" s="1"/>
  <c r="J277"/>
  <c r="K275" s="1"/>
  <c r="N236"/>
  <c r="O234" s="1"/>
  <c r="L255"/>
  <c r="M253" s="1"/>
  <c r="L266"/>
  <c r="M264" s="1"/>
  <c r="N266"/>
  <c r="O264" s="1"/>
  <c r="F277"/>
  <c r="G275" s="1"/>
  <c r="L277"/>
  <c r="M276" s="1"/>
  <c r="F236"/>
  <c r="G234" s="1"/>
  <c r="F266"/>
  <c r="G264" s="1"/>
  <c r="D236"/>
  <c r="E234" s="1"/>
  <c r="B266"/>
  <c r="C265" s="1"/>
  <c r="D245"/>
  <c r="E244" s="1"/>
  <c r="N245"/>
  <c r="O243" s="1"/>
  <c r="L236"/>
  <c r="M235" s="1"/>
  <c r="D266"/>
  <c r="E264" s="1"/>
  <c r="D277"/>
  <c r="E275" s="1"/>
  <c r="L245"/>
  <c r="M243" s="1"/>
  <c r="D255"/>
  <c r="E253" s="1"/>
  <c r="B236"/>
  <c r="C234" s="1"/>
  <c r="J266"/>
  <c r="K265" s="1"/>
  <c r="F255"/>
  <c r="G253" s="1"/>
  <c r="J255"/>
  <c r="K253" s="1"/>
  <c r="J236"/>
  <c r="K234" s="1"/>
  <c r="F245"/>
  <c r="G243" s="1"/>
  <c r="N255"/>
  <c r="O253" s="1"/>
  <c r="B255"/>
  <c r="C254" s="1"/>
  <c r="H7" i="29"/>
  <c r="I5" s="1"/>
  <c r="J7"/>
  <c r="K5" s="1"/>
  <c r="J18"/>
  <c r="K17" s="1"/>
  <c r="H18"/>
  <c r="I17" s="1"/>
  <c r="D85"/>
  <c r="E83" s="1"/>
  <c r="D30"/>
  <c r="E29" s="1"/>
  <c r="B30"/>
  <c r="C28" s="1"/>
  <c r="D65"/>
  <c r="E64" s="1"/>
  <c r="J75"/>
  <c r="K74" s="1"/>
  <c r="J85"/>
  <c r="K84" s="1"/>
  <c r="D95"/>
  <c r="E93" s="1"/>
  <c r="J95"/>
  <c r="K93" s="1"/>
  <c r="D105"/>
  <c r="E103" s="1"/>
  <c r="J105"/>
  <c r="K103" s="1"/>
  <c r="D116"/>
  <c r="E114" s="1"/>
  <c r="D42"/>
  <c r="E41" s="1"/>
  <c r="J42"/>
  <c r="K40" s="1"/>
  <c r="J52"/>
  <c r="K51" s="1"/>
  <c r="D75"/>
  <c r="E73" s="1"/>
  <c r="D55"/>
  <c r="E51" s="1"/>
  <c r="B85"/>
  <c r="C84" s="1"/>
  <c r="H42"/>
  <c r="I41" s="1"/>
  <c r="B42"/>
  <c r="C40" s="1"/>
  <c r="B55"/>
  <c r="C50" s="1"/>
  <c r="J65"/>
  <c r="K64" s="1"/>
  <c r="H52"/>
  <c r="I50" s="1"/>
  <c r="B65"/>
  <c r="C64" s="1"/>
  <c r="H65"/>
  <c r="I63" s="1"/>
  <c r="B75"/>
  <c r="C74" s="1"/>
  <c r="H75"/>
  <c r="I73" s="1"/>
  <c r="H85"/>
  <c r="I83" s="1"/>
  <c r="B95"/>
  <c r="C94" s="1"/>
  <c r="H95"/>
  <c r="I94" s="1"/>
  <c r="B105"/>
  <c r="C104" s="1"/>
  <c r="H105"/>
  <c r="I104" s="1"/>
  <c r="B116"/>
  <c r="C115" s="1"/>
  <c r="J30"/>
  <c r="K28" s="1"/>
  <c r="H30"/>
  <c r="I29" s="1"/>
  <c r="J116"/>
  <c r="K114" s="1"/>
  <c r="H116"/>
  <c r="I114" s="1"/>
  <c r="B127"/>
  <c r="C125" s="1"/>
  <c r="D127"/>
  <c r="E126" s="1"/>
  <c r="J127"/>
  <c r="K125" s="1"/>
  <c r="H127"/>
  <c r="I125" s="1"/>
  <c r="H138"/>
  <c r="I136" s="1"/>
  <c r="B138"/>
  <c r="C136" s="1"/>
  <c r="D138"/>
  <c r="E136" s="1"/>
  <c r="J138"/>
  <c r="K137" s="1"/>
  <c r="D148"/>
  <c r="E146" s="1"/>
  <c r="B148"/>
  <c r="C146" s="1"/>
  <c r="J148"/>
  <c r="K147" s="1"/>
  <c r="H148"/>
  <c r="I146" s="1"/>
  <c r="D158"/>
  <c r="E156" s="1"/>
  <c r="B158"/>
  <c r="C157" s="1"/>
  <c r="J158"/>
  <c r="K156" s="1"/>
  <c r="H158"/>
  <c r="I156" s="1"/>
  <c r="B168"/>
  <c r="C166" s="1"/>
  <c r="D168"/>
  <c r="E166" s="1"/>
  <c r="J168"/>
  <c r="K166" s="1"/>
  <c r="D178"/>
  <c r="E177" s="1"/>
  <c r="H168"/>
  <c r="I167" s="1"/>
  <c r="B178"/>
  <c r="C176" s="1"/>
  <c r="J178"/>
  <c r="K177" s="1"/>
  <c r="H178"/>
  <c r="I176" s="1"/>
  <c r="D188"/>
  <c r="E187" s="1"/>
  <c r="B188"/>
  <c r="C186" s="1"/>
  <c r="H188"/>
  <c r="I186" s="1"/>
  <c r="J188"/>
  <c r="K186" s="1"/>
  <c r="D198"/>
  <c r="E197" s="1"/>
  <c r="B198"/>
  <c r="C196" s="1"/>
  <c r="H199"/>
  <c r="I199" s="1"/>
  <c r="J199"/>
  <c r="K199" s="1"/>
  <c r="D209"/>
  <c r="E207" s="1"/>
  <c r="B209"/>
  <c r="C208" s="1"/>
  <c r="H209"/>
  <c r="I207" s="1"/>
  <c r="J209"/>
  <c r="K207" s="1"/>
  <c r="B220"/>
  <c r="C219" s="1"/>
  <c r="D220"/>
  <c r="E218" s="1"/>
  <c r="J220"/>
  <c r="K218" s="1"/>
  <c r="H220"/>
  <c r="I218" s="1"/>
  <c r="D231"/>
  <c r="E230" s="1"/>
  <c r="B231"/>
  <c r="C229" s="1"/>
  <c r="H233"/>
  <c r="I231" s="1"/>
  <c r="J233"/>
  <c r="K229" s="1"/>
  <c r="H244"/>
  <c r="I242" s="1"/>
  <c r="J244"/>
  <c r="K243" s="1"/>
  <c r="B253"/>
  <c r="C251" s="1"/>
  <c r="D253"/>
  <c r="E251" s="1"/>
  <c r="J253"/>
  <c r="K252" s="1"/>
  <c r="H253"/>
  <c r="I251" s="1"/>
  <c r="D263"/>
  <c r="E262" s="1"/>
  <c r="B263"/>
  <c r="C262" s="1"/>
  <c r="J263"/>
  <c r="K261" s="1"/>
  <c r="H263"/>
  <c r="I261" s="1"/>
  <c r="B274"/>
  <c r="C272" s="1"/>
  <c r="D274"/>
  <c r="E272" s="1"/>
  <c r="J274"/>
  <c r="K272" s="1"/>
  <c r="H274"/>
  <c r="I272" s="1"/>
  <c r="B285"/>
  <c r="C283" s="1"/>
  <c r="D285"/>
  <c r="E283" s="1"/>
  <c r="H286"/>
  <c r="I284" s="1"/>
  <c r="J286"/>
  <c r="K284" s="1"/>
  <c r="D301"/>
  <c r="E300" s="1"/>
  <c r="B301"/>
  <c r="C297" s="1"/>
  <c r="J7" i="32"/>
  <c r="K5" s="1"/>
  <c r="B30"/>
  <c r="C29" s="1"/>
  <c r="N18"/>
  <c r="O16" s="1"/>
  <c r="N30"/>
  <c r="O28" s="1"/>
  <c r="L18"/>
  <c r="M17" s="1"/>
  <c r="L30"/>
  <c r="M28" s="1"/>
  <c r="N7"/>
  <c r="O5" s="1"/>
  <c r="J18"/>
  <c r="K16" s="1"/>
  <c r="F30"/>
  <c r="G29" s="1"/>
  <c r="J30"/>
  <c r="K29" s="1"/>
  <c r="L7"/>
  <c r="M5" s="1"/>
  <c r="D30"/>
  <c r="E29" s="1"/>
  <c r="B8"/>
  <c r="C7" s="1"/>
  <c r="F8"/>
  <c r="G7" s="1"/>
  <c r="D8"/>
  <c r="E5" s="1"/>
  <c r="D67" i="8"/>
  <c r="E67" s="1"/>
  <c r="D6"/>
  <c r="E6" s="1"/>
  <c r="D27"/>
  <c r="E27" s="1"/>
  <c r="E30"/>
  <c r="G30" s="1"/>
  <c r="D7"/>
  <c r="E7" s="1"/>
  <c r="D73"/>
  <c r="E73" s="1"/>
  <c r="D14"/>
  <c r="E14" s="1"/>
  <c r="D51"/>
  <c r="E51" s="1"/>
  <c r="D60"/>
  <c r="E60" s="1"/>
  <c r="E55"/>
  <c r="G55" s="1"/>
  <c r="D66"/>
  <c r="E66" s="1"/>
  <c r="D61"/>
  <c r="E61" s="1"/>
  <c r="D36" i="38"/>
  <c r="E36" s="1"/>
  <c r="E18" i="48"/>
  <c r="G18" s="1"/>
  <c r="E4" i="5"/>
  <c r="G4" s="1"/>
  <c r="D8" i="8"/>
  <c r="E8" s="1"/>
  <c r="D42"/>
  <c r="E42" s="1"/>
  <c r="E9" i="48"/>
  <c r="G9" s="1"/>
  <c r="E22"/>
  <c r="G22" s="1"/>
  <c r="D52" i="8"/>
  <c r="E52" s="1"/>
  <c r="E9" i="47"/>
  <c r="G9" s="1"/>
  <c r="D38" i="38"/>
  <c r="E38" s="1"/>
  <c r="E14" i="48"/>
  <c r="G14" s="1"/>
  <c r="E26"/>
  <c r="G26" s="1"/>
  <c r="D37" i="38"/>
  <c r="E37" s="1"/>
  <c r="D5" i="5"/>
  <c r="E5" s="1"/>
  <c r="E4" i="8"/>
  <c r="G4" s="1"/>
  <c r="E39"/>
  <c r="G39" s="1"/>
  <c r="E45"/>
  <c r="G45" s="1"/>
  <c r="E71"/>
  <c r="G71" s="1"/>
  <c r="D72"/>
  <c r="D65"/>
  <c r="E65" s="1"/>
  <c r="D56"/>
  <c r="D46"/>
  <c r="D40"/>
  <c r="D31"/>
  <c r="D25"/>
  <c r="E25" s="1"/>
  <c r="D13"/>
  <c r="E13" s="1"/>
  <c r="D5"/>
  <c r="D15" i="48"/>
  <c r="E15" s="1"/>
  <c r="D27"/>
  <c r="E27" s="1"/>
  <c r="D10"/>
  <c r="E10" s="1"/>
  <c r="D19"/>
  <c r="E19" s="1"/>
  <c r="D23"/>
  <c r="E23" s="1"/>
  <c r="D35" i="38"/>
  <c r="D13" i="47"/>
  <c r="E13" s="1"/>
  <c r="D5"/>
  <c r="E5" s="1"/>
  <c r="D11"/>
  <c r="E11" s="1"/>
  <c r="D6"/>
  <c r="E6" s="1"/>
  <c r="D10"/>
  <c r="E10" s="1"/>
  <c r="E4"/>
  <c r="G4" s="1"/>
  <c r="D12"/>
  <c r="E12" s="1"/>
  <c r="L203" i="32"/>
  <c r="J203"/>
  <c r="B204"/>
  <c r="F204"/>
  <c r="D204"/>
  <c r="D222"/>
  <c r="B213"/>
  <c r="J193"/>
  <c r="F223"/>
  <c r="J194"/>
  <c r="D203"/>
  <c r="F212"/>
  <c r="F203"/>
  <c r="N212"/>
  <c r="J212"/>
  <c r="F213"/>
  <c r="B212"/>
  <c r="N204"/>
  <c r="N203"/>
  <c r="N213"/>
  <c r="L222"/>
  <c r="L192"/>
  <c r="D213"/>
  <c r="B222"/>
  <c r="N193"/>
  <c r="L194"/>
  <c r="D223"/>
  <c r="L204"/>
  <c r="B203"/>
  <c r="F222"/>
  <c r="N222"/>
  <c r="J213"/>
  <c r="L212"/>
  <c r="N194"/>
  <c r="N192"/>
  <c r="J204"/>
  <c r="B223"/>
  <c r="D212"/>
  <c r="L213"/>
  <c r="L193"/>
  <c r="J222"/>
  <c r="G19" i="8" l="1"/>
  <c r="G20"/>
  <c r="G16"/>
  <c r="G17"/>
  <c r="G15"/>
  <c r="G18"/>
  <c r="I208" i="29"/>
  <c r="I209" s="1"/>
  <c r="I166"/>
  <c r="I168" s="1"/>
  <c r="C156"/>
  <c r="C158" s="1"/>
  <c r="C73"/>
  <c r="C75" s="1"/>
  <c r="G27" i="48"/>
  <c r="G25" i="8"/>
  <c r="G24"/>
  <c r="G5" i="5"/>
  <c r="G27" i="8"/>
  <c r="E28" i="29"/>
  <c r="E30" s="1"/>
  <c r="G26" i="8"/>
  <c r="C93" i="29"/>
  <c r="C95" s="1"/>
  <c r="C243" i="32"/>
  <c r="C245" s="1"/>
  <c r="E147" i="29"/>
  <c r="E125"/>
  <c r="E127" s="1"/>
  <c r="C275" i="32"/>
  <c r="C277" s="1"/>
  <c r="K276"/>
  <c r="K277" s="1"/>
  <c r="E28"/>
  <c r="E30" s="1"/>
  <c r="E276"/>
  <c r="E277" s="1"/>
  <c r="O17"/>
  <c r="O18" s="1"/>
  <c r="O265"/>
  <c r="O266" s="1"/>
  <c r="O6"/>
  <c r="O7" s="1"/>
  <c r="M16"/>
  <c r="M18" s="1"/>
  <c r="K6"/>
  <c r="K7" s="1"/>
  <c r="O235"/>
  <c r="O236" s="1"/>
  <c r="C264"/>
  <c r="C266" s="1"/>
  <c r="O276"/>
  <c r="O277" s="1"/>
  <c r="M244"/>
  <c r="M245" s="1"/>
  <c r="C5"/>
  <c r="G265"/>
  <c r="G266" s="1"/>
  <c r="C253"/>
  <c r="C255" s="1"/>
  <c r="E254"/>
  <c r="E255" s="1"/>
  <c r="O254"/>
  <c r="O255" s="1"/>
  <c r="G254"/>
  <c r="G255" s="1"/>
  <c r="I51" i="29"/>
  <c r="I52" s="1"/>
  <c r="K6"/>
  <c r="K7" s="1"/>
  <c r="K115"/>
  <c r="K116" s="1"/>
  <c r="E104"/>
  <c r="E105" s="1"/>
  <c r="K176"/>
  <c r="K178" s="1"/>
  <c r="K262"/>
  <c r="K263" s="1"/>
  <c r="E299"/>
  <c r="E296"/>
  <c r="C299"/>
  <c r="K196"/>
  <c r="E186"/>
  <c r="E188" s="1"/>
  <c r="C114"/>
  <c r="C116" s="1"/>
  <c r="K231"/>
  <c r="K146"/>
  <c r="K148" s="1"/>
  <c r="C103"/>
  <c r="C105" s="1"/>
  <c r="E40"/>
  <c r="E42" s="1"/>
  <c r="K285"/>
  <c r="K286" s="1"/>
  <c r="I126"/>
  <c r="I127" s="1"/>
  <c r="I84"/>
  <c r="I85" s="1"/>
  <c r="I6"/>
  <c r="I7" s="1"/>
  <c r="C207"/>
  <c r="C209" s="1"/>
  <c r="I28"/>
  <c r="I30" s="1"/>
  <c r="C63"/>
  <c r="C65" s="1"/>
  <c r="K29"/>
  <c r="K30" s="1"/>
  <c r="G66" i="8"/>
  <c r="C28" i="32"/>
  <c r="C30" s="1"/>
  <c r="E208" i="29"/>
  <c r="E209" s="1"/>
  <c r="E148"/>
  <c r="K126"/>
  <c r="K127" s="1"/>
  <c r="G10" i="47"/>
  <c r="G19" i="48"/>
  <c r="K28" i="32"/>
  <c r="K30" s="1"/>
  <c r="I285" i="29"/>
  <c r="I286" s="1"/>
  <c r="I273"/>
  <c r="I274" s="1"/>
  <c r="I262"/>
  <c r="I263" s="1"/>
  <c r="I232"/>
  <c r="C230"/>
  <c r="C231" s="1"/>
  <c r="K198"/>
  <c r="E196"/>
  <c r="E198" s="1"/>
  <c r="E157"/>
  <c r="E158" s="1"/>
  <c r="K136"/>
  <c r="K138" s="1"/>
  <c r="I40"/>
  <c r="I42" s="1"/>
  <c r="C235" i="32"/>
  <c r="C236" s="1"/>
  <c r="M234"/>
  <c r="M236" s="1"/>
  <c r="C273" i="29"/>
  <c r="C274" s="1"/>
  <c r="K232"/>
  <c r="I219"/>
  <c r="I220" s="1"/>
  <c r="I197"/>
  <c r="I187"/>
  <c r="I188" s="1"/>
  <c r="E137"/>
  <c r="E138" s="1"/>
  <c r="C83"/>
  <c r="C85" s="1"/>
  <c r="K73"/>
  <c r="K75" s="1"/>
  <c r="M275" i="32"/>
  <c r="M277" s="1"/>
  <c r="K235"/>
  <c r="K236" s="1"/>
  <c r="E297" i="29"/>
  <c r="E273"/>
  <c r="E274" s="1"/>
  <c r="K230"/>
  <c r="K219"/>
  <c r="K220" s="1"/>
  <c r="K197"/>
  <c r="E54"/>
  <c r="O244" i="32"/>
  <c r="O245" s="1"/>
  <c r="I230" i="29"/>
  <c r="K104"/>
  <c r="K105" s="1"/>
  <c r="M29" i="32"/>
  <c r="M30" s="1"/>
  <c r="E298" i="29"/>
  <c r="E284"/>
  <c r="E285" s="1"/>
  <c r="K242"/>
  <c r="K244" s="1"/>
  <c r="I229"/>
  <c r="I198"/>
  <c r="C147"/>
  <c r="C148" s="1"/>
  <c r="I115"/>
  <c r="I116" s="1"/>
  <c r="K16"/>
  <c r="K18" s="1"/>
  <c r="K264" i="32"/>
  <c r="K266" s="1"/>
  <c r="G23" i="48"/>
  <c r="L205" i="32"/>
  <c r="M203" s="1"/>
  <c r="F205"/>
  <c r="G203" s="1"/>
  <c r="B205"/>
  <c r="C203" s="1"/>
  <c r="J205"/>
  <c r="K203" s="1"/>
  <c r="D214"/>
  <c r="E213" s="1"/>
  <c r="B214"/>
  <c r="C212" s="1"/>
  <c r="L195"/>
  <c r="M193" s="1"/>
  <c r="J226"/>
  <c r="J214"/>
  <c r="K213" s="1"/>
  <c r="N205"/>
  <c r="O204" s="1"/>
  <c r="N214"/>
  <c r="O213" s="1"/>
  <c r="F214"/>
  <c r="G213" s="1"/>
  <c r="L226"/>
  <c r="L214"/>
  <c r="M212" s="1"/>
  <c r="F224"/>
  <c r="G223" s="1"/>
  <c r="N195"/>
  <c r="O193" s="1"/>
  <c r="N226"/>
  <c r="B224"/>
  <c r="C222" s="1"/>
  <c r="D224"/>
  <c r="E223" s="1"/>
  <c r="D205"/>
  <c r="E204" s="1"/>
  <c r="M6"/>
  <c r="M7" s="1"/>
  <c r="M265"/>
  <c r="M266" s="1"/>
  <c r="G6"/>
  <c r="C298" i="29"/>
  <c r="C300"/>
  <c r="K273"/>
  <c r="K274" s="1"/>
  <c r="I252"/>
  <c r="I253" s="1"/>
  <c r="E219"/>
  <c r="E220" s="1"/>
  <c r="C53"/>
  <c r="C51"/>
  <c r="C54"/>
  <c r="E74"/>
  <c r="E75" s="1"/>
  <c r="E243" i="32"/>
  <c r="E245" s="1"/>
  <c r="G276"/>
  <c r="G277" s="1"/>
  <c r="G28"/>
  <c r="G30" s="1"/>
  <c r="C284" i="29"/>
  <c r="C285" s="1"/>
  <c r="C261"/>
  <c r="C263" s="1"/>
  <c r="E252"/>
  <c r="E253" s="1"/>
  <c r="C197"/>
  <c r="C198" s="1"/>
  <c r="C187"/>
  <c r="C188" s="1"/>
  <c r="I177"/>
  <c r="I178" s="1"/>
  <c r="E176"/>
  <c r="E178" s="1"/>
  <c r="C177"/>
  <c r="C178" s="1"/>
  <c r="E167"/>
  <c r="E168" s="1"/>
  <c r="I157"/>
  <c r="I158" s="1"/>
  <c r="C137"/>
  <c r="C138" s="1"/>
  <c r="E84"/>
  <c r="E85" s="1"/>
  <c r="C52"/>
  <c r="I64"/>
  <c r="I65" s="1"/>
  <c r="E50"/>
  <c r="C29"/>
  <c r="C30" s="1"/>
  <c r="E115"/>
  <c r="E116" s="1"/>
  <c r="E94"/>
  <c r="E95" s="1"/>
  <c r="G244" i="32"/>
  <c r="G245" s="1"/>
  <c r="E265"/>
  <c r="E266" s="1"/>
  <c r="E235"/>
  <c r="E236" s="1"/>
  <c r="K254"/>
  <c r="K255" s="1"/>
  <c r="G10" i="48"/>
  <c r="G65" i="8"/>
  <c r="C6" i="32"/>
  <c r="K17"/>
  <c r="K18" s="1"/>
  <c r="O29"/>
  <c r="O30" s="1"/>
  <c r="C296" i="29"/>
  <c r="E261"/>
  <c r="E263" s="1"/>
  <c r="K251"/>
  <c r="K253" s="1"/>
  <c r="C252"/>
  <c r="C253" s="1"/>
  <c r="I243"/>
  <c r="I244" s="1"/>
  <c r="E229"/>
  <c r="E231" s="1"/>
  <c r="C218"/>
  <c r="C220" s="1"/>
  <c r="K208"/>
  <c r="K209" s="1"/>
  <c r="I196"/>
  <c r="K187"/>
  <c r="K188" s="1"/>
  <c r="K167"/>
  <c r="K168" s="1"/>
  <c r="C167"/>
  <c r="C168" s="1"/>
  <c r="K157"/>
  <c r="K158" s="1"/>
  <c r="I147"/>
  <c r="I148" s="1"/>
  <c r="I137"/>
  <c r="I138" s="1"/>
  <c r="C126"/>
  <c r="C127" s="1"/>
  <c r="C41"/>
  <c r="C42" s="1"/>
  <c r="I103"/>
  <c r="I105" s="1"/>
  <c r="I93"/>
  <c r="I95" s="1"/>
  <c r="K63"/>
  <c r="K65" s="1"/>
  <c r="E52"/>
  <c r="K41"/>
  <c r="K42" s="1"/>
  <c r="I74"/>
  <c r="I75" s="1"/>
  <c r="E53"/>
  <c r="K50"/>
  <c r="K52" s="1"/>
  <c r="K83"/>
  <c r="K85" s="1"/>
  <c r="E63"/>
  <c r="E65" s="1"/>
  <c r="K94"/>
  <c r="K95" s="1"/>
  <c r="I16"/>
  <c r="I18" s="1"/>
  <c r="G235" i="32"/>
  <c r="G236" s="1"/>
  <c r="M254"/>
  <c r="M255" s="1"/>
  <c r="K244"/>
  <c r="K245" s="1"/>
  <c r="E6"/>
  <c r="G5"/>
  <c r="E7"/>
  <c r="G6" i="47"/>
  <c r="G15" i="48"/>
  <c r="G68" i="8"/>
  <c r="G67"/>
  <c r="E5"/>
  <c r="G5" s="1"/>
  <c r="E31"/>
  <c r="G31" s="1"/>
  <c r="E40"/>
  <c r="G41" s="1"/>
  <c r="E35" i="38"/>
  <c r="G38" s="1"/>
  <c r="E56" i="8"/>
  <c r="G57" s="1"/>
  <c r="E46"/>
  <c r="G50" s="1"/>
  <c r="E72"/>
  <c r="G72" s="1"/>
  <c r="G5" i="47"/>
  <c r="G12"/>
  <c r="G11"/>
  <c r="G13"/>
  <c r="C820" i="46"/>
  <c r="C780"/>
  <c r="D797"/>
  <c r="D780"/>
  <c r="J192" i="32"/>
  <c r="L172"/>
  <c r="C781" i="46"/>
  <c r="L183" i="32"/>
  <c r="D192"/>
  <c r="L182"/>
  <c r="B193"/>
  <c r="D193"/>
  <c r="J182"/>
  <c r="C805" i="46"/>
  <c r="B813"/>
  <c r="D796"/>
  <c r="C788"/>
  <c r="D788"/>
  <c r="B788"/>
  <c r="B183" i="32"/>
  <c r="D805" i="46"/>
  <c r="F192" i="32"/>
  <c r="J183"/>
  <c r="F193"/>
  <c r="D812" i="46"/>
  <c r="B781"/>
  <c r="B821"/>
  <c r="D183" i="32"/>
  <c r="C796" i="46"/>
  <c r="J173" i="32"/>
  <c r="B796" i="46"/>
  <c r="B820"/>
  <c r="N173" i="32"/>
  <c r="C779" i="46"/>
  <c r="C812"/>
  <c r="B804"/>
  <c r="D173" i="32"/>
  <c r="D182"/>
  <c r="B780" i="46"/>
  <c r="D789"/>
  <c r="N182" i="32"/>
  <c r="B182"/>
  <c r="B797" i="46"/>
  <c r="N183" i="32"/>
  <c r="C797" i="46"/>
  <c r="B812"/>
  <c r="F182" i="32"/>
  <c r="B172"/>
  <c r="D821" i="46"/>
  <c r="C821"/>
  <c r="J172" i="32"/>
  <c r="F173"/>
  <c r="N172"/>
  <c r="B173"/>
  <c r="F183"/>
  <c r="C789" i="46"/>
  <c r="D781"/>
  <c r="D813"/>
  <c r="D820"/>
  <c r="D779"/>
  <c r="B779"/>
  <c r="L173" i="32"/>
  <c r="B789" i="46"/>
  <c r="D172" i="32"/>
  <c r="F172"/>
  <c r="B192"/>
  <c r="B805" i="46"/>
  <c r="C813"/>
  <c r="C804"/>
  <c r="D804"/>
  <c r="G8" i="32" l="1"/>
  <c r="O203"/>
  <c r="O205" s="1"/>
  <c r="G212"/>
  <c r="G214" s="1"/>
  <c r="E8"/>
  <c r="C213"/>
  <c r="C214" s="1"/>
  <c r="C8"/>
  <c r="C204"/>
  <c r="C205" s="1"/>
  <c r="O212"/>
  <c r="O214" s="1"/>
  <c r="I233" i="29"/>
  <c r="K233"/>
  <c r="E301"/>
  <c r="G52" i="8"/>
  <c r="C301" i="29"/>
  <c r="G204" i="32"/>
  <c r="G205" s="1"/>
  <c r="M194"/>
  <c r="C55" i="29"/>
  <c r="K204" i="32"/>
  <c r="K205" s="1"/>
  <c r="M204"/>
  <c r="M205" s="1"/>
  <c r="G9" i="8"/>
  <c r="E222" i="32"/>
  <c r="E224" s="1"/>
  <c r="G222"/>
  <c r="G224" s="1"/>
  <c r="G37" i="38"/>
  <c r="B184" i="32"/>
  <c r="C182" s="1"/>
  <c r="D194"/>
  <c r="E192" s="1"/>
  <c r="D184"/>
  <c r="E182" s="1"/>
  <c r="B174"/>
  <c r="C173" s="1"/>
  <c r="L174"/>
  <c r="M172" s="1"/>
  <c r="J195"/>
  <c r="N174"/>
  <c r="O172" s="1"/>
  <c r="J184"/>
  <c r="K182" s="1"/>
  <c r="N184"/>
  <c r="O182" s="1"/>
  <c r="B194"/>
  <c r="C193" s="1"/>
  <c r="F184"/>
  <c r="G182" s="1"/>
  <c r="D174"/>
  <c r="E173" s="1"/>
  <c r="L184"/>
  <c r="M183" s="1"/>
  <c r="F174"/>
  <c r="G173" s="1"/>
  <c r="F194"/>
  <c r="G193" s="1"/>
  <c r="J174"/>
  <c r="K173" s="1"/>
  <c r="M213"/>
  <c r="M214" s="1"/>
  <c r="C223"/>
  <c r="C224" s="1"/>
  <c r="M192"/>
  <c r="O225"/>
  <c r="O224"/>
  <c r="O223"/>
  <c r="K224"/>
  <c r="K223"/>
  <c r="K225"/>
  <c r="E212"/>
  <c r="E214" s="1"/>
  <c r="M224"/>
  <c r="M223"/>
  <c r="M225"/>
  <c r="G35" i="38"/>
  <c r="E55" i="29"/>
  <c r="O222" i="32"/>
  <c r="O192"/>
  <c r="K212"/>
  <c r="K214" s="1"/>
  <c r="K222"/>
  <c r="G7" i="8"/>
  <c r="G47"/>
  <c r="E203" i="32"/>
  <c r="E205" s="1"/>
  <c r="M222"/>
  <c r="O194"/>
  <c r="G13" i="8"/>
  <c r="G36" i="38"/>
  <c r="G51" i="8"/>
  <c r="G46"/>
  <c r="G74"/>
  <c r="G14"/>
  <c r="G73"/>
  <c r="G48"/>
  <c r="G56"/>
  <c r="G42"/>
  <c r="G61"/>
  <c r="G49"/>
  <c r="G40"/>
  <c r="G6"/>
  <c r="G8"/>
  <c r="G60"/>
  <c r="G58"/>
  <c r="G59"/>
  <c r="E779" i="46"/>
  <c r="E780"/>
  <c r="E781"/>
  <c r="O226" i="32" l="1"/>
  <c r="E183"/>
  <c r="E184" s="1"/>
  <c r="C172"/>
  <c r="C174" s="1"/>
  <c r="E193"/>
  <c r="E194" s="1"/>
  <c r="O173"/>
  <c r="O174" s="1"/>
  <c r="K226"/>
  <c r="C183"/>
  <c r="C184" s="1"/>
  <c r="G192"/>
  <c r="G194" s="1"/>
  <c r="K183"/>
  <c r="K184" s="1"/>
  <c r="M226"/>
  <c r="M195"/>
  <c r="M173"/>
  <c r="M174" s="1"/>
  <c r="G172"/>
  <c r="G174" s="1"/>
  <c r="M182"/>
  <c r="M184" s="1"/>
  <c r="C192"/>
  <c r="C194" s="1"/>
  <c r="K194"/>
  <c r="K193"/>
  <c r="G183"/>
  <c r="G184" s="1"/>
  <c r="O183"/>
  <c r="O184" s="1"/>
  <c r="O195"/>
  <c r="K172"/>
  <c r="K174" s="1"/>
  <c r="E172"/>
  <c r="E174" s="1"/>
  <c r="K192"/>
  <c r="E782" i="46"/>
  <c r="B782"/>
  <c r="C782"/>
  <c r="D782"/>
  <c r="B155" i="32"/>
  <c r="D763" i="46"/>
  <c r="B756"/>
  <c r="N132" i="32"/>
  <c r="D692" i="46"/>
  <c r="B700"/>
  <c r="D731"/>
  <c r="L123" i="32"/>
  <c r="D152"/>
  <c r="C771" i="46"/>
  <c r="D142" i="32"/>
  <c r="D123"/>
  <c r="C716" i="46"/>
  <c r="L122" i="32"/>
  <c r="B691" i="46"/>
  <c r="D162" i="32"/>
  <c r="D112"/>
  <c r="D143"/>
  <c r="F143"/>
  <c r="B707" i="46"/>
  <c r="B739"/>
  <c r="B163" i="32"/>
  <c r="N113"/>
  <c r="D133"/>
  <c r="D684" i="46"/>
  <c r="B716"/>
  <c r="D113" i="32"/>
  <c r="D747" i="46"/>
  <c r="C707"/>
  <c r="N143" i="32"/>
  <c r="L113"/>
  <c r="J143"/>
  <c r="J93"/>
  <c r="B731" i="46"/>
  <c r="N133" i="32"/>
  <c r="J112"/>
  <c r="N103"/>
  <c r="J103"/>
  <c r="C740" i="46"/>
  <c r="F133" i="32"/>
  <c r="B684" i="46"/>
  <c r="F103" i="32"/>
  <c r="D707" i="46"/>
  <c r="C683"/>
  <c r="L142" i="32"/>
  <c r="D683" i="46"/>
  <c r="N153" i="32"/>
  <c r="B102"/>
  <c r="J113"/>
  <c r="B723" i="46"/>
  <c r="F132" i="32"/>
  <c r="N123"/>
  <c r="C699" i="46"/>
  <c r="D740"/>
  <c r="L152" i="32"/>
  <c r="C708" i="46"/>
  <c r="D699"/>
  <c r="B699"/>
  <c r="C700"/>
  <c r="F152" i="32"/>
  <c r="B740" i="46"/>
  <c r="B152" i="32"/>
  <c r="D103"/>
  <c r="L93"/>
  <c r="D102"/>
  <c r="F102"/>
  <c r="C732" i="46"/>
  <c r="D122" i="32"/>
  <c r="B764" i="46"/>
  <c r="D163" i="32"/>
  <c r="J123"/>
  <c r="F163"/>
  <c r="N152"/>
  <c r="C731" i="46"/>
  <c r="N102" i="32"/>
  <c r="F142"/>
  <c r="B123"/>
  <c r="B772" i="46"/>
  <c r="D724"/>
  <c r="N122" i="32"/>
  <c r="L153"/>
  <c r="C692" i="46"/>
  <c r="N93" i="32"/>
  <c r="C724" i="46"/>
  <c r="N142" i="32"/>
  <c r="F123"/>
  <c r="D764" i="46"/>
  <c r="J132" i="32"/>
  <c r="B683" i="46"/>
  <c r="B142" i="32"/>
  <c r="C763" i="46"/>
  <c r="F153" i="32"/>
  <c r="B771" i="46"/>
  <c r="J152" i="32"/>
  <c r="B692" i="46"/>
  <c r="J162" i="32"/>
  <c r="D708" i="46"/>
  <c r="B122" i="32"/>
  <c r="J142"/>
  <c r="C772" i="46"/>
  <c r="C764"/>
  <c r="F113" i="32"/>
  <c r="B143"/>
  <c r="B162"/>
  <c r="D732" i="46"/>
  <c r="J122" i="32"/>
  <c r="C755" i="46"/>
  <c r="J133" i="32"/>
  <c r="B708" i="46"/>
  <c r="D716"/>
  <c r="L103" i="32"/>
  <c r="F162"/>
  <c r="B132"/>
  <c r="B153"/>
  <c r="B763" i="46"/>
  <c r="B103" i="32"/>
  <c r="C723" i="46"/>
  <c r="D772"/>
  <c r="F122" i="32"/>
  <c r="D153"/>
  <c r="D755" i="46"/>
  <c r="B732"/>
  <c r="N112" i="32"/>
  <c r="D756" i="46"/>
  <c r="B724"/>
  <c r="L112" i="32"/>
  <c r="B755" i="46"/>
  <c r="N162" i="32"/>
  <c r="D771" i="46"/>
  <c r="C748"/>
  <c r="C747"/>
  <c r="F112" i="32"/>
  <c r="D700" i="46"/>
  <c r="J153" i="32"/>
  <c r="C691" i="46"/>
  <c r="L92" i="32"/>
  <c r="D132"/>
  <c r="D748" i="46"/>
  <c r="N163" i="32"/>
  <c r="B715" i="46"/>
  <c r="L163" i="32"/>
  <c r="L162"/>
  <c r="B748" i="46"/>
  <c r="D739"/>
  <c r="L143" i="32"/>
  <c r="C756" i="46"/>
  <c r="L132" i="32"/>
  <c r="D715" i="46"/>
  <c r="B747"/>
  <c r="L102" i="32"/>
  <c r="D723" i="46"/>
  <c r="B112" i="32"/>
  <c r="C684" i="46"/>
  <c r="B113" i="32"/>
  <c r="D691" i="46"/>
  <c r="L133" i="32"/>
  <c r="N92"/>
  <c r="B133"/>
  <c r="J163"/>
  <c r="C739" i="46"/>
  <c r="J92" i="32"/>
  <c r="C715" i="46"/>
  <c r="J102" i="32"/>
  <c r="K195" l="1"/>
  <c r="F104"/>
  <c r="G102" s="1"/>
  <c r="D164"/>
  <c r="E162" s="1"/>
  <c r="D114"/>
  <c r="E112" s="1"/>
  <c r="L154"/>
  <c r="M153" s="1"/>
  <c r="J94"/>
  <c r="K93" s="1"/>
  <c r="N154"/>
  <c r="O152" s="1"/>
  <c r="B154"/>
  <c r="C153" s="1"/>
  <c r="D154"/>
  <c r="E152" s="1"/>
  <c r="D124"/>
  <c r="E122" s="1"/>
  <c r="N164"/>
  <c r="O162" s="1"/>
  <c r="J144"/>
  <c r="K142" s="1"/>
  <c r="F154"/>
  <c r="G152" s="1"/>
  <c r="N144"/>
  <c r="O143" s="1"/>
  <c r="F124"/>
  <c r="G122" s="1"/>
  <c r="L134"/>
  <c r="M133" s="1"/>
  <c r="N134"/>
  <c r="O132" s="1"/>
  <c r="N104"/>
  <c r="O102" s="1"/>
  <c r="B114"/>
  <c r="C112" s="1"/>
  <c r="D144"/>
  <c r="E143" s="1"/>
  <c r="D134"/>
  <c r="E133" s="1"/>
  <c r="J154"/>
  <c r="K152" s="1"/>
  <c r="J104"/>
  <c r="K102" s="1"/>
  <c r="B124"/>
  <c r="C123" s="1"/>
  <c r="N94"/>
  <c r="O93" s="1"/>
  <c r="L144"/>
  <c r="M142" s="1"/>
  <c r="B144"/>
  <c r="C142" s="1"/>
  <c r="J134"/>
  <c r="K132" s="1"/>
  <c r="J124"/>
  <c r="K122" s="1"/>
  <c r="N124"/>
  <c r="O123" s="1"/>
  <c r="L104"/>
  <c r="M103" s="1"/>
  <c r="L124"/>
  <c r="M122" s="1"/>
  <c r="D104"/>
  <c r="E103" s="1"/>
  <c r="L94"/>
  <c r="M93" s="1"/>
  <c r="F114"/>
  <c r="G112" s="1"/>
  <c r="F134"/>
  <c r="G133" s="1"/>
  <c r="L164"/>
  <c r="M163" s="1"/>
  <c r="J114"/>
  <c r="K112" s="1"/>
  <c r="B164"/>
  <c r="C163" s="1"/>
  <c r="B134"/>
  <c r="C132" s="1"/>
  <c r="N114"/>
  <c r="O113" s="1"/>
  <c r="F164"/>
  <c r="G162" s="1"/>
  <c r="J164"/>
  <c r="K163" s="1"/>
  <c r="B104"/>
  <c r="C103" s="1"/>
  <c r="L114"/>
  <c r="M113" s="1"/>
  <c r="F144"/>
  <c r="G143" s="1"/>
  <c r="H780" i="46"/>
  <c r="L780" s="1"/>
  <c r="I779"/>
  <c r="M779" s="1"/>
  <c r="G781"/>
  <c r="K781" s="1"/>
  <c r="H779"/>
  <c r="L779" s="1"/>
  <c r="H781"/>
  <c r="L781" s="1"/>
  <c r="I781"/>
  <c r="M781" s="1"/>
  <c r="G780"/>
  <c r="K780" s="1"/>
  <c r="G779"/>
  <c r="K779" s="1"/>
  <c r="I780"/>
  <c r="M780" s="1"/>
  <c r="O163" i="32" l="1"/>
  <c r="O164" s="1"/>
  <c r="O103"/>
  <c r="O104" s="1"/>
  <c r="E113"/>
  <c r="E114" s="1"/>
  <c r="E142"/>
  <c r="E144" s="1"/>
  <c r="G113"/>
  <c r="G114" s="1"/>
  <c r="M112"/>
  <c r="M114" s="1"/>
  <c r="C162"/>
  <c r="C164" s="1"/>
  <c r="E163"/>
  <c r="E164" s="1"/>
  <c r="K143"/>
  <c r="K144" s="1"/>
  <c r="E123"/>
  <c r="E124" s="1"/>
  <c r="M123"/>
  <c r="M124" s="1"/>
  <c r="K103"/>
  <c r="K104" s="1"/>
  <c r="O92"/>
  <c r="O94" s="1"/>
  <c r="G103"/>
  <c r="G104" s="1"/>
  <c r="G123"/>
  <c r="G124" s="1"/>
  <c r="M143"/>
  <c r="M144" s="1"/>
  <c r="K162"/>
  <c r="K164" s="1"/>
  <c r="C102"/>
  <c r="C104" s="1"/>
  <c r="E153"/>
  <c r="E154" s="1"/>
  <c r="C133"/>
  <c r="C134" s="1"/>
  <c r="O112"/>
  <c r="O114" s="1"/>
  <c r="M132"/>
  <c r="M134" s="1"/>
  <c r="C113"/>
  <c r="C114" s="1"/>
  <c r="M162"/>
  <c r="M164" s="1"/>
  <c r="E132"/>
  <c r="E134" s="1"/>
  <c r="M152"/>
  <c r="M154" s="1"/>
  <c r="G153"/>
  <c r="G154" s="1"/>
  <c r="O153"/>
  <c r="O154" s="1"/>
  <c r="O133"/>
  <c r="O134" s="1"/>
  <c r="K153"/>
  <c r="K154" s="1"/>
  <c r="M92"/>
  <c r="M94" s="1"/>
  <c r="K113"/>
  <c r="K114" s="1"/>
  <c r="G132"/>
  <c r="G134" s="1"/>
  <c r="K133"/>
  <c r="K134" s="1"/>
  <c r="K123"/>
  <c r="K124" s="1"/>
  <c r="C122"/>
  <c r="C124" s="1"/>
  <c r="K92"/>
  <c r="K94" s="1"/>
  <c r="G163"/>
  <c r="G164" s="1"/>
  <c r="G142"/>
  <c r="G144" s="1"/>
  <c r="O122"/>
  <c r="O124" s="1"/>
  <c r="C143"/>
  <c r="C144" s="1"/>
  <c r="O142"/>
  <c r="O144" s="1"/>
  <c r="C152"/>
  <c r="C154" s="1"/>
  <c r="E102"/>
  <c r="E104" s="1"/>
  <c r="M102"/>
  <c r="M104" s="1"/>
  <c r="O779" i="46"/>
  <c r="Q779" s="1"/>
  <c r="R779" s="1"/>
  <c r="J196" i="32" s="1"/>
  <c r="F56" i="11"/>
  <c r="F55"/>
  <c r="D55" s="1"/>
  <c r="F51"/>
  <c r="F50"/>
  <c r="D50" s="1"/>
  <c r="F46"/>
  <c r="F45"/>
  <c r="D45" s="1"/>
  <c r="F41"/>
  <c r="D41" s="1"/>
  <c r="F42"/>
  <c r="F37"/>
  <c r="F36"/>
  <c r="D36" s="1"/>
  <c r="F33"/>
  <c r="F32"/>
  <c r="D32" s="1"/>
  <c r="F28"/>
  <c r="F27"/>
  <c r="D27" s="1"/>
  <c r="F11"/>
  <c r="D11" s="1"/>
  <c r="F12"/>
  <c r="F16"/>
  <c r="D16" s="1"/>
  <c r="F17"/>
  <c r="F23"/>
  <c r="F22"/>
  <c r="D22" s="1"/>
  <c r="F391" i="2"/>
  <c r="F43"/>
  <c r="F44"/>
  <c r="F45"/>
  <c r="F46"/>
  <c r="F5" i="11"/>
  <c r="F4"/>
  <c r="D63" i="38"/>
  <c r="D62"/>
  <c r="D61"/>
  <c r="D60"/>
  <c r="D59"/>
  <c r="D57"/>
  <c r="D56"/>
  <c r="D55"/>
  <c r="F51"/>
  <c r="F50"/>
  <c r="F46"/>
  <c r="F45"/>
  <c r="F11" i="12"/>
  <c r="F12"/>
  <c r="F13"/>
  <c r="F14"/>
  <c r="F10"/>
  <c r="D10" s="1"/>
  <c r="F23" i="2"/>
  <c r="F24"/>
  <c r="F25"/>
  <c r="F26"/>
  <c r="F5" i="37"/>
  <c r="F6"/>
  <c r="F7"/>
  <c r="F4"/>
  <c r="D4" s="1"/>
  <c r="F22" i="7"/>
  <c r="F19"/>
  <c r="F20"/>
  <c r="F21"/>
  <c r="F23"/>
  <c r="F24"/>
  <c r="F25"/>
  <c r="F26"/>
  <c r="F27"/>
  <c r="F18"/>
  <c r="D18" s="1"/>
  <c r="B92" i="32"/>
  <c r="B261" i="46"/>
  <c r="D504"/>
  <c r="C612"/>
  <c r="D73" i="32"/>
  <c r="C131" i="46"/>
  <c r="C580"/>
  <c r="C277"/>
  <c r="J49" i="32"/>
  <c r="C308" i="46"/>
  <c r="C341"/>
  <c r="C188"/>
  <c r="B447"/>
  <c r="C676"/>
  <c r="J72" i="32"/>
  <c r="C43" i="46"/>
  <c r="C260"/>
  <c r="B520"/>
  <c r="C318"/>
  <c r="C366"/>
  <c r="D676"/>
  <c r="D675"/>
  <c r="B528"/>
  <c r="D92" i="32"/>
  <c r="C564" i="46"/>
  <c r="B341"/>
  <c r="B470"/>
  <c r="C300"/>
  <c r="C67"/>
  <c r="B547"/>
  <c r="B93" i="32"/>
  <c r="B325" i="46"/>
  <c r="C326"/>
  <c r="B504"/>
  <c r="B391"/>
  <c r="C42"/>
  <c r="C651"/>
  <c r="B8"/>
  <c r="C292"/>
  <c r="B603"/>
  <c r="C496"/>
  <c r="B49" i="32"/>
  <c r="C317" i="46"/>
  <c r="C146"/>
  <c r="C480"/>
  <c r="C34"/>
  <c r="L83" i="32"/>
  <c r="F62"/>
  <c r="B83"/>
  <c r="B284" i="46"/>
  <c r="D571"/>
  <c r="J39" i="32"/>
  <c r="B213" i="46"/>
  <c r="C424"/>
  <c r="C6"/>
  <c r="C35"/>
  <c r="B53" i="32"/>
  <c r="D548" i="46"/>
  <c r="C536"/>
  <c r="C604"/>
  <c r="C521"/>
  <c r="D6" i="29"/>
  <c r="C456" i="46"/>
  <c r="B457"/>
  <c r="B75"/>
  <c r="F83" i="32"/>
  <c r="B292" i="46"/>
  <c r="D612"/>
  <c r="J40" i="32"/>
  <c r="C504" i="46"/>
  <c r="C458"/>
  <c r="B15"/>
  <c r="C603"/>
  <c r="B580"/>
  <c r="D480"/>
  <c r="D546"/>
  <c r="F92" i="32"/>
  <c r="D521" i="46"/>
  <c r="B400"/>
  <c r="B244"/>
  <c r="D659"/>
  <c r="B423"/>
  <c r="B51" i="32"/>
  <c r="B392" i="46"/>
  <c r="C571"/>
  <c r="N72" i="32"/>
  <c r="C162" i="46"/>
  <c r="D513"/>
  <c r="L73" i="32"/>
  <c r="D547" i="46"/>
  <c r="F63" i="32"/>
  <c r="D93"/>
  <c r="B579" i="46"/>
  <c r="B375"/>
  <c r="B139"/>
  <c r="D469"/>
  <c r="L50" i="32"/>
  <c r="B408" i="46"/>
  <c r="B480"/>
  <c r="C268"/>
  <c r="C171"/>
  <c r="C163"/>
  <c r="D53" i="32"/>
  <c r="C17" i="46"/>
  <c r="C457"/>
  <c r="C440"/>
  <c r="D529"/>
  <c r="B189"/>
  <c r="C90"/>
  <c r="C229"/>
  <c r="D555"/>
  <c r="B50"/>
  <c r="B25"/>
  <c r="B399"/>
  <c r="B477"/>
  <c r="N40" i="32"/>
  <c r="B277" i="46"/>
  <c r="B612"/>
  <c r="B123"/>
  <c r="B495"/>
  <c r="B667"/>
  <c r="D17" i="29"/>
  <c r="F49" i="32"/>
  <c r="B536" i="46"/>
  <c r="B308"/>
  <c r="B318"/>
  <c r="B563"/>
  <c r="C212"/>
  <c r="C477"/>
  <c r="C325"/>
  <c r="C368"/>
  <c r="B350"/>
  <c r="B40" i="32"/>
  <c r="D72"/>
  <c r="F40"/>
  <c r="J63"/>
  <c r="C556" i="46"/>
  <c r="B26"/>
  <c r="C59"/>
  <c r="C595"/>
  <c r="L62" i="32"/>
  <c r="D545" i="46"/>
  <c r="D488"/>
  <c r="J62" i="32"/>
  <c r="C547" i="46"/>
  <c r="C652"/>
  <c r="B245"/>
  <c r="B333"/>
  <c r="B497"/>
  <c r="F53" i="32"/>
  <c r="C107" i="46"/>
  <c r="B16" i="32"/>
  <c r="C155" i="46"/>
  <c r="C74"/>
  <c r="C544"/>
  <c r="B293"/>
  <c r="B651"/>
  <c r="C537"/>
  <c r="C367"/>
  <c r="C342"/>
  <c r="B619"/>
  <c r="C228"/>
  <c r="B6"/>
  <c r="L63" i="32"/>
  <c r="B342" i="46"/>
  <c r="B18" i="29"/>
  <c r="L49" i="32"/>
  <c r="B300" i="46"/>
  <c r="B180"/>
  <c r="C252"/>
  <c r="F17" i="32"/>
  <c r="C237" i="46"/>
  <c r="C91"/>
  <c r="D652"/>
  <c r="B368"/>
  <c r="C154"/>
  <c r="C431"/>
  <c r="D16" i="29"/>
  <c r="C236" i="46"/>
  <c r="C643"/>
  <c r="B252"/>
  <c r="B67"/>
  <c r="C439"/>
  <c r="B376"/>
  <c r="B659"/>
  <c r="B17" i="29"/>
  <c r="D7"/>
  <c r="B7" i="46"/>
  <c r="D620"/>
  <c r="D243" i="29"/>
  <c r="C123" i="46"/>
  <c r="C636"/>
  <c r="B572"/>
  <c r="C18"/>
  <c r="L40" i="32"/>
  <c r="B366" i="46"/>
  <c r="C432"/>
  <c r="B62" i="32"/>
  <c r="D627" i="46"/>
  <c r="D505"/>
  <c r="B334"/>
  <c r="N73" i="32"/>
  <c r="N50"/>
  <c r="J50"/>
  <c r="D544" i="46"/>
  <c r="D611"/>
  <c r="N82" i="32"/>
  <c r="B83" i="46"/>
  <c r="B496"/>
  <c r="D660"/>
  <c r="B415"/>
  <c r="C357"/>
  <c r="B163"/>
  <c r="B162"/>
  <c r="C75"/>
  <c r="B18"/>
  <c r="C189"/>
  <c r="B458"/>
  <c r="C221"/>
  <c r="B456"/>
  <c r="C130"/>
  <c r="D668"/>
  <c r="B611"/>
  <c r="C309"/>
  <c r="D39" i="32"/>
  <c r="C495" i="46"/>
  <c r="F52" i="32"/>
  <c r="B82"/>
  <c r="D588" i="46"/>
  <c r="C563"/>
  <c r="C611"/>
  <c r="B546"/>
  <c r="C546"/>
  <c r="C334"/>
  <c r="C114"/>
  <c r="C628"/>
  <c r="B358"/>
  <c r="B236"/>
  <c r="D564"/>
  <c r="C555"/>
  <c r="C16"/>
  <c r="B114"/>
  <c r="B228"/>
  <c r="B545"/>
  <c r="B478"/>
  <c r="C423"/>
  <c r="D563"/>
  <c r="B309"/>
  <c r="B555"/>
  <c r="B82"/>
  <c r="C588"/>
  <c r="C488"/>
  <c r="B243" i="29"/>
  <c r="B349" i="46"/>
  <c r="B521"/>
  <c r="B587"/>
  <c r="B636"/>
  <c r="C204"/>
  <c r="C293"/>
  <c r="D40" i="32"/>
  <c r="B260" i="46"/>
  <c r="C448"/>
  <c r="B513"/>
  <c r="F82" i="32"/>
  <c r="F93"/>
  <c r="C383" i="46"/>
  <c r="C447"/>
  <c r="N49" i="32"/>
  <c r="C512" i="46"/>
  <c r="B242" i="29"/>
  <c r="J83" i="32"/>
  <c r="D537" i="46"/>
  <c r="B172"/>
  <c r="D18" i="29"/>
  <c r="B73" i="32"/>
  <c r="C66" i="46"/>
  <c r="B35"/>
  <c r="B285"/>
  <c r="C8"/>
  <c r="C667"/>
  <c r="D644"/>
  <c r="L39" i="32"/>
  <c r="C548" i="46"/>
  <c r="B7" i="29"/>
  <c r="C470" i="46"/>
  <c r="B675"/>
  <c r="B459"/>
  <c r="B529"/>
  <c r="C469"/>
  <c r="C587"/>
  <c r="C50"/>
  <c r="D51" i="32"/>
  <c r="C316" i="46"/>
  <c r="B468"/>
  <c r="D82" i="32"/>
  <c r="B628" i="46"/>
  <c r="F50" i="32"/>
  <c r="C99" i="46"/>
  <c r="D651"/>
  <c r="D536"/>
  <c r="D478"/>
  <c r="B220"/>
  <c r="D52" i="32"/>
  <c r="C284" i="46"/>
  <c r="D628"/>
  <c r="B91"/>
  <c r="C350"/>
  <c r="B5" i="29"/>
  <c r="C333" i="46"/>
  <c r="C572"/>
  <c r="B644"/>
  <c r="N63" i="32"/>
  <c r="F16"/>
  <c r="C358" i="46"/>
  <c r="C528"/>
  <c r="C253"/>
  <c r="B42"/>
  <c r="C668"/>
  <c r="F72" i="32"/>
  <c r="B17" i="46"/>
  <c r="D5" i="29"/>
  <c r="N39" i="32"/>
  <c r="C98" i="46"/>
  <c r="D635"/>
  <c r="D619"/>
  <c r="F73" i="32"/>
  <c r="C415" i="46"/>
  <c r="B51"/>
  <c r="B448"/>
  <c r="B72" i="32"/>
  <c r="C301" i="46"/>
  <c r="B604"/>
  <c r="L82" i="32"/>
  <c r="C478" i="46"/>
  <c r="C659"/>
  <c r="B16"/>
  <c r="C106"/>
  <c r="B74"/>
  <c r="B237"/>
  <c r="D16" i="32"/>
  <c r="B357" i="46"/>
  <c r="B63" i="32"/>
  <c r="B154" i="46"/>
  <c r="B596"/>
  <c r="B138"/>
  <c r="F39" i="32"/>
  <c r="B416" i="46"/>
  <c r="B365"/>
  <c r="B130"/>
  <c r="C122"/>
  <c r="D495"/>
  <c r="D595"/>
  <c r="D63" i="32"/>
  <c r="C51" i="46"/>
  <c r="B505"/>
  <c r="B544"/>
  <c r="C513"/>
  <c r="C269"/>
  <c r="C147"/>
  <c r="D587"/>
  <c r="C15"/>
  <c r="B253"/>
  <c r="C349"/>
  <c r="C33"/>
  <c r="B439"/>
  <c r="B146"/>
  <c r="B620"/>
  <c r="C579"/>
  <c r="C138"/>
  <c r="D596"/>
  <c r="D604"/>
  <c r="B18" i="32"/>
  <c r="B556" i="46"/>
  <c r="D477"/>
  <c r="B652"/>
  <c r="D579"/>
  <c r="B660"/>
  <c r="C83"/>
  <c r="D512"/>
  <c r="B17" i="32"/>
  <c r="C7" i="46"/>
  <c r="B204"/>
  <c r="B588"/>
  <c r="B66"/>
  <c r="B564"/>
  <c r="B188"/>
  <c r="B115"/>
  <c r="B39" i="32"/>
  <c r="C487" i="46"/>
  <c r="B407"/>
  <c r="C505"/>
  <c r="C400"/>
  <c r="C619"/>
  <c r="B212"/>
  <c r="C197"/>
  <c r="C285"/>
  <c r="B268"/>
  <c r="D468"/>
  <c r="D17" i="32"/>
  <c r="C479" i="46"/>
  <c r="C416"/>
  <c r="C520"/>
  <c r="D636"/>
  <c r="B479"/>
  <c r="C376"/>
  <c r="J82" i="32"/>
  <c r="B548" i="46"/>
  <c r="B221"/>
  <c r="B50" i="32"/>
  <c r="B197" i="46"/>
  <c r="D667"/>
  <c r="B643"/>
  <c r="C220"/>
  <c r="B455"/>
  <c r="B635"/>
  <c r="B269"/>
  <c r="C26"/>
  <c r="B98"/>
  <c r="C276"/>
  <c r="N83" i="32"/>
  <c r="D643" i="46"/>
  <c r="C468"/>
  <c r="C181"/>
  <c r="B6" i="29"/>
  <c r="B537" i="46"/>
  <c r="B487"/>
  <c r="B668"/>
  <c r="D520"/>
  <c r="C205"/>
  <c r="B205"/>
  <c r="B440"/>
  <c r="D496"/>
  <c r="B34"/>
  <c r="C139"/>
  <c r="B367"/>
  <c r="B316"/>
  <c r="B43"/>
  <c r="D603"/>
  <c r="D479"/>
  <c r="D580"/>
  <c r="D572"/>
  <c r="C497"/>
  <c r="C172"/>
  <c r="B59"/>
  <c r="L72" i="32"/>
  <c r="B384" i="46"/>
  <c r="B181"/>
  <c r="D556"/>
  <c r="C635"/>
  <c r="C455"/>
  <c r="B147"/>
  <c r="B122"/>
  <c r="C25"/>
  <c r="J73" i="32"/>
  <c r="C392" i="46"/>
  <c r="D487"/>
  <c r="D62" i="32"/>
  <c r="B676" i="46"/>
  <c r="C365"/>
  <c r="C391"/>
  <c r="C245"/>
  <c r="D50" i="32"/>
  <c r="D18"/>
  <c r="B571" i="46"/>
  <c r="D49" i="32"/>
  <c r="C384" i="46"/>
  <c r="D242" i="29"/>
  <c r="B99" i="46"/>
  <c r="B317"/>
  <c r="C660"/>
  <c r="B424"/>
  <c r="C644"/>
  <c r="B627"/>
  <c r="F18" i="32"/>
  <c r="B431" i="46"/>
  <c r="C620"/>
  <c r="C408"/>
  <c r="D83" i="32"/>
  <c r="D497" i="46"/>
  <c r="C213"/>
  <c r="B229"/>
  <c r="C529"/>
  <c r="C58"/>
  <c r="B432"/>
  <c r="N62" i="32"/>
  <c r="C196" i="46"/>
  <c r="C545"/>
  <c r="C459"/>
  <c r="C244"/>
  <c r="B106"/>
  <c r="C82"/>
  <c r="C180"/>
  <c r="B107"/>
  <c r="B155"/>
  <c r="C115"/>
  <c r="C627"/>
  <c r="B131"/>
  <c r="C407"/>
  <c r="C261"/>
  <c r="C596"/>
  <c r="F51" i="32"/>
  <c r="D528" i="46"/>
  <c r="B171"/>
  <c r="D470"/>
  <c r="B595"/>
  <c r="B90"/>
  <c r="B383"/>
  <c r="B196"/>
  <c r="B301"/>
  <c r="C375"/>
  <c r="B16" i="29"/>
  <c r="B33" i="46"/>
  <c r="C399"/>
  <c r="B469"/>
  <c r="B52" i="32"/>
  <c r="B512" i="46"/>
  <c r="C675"/>
  <c r="B276"/>
  <c r="B326"/>
  <c r="B488"/>
  <c r="B58"/>
  <c r="D23" i="7" l="1"/>
  <c r="E23" s="1"/>
  <c r="F19" i="32"/>
  <c r="G16" s="1"/>
  <c r="D64"/>
  <c r="E62" s="1"/>
  <c r="F94"/>
  <c r="G92" s="1"/>
  <c r="J51"/>
  <c r="K49" s="1"/>
  <c r="B64"/>
  <c r="C62" s="1"/>
  <c r="J84"/>
  <c r="K82" s="1"/>
  <c r="B54"/>
  <c r="C49" s="1"/>
  <c r="L51"/>
  <c r="M50" s="1"/>
  <c r="D84"/>
  <c r="E83" s="1"/>
  <c r="J74"/>
  <c r="K73" s="1"/>
  <c r="J64"/>
  <c r="K63" s="1"/>
  <c r="L84"/>
  <c r="M83" s="1"/>
  <c r="D94"/>
  <c r="E92" s="1"/>
  <c r="L41"/>
  <c r="M40" s="1"/>
  <c r="D74"/>
  <c r="E72" s="1"/>
  <c r="B19"/>
  <c r="C16" s="1"/>
  <c r="N41"/>
  <c r="O39" s="1"/>
  <c r="D54"/>
  <c r="E50" s="1"/>
  <c r="N74"/>
  <c r="O73" s="1"/>
  <c r="B84"/>
  <c r="C82" s="1"/>
  <c r="F54"/>
  <c r="G50" s="1"/>
  <c r="D19"/>
  <c r="E16" s="1"/>
  <c r="N64"/>
  <c r="O62" s="1"/>
  <c r="N84"/>
  <c r="O82" s="1"/>
  <c r="D41"/>
  <c r="E39" s="1"/>
  <c r="F74"/>
  <c r="G72" s="1"/>
  <c r="L64"/>
  <c r="M63" s="1"/>
  <c r="B94"/>
  <c r="C92" s="1"/>
  <c r="F64"/>
  <c r="G62" s="1"/>
  <c r="B41"/>
  <c r="C40" s="1"/>
  <c r="B74"/>
  <c r="C72" s="1"/>
  <c r="F84"/>
  <c r="G83" s="1"/>
  <c r="F41"/>
  <c r="G40" s="1"/>
  <c r="J41"/>
  <c r="K40" s="1"/>
  <c r="N51"/>
  <c r="O50" s="1"/>
  <c r="L74"/>
  <c r="M73" s="1"/>
  <c r="D244" i="29"/>
  <c r="E243" s="1"/>
  <c r="B244"/>
  <c r="C243" s="1"/>
  <c r="D19"/>
  <c r="E17" s="1"/>
  <c r="B19"/>
  <c r="C16" s="1"/>
  <c r="D8"/>
  <c r="E7" s="1"/>
  <c r="B8"/>
  <c r="C7" s="1"/>
  <c r="D26" i="7"/>
  <c r="E26" s="1"/>
  <c r="F77" i="8"/>
  <c r="D77" s="1"/>
  <c r="F78"/>
  <c r="F83"/>
  <c r="D83" s="1"/>
  <c r="F86"/>
  <c r="F85"/>
  <c r="F84"/>
  <c r="F80"/>
  <c r="D80" s="1"/>
  <c r="F81"/>
  <c r="D18" i="46"/>
  <c r="C19"/>
  <c r="D19"/>
  <c r="D15"/>
  <c r="B19"/>
  <c r="D17"/>
  <c r="D16"/>
  <c r="C319"/>
  <c r="D318"/>
  <c r="D369"/>
  <c r="D317"/>
  <c r="D294"/>
  <c r="D302"/>
  <c r="D319"/>
  <c r="D316"/>
  <c r="B319"/>
  <c r="D327"/>
  <c r="D335"/>
  <c r="D377"/>
  <c r="D425"/>
  <c r="D433"/>
  <c r="D441"/>
  <c r="D449"/>
  <c r="D460"/>
  <c r="E479"/>
  <c r="E478"/>
  <c r="E481"/>
  <c r="E477"/>
  <c r="B481"/>
  <c r="C481"/>
  <c r="D481"/>
  <c r="E480"/>
  <c r="D27" i="7"/>
  <c r="E27" s="1"/>
  <c r="D7" i="37"/>
  <c r="E7" s="1"/>
  <c r="D25" i="7"/>
  <c r="E25" s="1"/>
  <c r="D21"/>
  <c r="E21" s="1"/>
  <c r="D22"/>
  <c r="E22" s="1"/>
  <c r="D56" i="11"/>
  <c r="E56" s="1"/>
  <c r="D46"/>
  <c r="E46" s="1"/>
  <c r="D33"/>
  <c r="E33" s="1"/>
  <c r="D23"/>
  <c r="E23" s="1"/>
  <c r="D20" i="7"/>
  <c r="E20" s="1"/>
  <c r="E4" i="37"/>
  <c r="G4" s="1"/>
  <c r="D6"/>
  <c r="E6" s="1"/>
  <c r="E55" i="11"/>
  <c r="G55" s="1"/>
  <c r="E50"/>
  <c r="G50" s="1"/>
  <c r="E45"/>
  <c r="G45" s="1"/>
  <c r="D42"/>
  <c r="E42" s="1"/>
  <c r="E41"/>
  <c r="D37"/>
  <c r="E37" s="1"/>
  <c r="E36"/>
  <c r="E32"/>
  <c r="G32" s="1"/>
  <c r="D28"/>
  <c r="E28" s="1"/>
  <c r="E27"/>
  <c r="G27" s="1"/>
  <c r="E22"/>
  <c r="G22" s="1"/>
  <c r="D17"/>
  <c r="E17" s="1"/>
  <c r="E16"/>
  <c r="G16" s="1"/>
  <c r="D12"/>
  <c r="E12" s="1"/>
  <c r="E11"/>
  <c r="G11" s="1"/>
  <c r="F63" i="38"/>
  <c r="E59" s="1"/>
  <c r="F461" i="2"/>
  <c r="D461" s="1"/>
  <c r="F462"/>
  <c r="D13" i="12"/>
  <c r="E13" s="1"/>
  <c r="E10"/>
  <c r="G10" s="1"/>
  <c r="D26" i="2"/>
  <c r="D14" i="12"/>
  <c r="E14" s="1"/>
  <c r="D12"/>
  <c r="E12" s="1"/>
  <c r="D51" i="11"/>
  <c r="E51" s="1"/>
  <c r="D24" i="7"/>
  <c r="E24" s="1"/>
  <c r="F463" i="2"/>
  <c r="F464"/>
  <c r="F459"/>
  <c r="D25"/>
  <c r="E25" s="1"/>
  <c r="E18" i="7"/>
  <c r="G18" s="1"/>
  <c r="D11" i="12"/>
  <c r="D5" i="37"/>
  <c r="D19" i="7"/>
  <c r="CM4" i="1"/>
  <c r="CM5"/>
  <c r="CM6"/>
  <c r="CM7"/>
  <c r="CM8"/>
  <c r="CM9"/>
  <c r="CM10"/>
  <c r="CM11"/>
  <c r="CM12"/>
  <c r="CM13"/>
  <c r="CM14"/>
  <c r="CM15"/>
  <c r="CM16"/>
  <c r="CM17"/>
  <c r="CM18"/>
  <c r="CM19"/>
  <c r="CM20"/>
  <c r="CM21"/>
  <c r="CM22"/>
  <c r="CM23"/>
  <c r="CM24"/>
  <c r="CM25"/>
  <c r="CM26"/>
  <c r="CM27"/>
  <c r="CM28"/>
  <c r="CM29"/>
  <c r="CM30"/>
  <c r="CM31"/>
  <c r="CM32"/>
  <c r="CM33"/>
  <c r="CM34"/>
  <c r="CM35"/>
  <c r="CM36"/>
  <c r="CM37"/>
  <c r="CM38"/>
  <c r="CM39"/>
  <c r="CM40"/>
  <c r="CM41"/>
  <c r="CM42"/>
  <c r="CM43"/>
  <c r="CM44"/>
  <c r="CM45"/>
  <c r="CM46"/>
  <c r="CM47"/>
  <c r="CM48"/>
  <c r="CM49"/>
  <c r="CM50"/>
  <c r="CM51"/>
  <c r="CM52"/>
  <c r="CM53"/>
  <c r="CM54"/>
  <c r="CM55"/>
  <c r="CM56"/>
  <c r="CM57"/>
  <c r="CM58"/>
  <c r="CM59"/>
  <c r="CM60"/>
  <c r="CM61"/>
  <c r="CM62"/>
  <c r="CM63"/>
  <c r="CM64"/>
  <c r="CM65"/>
  <c r="CM66"/>
  <c r="CM67"/>
  <c r="CM68"/>
  <c r="CM69"/>
  <c r="CM70"/>
  <c r="CM71"/>
  <c r="CM72"/>
  <c r="CM73"/>
  <c r="CM74"/>
  <c r="CM75"/>
  <c r="CM76"/>
  <c r="CM77"/>
  <c r="CM78"/>
  <c r="CM79"/>
  <c r="CM80"/>
  <c r="CM81"/>
  <c r="CM82"/>
  <c r="CM83"/>
  <c r="CM84"/>
  <c r="CM85"/>
  <c r="CM86"/>
  <c r="CM87"/>
  <c r="CM88"/>
  <c r="CM89"/>
  <c r="CM90"/>
  <c r="CM91"/>
  <c r="CM92"/>
  <c r="CM93"/>
  <c r="CM94"/>
  <c r="CM95"/>
  <c r="CM96"/>
  <c r="CM97"/>
  <c r="CM98"/>
  <c r="CM99"/>
  <c r="CM100"/>
  <c r="CM101"/>
  <c r="CM102"/>
  <c r="CM103"/>
  <c r="CM104"/>
  <c r="CM105"/>
  <c r="CM106"/>
  <c r="CM107"/>
  <c r="CM108"/>
  <c r="CM109"/>
  <c r="CM110"/>
  <c r="CM111"/>
  <c r="CM112"/>
  <c r="CM113"/>
  <c r="CM114"/>
  <c r="CM115"/>
  <c r="CM116"/>
  <c r="CM117"/>
  <c r="CM118"/>
  <c r="CM119"/>
  <c r="CM120"/>
  <c r="CM121"/>
  <c r="CM122"/>
  <c r="CM123"/>
  <c r="CM124"/>
  <c r="CM125"/>
  <c r="CM126"/>
  <c r="CM127"/>
  <c r="CM128"/>
  <c r="CM129"/>
  <c r="CM130"/>
  <c r="CM131"/>
  <c r="CM132"/>
  <c r="CM133"/>
  <c r="CM134"/>
  <c r="CM135"/>
  <c r="CM136"/>
  <c r="CM137"/>
  <c r="CM138"/>
  <c r="CM139"/>
  <c r="CM140"/>
  <c r="CM141"/>
  <c r="CM142"/>
  <c r="CM143"/>
  <c r="CM144"/>
  <c r="CM145"/>
  <c r="CM146"/>
  <c r="CM147"/>
  <c r="CM148"/>
  <c r="CM149"/>
  <c r="CM150"/>
  <c r="CM151"/>
  <c r="CM152"/>
  <c r="CM153"/>
  <c r="CM154"/>
  <c r="CM155"/>
  <c r="CM156"/>
  <c r="CM157"/>
  <c r="CM158"/>
  <c r="CM159"/>
  <c r="CM160"/>
  <c r="CM161"/>
  <c r="CM162"/>
  <c r="CM163"/>
  <c r="CM164"/>
  <c r="CM165"/>
  <c r="CM166"/>
  <c r="CM167"/>
  <c r="CM168"/>
  <c r="CM169"/>
  <c r="CM170"/>
  <c r="CM171"/>
  <c r="CM172"/>
  <c r="CM173"/>
  <c r="CM174"/>
  <c r="CM175"/>
  <c r="CM176"/>
  <c r="CM177"/>
  <c r="CM178"/>
  <c r="CM179"/>
  <c r="CM180"/>
  <c r="CM181"/>
  <c r="CM182"/>
  <c r="CM183"/>
  <c r="CM184"/>
  <c r="CM185"/>
  <c r="CM186"/>
  <c r="CM187"/>
  <c r="CM188"/>
  <c r="CM189"/>
  <c r="CM190"/>
  <c r="CM191"/>
  <c r="CM192"/>
  <c r="CM193"/>
  <c r="CM194"/>
  <c r="CM195"/>
  <c r="CM196"/>
  <c r="CM197"/>
  <c r="CM198"/>
  <c r="CM199"/>
  <c r="CM200"/>
  <c r="CM201"/>
  <c r="CM202"/>
  <c r="CM203"/>
  <c r="CM204"/>
  <c r="CM205"/>
  <c r="CM206"/>
  <c r="CM207"/>
  <c r="CM208"/>
  <c r="CM209"/>
  <c r="CM210"/>
  <c r="CM211"/>
  <c r="CM212"/>
  <c r="CM213"/>
  <c r="CM214"/>
  <c r="CM215"/>
  <c r="CM216"/>
  <c r="CM217"/>
  <c r="CM218"/>
  <c r="CM219"/>
  <c r="CM220"/>
  <c r="CM221"/>
  <c r="CM222"/>
  <c r="CM223"/>
  <c r="CM224"/>
  <c r="CM225"/>
  <c r="CM226"/>
  <c r="CM227"/>
  <c r="CM228"/>
  <c r="CM229"/>
  <c r="CM230"/>
  <c r="CM231"/>
  <c r="CM232"/>
  <c r="CM233"/>
  <c r="CM234"/>
  <c r="CM235"/>
  <c r="CM236"/>
  <c r="CM237"/>
  <c r="CM238"/>
  <c r="CM239"/>
  <c r="CM240"/>
  <c r="CM241"/>
  <c r="CM242"/>
  <c r="CM243"/>
  <c r="CM244"/>
  <c r="CM245"/>
  <c r="CM246"/>
  <c r="CM247"/>
  <c r="CM248"/>
  <c r="CM249"/>
  <c r="CM250"/>
  <c r="CM251"/>
  <c r="CM252"/>
  <c r="CM253"/>
  <c r="CM254"/>
  <c r="CM255"/>
  <c r="CM256"/>
  <c r="CM257"/>
  <c r="CM258"/>
  <c r="CM259"/>
  <c r="CM260"/>
  <c r="CM261"/>
  <c r="CM262"/>
  <c r="CM263"/>
  <c r="CM264"/>
  <c r="CM265"/>
  <c r="CM266"/>
  <c r="CM267"/>
  <c r="CM268"/>
  <c r="CM269"/>
  <c r="CM270"/>
  <c r="CM271"/>
  <c r="CM272"/>
  <c r="CM273"/>
  <c r="CM274"/>
  <c r="CM275"/>
  <c r="CM276"/>
  <c r="CM277"/>
  <c r="CM278"/>
  <c r="CM279"/>
  <c r="CM280"/>
  <c r="CM281"/>
  <c r="CM282"/>
  <c r="CM283"/>
  <c r="CM284"/>
  <c r="CM285"/>
  <c r="CM286"/>
  <c r="CM287"/>
  <c r="CM288"/>
  <c r="CM289"/>
  <c r="CM290"/>
  <c r="CM291"/>
  <c r="CM292"/>
  <c r="CM293"/>
  <c r="CM294"/>
  <c r="CM295"/>
  <c r="CM296"/>
  <c r="CM297"/>
  <c r="CM298"/>
  <c r="CM299"/>
  <c r="CM300"/>
  <c r="CM301"/>
  <c r="CM302"/>
  <c r="CM303"/>
  <c r="CM304"/>
  <c r="CM305"/>
  <c r="CM306"/>
  <c r="CM307"/>
  <c r="CM308"/>
  <c r="CM309"/>
  <c r="CM310"/>
  <c r="CM311"/>
  <c r="CM312"/>
  <c r="CM313"/>
  <c r="CM314"/>
  <c r="CM315"/>
  <c r="CM316"/>
  <c r="CM317"/>
  <c r="CM318"/>
  <c r="CM319"/>
  <c r="CM320"/>
  <c r="CM321"/>
  <c r="CM322"/>
  <c r="CM323"/>
  <c r="CM324"/>
  <c r="CM325"/>
  <c r="CM326"/>
  <c r="CM327"/>
  <c r="CM328"/>
  <c r="CM329"/>
  <c r="CM330"/>
  <c r="CM331"/>
  <c r="CM332"/>
  <c r="CM333"/>
  <c r="CM334"/>
  <c r="CM335"/>
  <c r="CM336"/>
  <c r="CM337"/>
  <c r="CM338"/>
  <c r="CM339"/>
  <c r="CM340"/>
  <c r="CM341"/>
  <c r="CM342"/>
  <c r="CM343"/>
  <c r="CM344"/>
  <c r="CM345"/>
  <c r="CM346"/>
  <c r="CM347"/>
  <c r="CM348"/>
  <c r="CM349"/>
  <c r="CM350"/>
  <c r="CM351"/>
  <c r="CM352"/>
  <c r="CM353"/>
  <c r="CM354"/>
  <c r="CM355"/>
  <c r="CM356"/>
  <c r="CM357"/>
  <c r="CM358"/>
  <c r="CM359"/>
  <c r="CM360"/>
  <c r="CM361"/>
  <c r="CM362"/>
  <c r="CM363"/>
  <c r="CM364"/>
  <c r="CM365"/>
  <c r="CM366"/>
  <c r="CM367"/>
  <c r="CM368"/>
  <c r="CM369"/>
  <c r="CM370"/>
  <c r="CM371"/>
  <c r="CM372"/>
  <c r="CM373"/>
  <c r="CM374"/>
  <c r="CM375"/>
  <c r="CM376"/>
  <c r="CM377"/>
  <c r="CM378"/>
  <c r="CM379"/>
  <c r="CM380"/>
  <c r="CM381"/>
  <c r="CM382"/>
  <c r="CM383"/>
  <c r="CM384"/>
  <c r="CM385"/>
  <c r="CM386"/>
  <c r="CM387"/>
  <c r="CM388"/>
  <c r="CM389"/>
  <c r="CM390"/>
  <c r="CM391"/>
  <c r="CM392"/>
  <c r="CM393"/>
  <c r="CM394"/>
  <c r="CM395"/>
  <c r="CM396"/>
  <c r="CM397"/>
  <c r="CM398"/>
  <c r="CM399"/>
  <c r="CM400"/>
  <c r="CM401"/>
  <c r="CM402"/>
  <c r="CM403"/>
  <c r="CM404"/>
  <c r="CM405"/>
  <c r="CM406"/>
  <c r="CM407"/>
  <c r="CM408"/>
  <c r="CM409"/>
  <c r="CM410"/>
  <c r="CM411"/>
  <c r="CM412"/>
  <c r="CM413"/>
  <c r="CM414"/>
  <c r="CM415"/>
  <c r="CM416"/>
  <c r="CM417"/>
  <c r="CM418"/>
  <c r="CM419"/>
  <c r="CM420"/>
  <c r="CM421"/>
  <c r="CM422"/>
  <c r="CM423"/>
  <c r="CM424"/>
  <c r="CM425"/>
  <c r="CM426"/>
  <c r="CM427"/>
  <c r="CM428"/>
  <c r="CM429"/>
  <c r="CM430"/>
  <c r="CM431"/>
  <c r="CM432"/>
  <c r="CM433"/>
  <c r="CM434"/>
  <c r="CM435"/>
  <c r="CM436"/>
  <c r="CM437"/>
  <c r="CM438"/>
  <c r="CM439"/>
  <c r="CM440"/>
  <c r="CM441"/>
  <c r="CM442"/>
  <c r="CM443"/>
  <c r="CM444"/>
  <c r="CM445"/>
  <c r="CM446"/>
  <c r="CM447"/>
  <c r="CM448"/>
  <c r="CM449"/>
  <c r="CM450"/>
  <c r="CM451"/>
  <c r="CM452"/>
  <c r="CM453"/>
  <c r="CM454"/>
  <c r="CM455"/>
  <c r="CM456"/>
  <c r="CM457"/>
  <c r="CM458"/>
  <c r="CM459"/>
  <c r="CM460"/>
  <c r="CM461"/>
  <c r="CM462"/>
  <c r="CM463"/>
  <c r="CM464"/>
  <c r="CM465"/>
  <c r="CM466"/>
  <c r="CM467"/>
  <c r="CM468"/>
  <c r="CM469"/>
  <c r="CM470"/>
  <c r="CM471"/>
  <c r="CM472"/>
  <c r="CM473"/>
  <c r="CM474"/>
  <c r="CM475"/>
  <c r="CM476"/>
  <c r="CM477"/>
  <c r="CM478"/>
  <c r="CM479"/>
  <c r="CM480"/>
  <c r="CM481"/>
  <c r="CM482"/>
  <c r="CM483"/>
  <c r="CM484"/>
  <c r="CM485"/>
  <c r="CM486"/>
  <c r="CM487"/>
  <c r="CM488"/>
  <c r="CM489"/>
  <c r="CM490"/>
  <c r="CM491"/>
  <c r="CM492"/>
  <c r="CM493"/>
  <c r="CM494"/>
  <c r="CM495"/>
  <c r="CM496"/>
  <c r="CM497"/>
  <c r="CM498"/>
  <c r="CM499"/>
  <c r="CM500"/>
  <c r="CM501"/>
  <c r="CM502"/>
  <c r="CM503"/>
  <c r="CM504"/>
  <c r="CM505"/>
  <c r="CM506"/>
  <c r="CM507"/>
  <c r="CM508"/>
  <c r="CM509"/>
  <c r="CM510"/>
  <c r="CM511"/>
  <c r="CM512"/>
  <c r="CM513"/>
  <c r="CM514"/>
  <c r="CM515"/>
  <c r="CM516"/>
  <c r="CM517"/>
  <c r="CM518"/>
  <c r="CM519"/>
  <c r="CM520"/>
  <c r="CM521"/>
  <c r="CM522"/>
  <c r="CM523"/>
  <c r="CM524"/>
  <c r="CM525"/>
  <c r="CM526"/>
  <c r="CM527"/>
  <c r="CM528"/>
  <c r="CM529"/>
  <c r="CM530"/>
  <c r="CM531"/>
  <c r="CM532"/>
  <c r="CM533"/>
  <c r="CM534"/>
  <c r="CM535"/>
  <c r="CM536"/>
  <c r="CM537"/>
  <c r="CM538"/>
  <c r="CM539"/>
  <c r="CM540"/>
  <c r="CM541"/>
  <c r="CM542"/>
  <c r="CM543"/>
  <c r="CM544"/>
  <c r="CM545"/>
  <c r="CM546"/>
  <c r="CM547"/>
  <c r="CM548"/>
  <c r="CM549"/>
  <c r="CM550"/>
  <c r="CM551"/>
  <c r="CM552"/>
  <c r="CM553"/>
  <c r="CM554"/>
  <c r="CM555"/>
  <c r="CM556"/>
  <c r="CM557"/>
  <c r="CM558"/>
  <c r="CM559"/>
  <c r="CM560"/>
  <c r="CM561"/>
  <c r="CM562"/>
  <c r="CM563"/>
  <c r="CM564"/>
  <c r="CM565"/>
  <c r="CM566"/>
  <c r="CM567"/>
  <c r="CM568"/>
  <c r="CM569"/>
  <c r="CM570"/>
  <c r="CM571"/>
  <c r="CM572"/>
  <c r="CM573"/>
  <c r="CM574"/>
  <c r="CM575"/>
  <c r="CM576"/>
  <c r="CM577"/>
  <c r="CM578"/>
  <c r="CM579"/>
  <c r="CM580"/>
  <c r="CM581"/>
  <c r="CM582"/>
  <c r="CM583"/>
  <c r="CM584"/>
  <c r="CM585"/>
  <c r="CM586"/>
  <c r="CM587"/>
  <c r="CM588"/>
  <c r="CM589"/>
  <c r="CM590"/>
  <c r="CM591"/>
  <c r="CM592"/>
  <c r="CM593"/>
  <c r="CM594"/>
  <c r="CM595"/>
  <c r="CM596"/>
  <c r="CM597"/>
  <c r="CM598"/>
  <c r="CM599"/>
  <c r="CM600"/>
  <c r="CM601"/>
  <c r="CM602"/>
  <c r="F451" i="2"/>
  <c r="F452"/>
  <c r="F450"/>
  <c r="F443"/>
  <c r="F444"/>
  <c r="F445"/>
  <c r="F446"/>
  <c r="F442"/>
  <c r="F434"/>
  <c r="F435"/>
  <c r="F436"/>
  <c r="F437"/>
  <c r="F438"/>
  <c r="F439"/>
  <c r="F433"/>
  <c r="F424"/>
  <c r="F425"/>
  <c r="F426"/>
  <c r="F427"/>
  <c r="F428"/>
  <c r="F429"/>
  <c r="F430"/>
  <c r="F423"/>
  <c r="F418"/>
  <c r="F419"/>
  <c r="F420"/>
  <c r="F417"/>
  <c r="F409"/>
  <c r="F408"/>
  <c r="F403"/>
  <c r="F404"/>
  <c r="F405"/>
  <c r="F402"/>
  <c r="D402" s="1"/>
  <c r="F392"/>
  <c r="F393"/>
  <c r="F394"/>
  <c r="D391"/>
  <c r="E391" s="1"/>
  <c r="F254"/>
  <c r="F255"/>
  <c r="F256"/>
  <c r="F257"/>
  <c r="F253"/>
  <c r="F248"/>
  <c r="F249"/>
  <c r="F250"/>
  <c r="F247"/>
  <c r="D247" s="1"/>
  <c r="F241"/>
  <c r="F242"/>
  <c r="F243"/>
  <c r="F244"/>
  <c r="F240"/>
  <c r="F234"/>
  <c r="F235"/>
  <c r="F236"/>
  <c r="F237"/>
  <c r="F233"/>
  <c r="F227"/>
  <c r="F228"/>
  <c r="F229"/>
  <c r="F230"/>
  <c r="F226"/>
  <c r="F220"/>
  <c r="F219"/>
  <c r="F215"/>
  <c r="F214"/>
  <c r="F210"/>
  <c r="F209"/>
  <c r="F206"/>
  <c r="F205"/>
  <c r="F201"/>
  <c r="F200"/>
  <c r="F197"/>
  <c r="F196"/>
  <c r="F192"/>
  <c r="F191"/>
  <c r="F187"/>
  <c r="F186"/>
  <c r="F181"/>
  <c r="F180"/>
  <c r="F176"/>
  <c r="F175"/>
  <c r="F169"/>
  <c r="F168"/>
  <c r="D165"/>
  <c r="D164"/>
  <c r="D163"/>
  <c r="D162"/>
  <c r="D161"/>
  <c r="D159"/>
  <c r="D158"/>
  <c r="D157"/>
  <c r="F153"/>
  <c r="F152"/>
  <c r="F148"/>
  <c r="F147"/>
  <c r="F142"/>
  <c r="F143"/>
  <c r="F144"/>
  <c r="F141"/>
  <c r="F136"/>
  <c r="F137"/>
  <c r="F138"/>
  <c r="F135"/>
  <c r="F130"/>
  <c r="F131"/>
  <c r="F132"/>
  <c r="F129"/>
  <c r="F118"/>
  <c r="F119"/>
  <c r="F120"/>
  <c r="F124"/>
  <c r="F125"/>
  <c r="F126"/>
  <c r="F123"/>
  <c r="F117"/>
  <c r="F112"/>
  <c r="F113"/>
  <c r="F114"/>
  <c r="F111"/>
  <c r="F106"/>
  <c r="F107"/>
  <c r="F108"/>
  <c r="F105"/>
  <c r="F100"/>
  <c r="F101"/>
  <c r="F102"/>
  <c r="F99"/>
  <c r="F94"/>
  <c r="F95"/>
  <c r="F96"/>
  <c r="F93"/>
  <c r="F88"/>
  <c r="F89"/>
  <c r="F90"/>
  <c r="F87"/>
  <c r="F81"/>
  <c r="F82"/>
  <c r="F83"/>
  <c r="F84"/>
  <c r="F76"/>
  <c r="F77"/>
  <c r="F78"/>
  <c r="F75"/>
  <c r="F67"/>
  <c r="F68"/>
  <c r="F69"/>
  <c r="F70"/>
  <c r="F66"/>
  <c r="F59"/>
  <c r="F60"/>
  <c r="F61"/>
  <c r="F62"/>
  <c r="F58"/>
  <c r="F51"/>
  <c r="F52"/>
  <c r="F53"/>
  <c r="F54"/>
  <c r="F50"/>
  <c r="F42"/>
  <c r="F36"/>
  <c r="F37"/>
  <c r="F38"/>
  <c r="F39"/>
  <c r="F35"/>
  <c r="F22"/>
  <c r="F17"/>
  <c r="F18"/>
  <c r="F19"/>
  <c r="F16"/>
  <c r="F13"/>
  <c r="F9"/>
  <c r="F4"/>
  <c r="F388"/>
  <c r="F387"/>
  <c r="F386"/>
  <c r="F385"/>
  <c r="F384"/>
  <c r="F383"/>
  <c r="B290" i="32"/>
  <c r="B287"/>
  <c r="F288"/>
  <c r="B289"/>
  <c r="D287"/>
  <c r="B288"/>
  <c r="D288"/>
  <c r="F289"/>
  <c r="D290"/>
  <c r="F290"/>
  <c r="D289"/>
  <c r="F287"/>
  <c r="D395" i="2" l="1"/>
  <c r="K62" i="32"/>
  <c r="K64" s="1"/>
  <c r="E63"/>
  <c r="E64" s="1"/>
  <c r="E402" i="2"/>
  <c r="G402" s="1"/>
  <c r="D404"/>
  <c r="E404" s="1"/>
  <c r="K50" i="32"/>
  <c r="K51" s="1"/>
  <c r="G63"/>
  <c r="G64" s="1"/>
  <c r="E18"/>
  <c r="C83"/>
  <c r="C84" s="1"/>
  <c r="M39"/>
  <c r="M41" s="1"/>
  <c r="K83"/>
  <c r="K84" s="1"/>
  <c r="E52"/>
  <c r="E53"/>
  <c r="C63"/>
  <c r="C64" s="1"/>
  <c r="E82"/>
  <c r="E84" s="1"/>
  <c r="E51"/>
  <c r="E93"/>
  <c r="E94" s="1"/>
  <c r="D405" i="2"/>
  <c r="E405" s="1"/>
  <c r="E401"/>
  <c r="G401" s="1"/>
  <c r="E73" i="32"/>
  <c r="E74" s="1"/>
  <c r="C51"/>
  <c r="G18"/>
  <c r="G17"/>
  <c r="K72"/>
  <c r="K74" s="1"/>
  <c r="O72"/>
  <c r="O74" s="1"/>
  <c r="D403" i="2"/>
  <c r="E403" s="1"/>
  <c r="O49" i="32"/>
  <c r="O51" s="1"/>
  <c r="C18"/>
  <c r="C50"/>
  <c r="C52"/>
  <c r="C93"/>
  <c r="C94" s="1"/>
  <c r="M72"/>
  <c r="M74" s="1"/>
  <c r="C53"/>
  <c r="G93"/>
  <c r="G94" s="1"/>
  <c r="C17"/>
  <c r="G39"/>
  <c r="G41" s="1"/>
  <c r="B291"/>
  <c r="C286" s="1"/>
  <c r="D291"/>
  <c r="E286" s="1"/>
  <c r="F291"/>
  <c r="G286" s="1"/>
  <c r="O83"/>
  <c r="O84" s="1"/>
  <c r="O63"/>
  <c r="O64" s="1"/>
  <c r="G82"/>
  <c r="G84" s="1"/>
  <c r="C39"/>
  <c r="C41" s="1"/>
  <c r="G53"/>
  <c r="M62"/>
  <c r="M64" s="1"/>
  <c r="G73"/>
  <c r="G74" s="1"/>
  <c r="E40"/>
  <c r="E41" s="1"/>
  <c r="E49"/>
  <c r="G52"/>
  <c r="M82"/>
  <c r="M84" s="1"/>
  <c r="C73"/>
  <c r="C74" s="1"/>
  <c r="D85" i="8"/>
  <c r="E85" s="1"/>
  <c r="E77"/>
  <c r="G77" s="1"/>
  <c r="K39" i="32"/>
  <c r="K41" s="1"/>
  <c r="G51"/>
  <c r="O40"/>
  <c r="O41" s="1"/>
  <c r="G49"/>
  <c r="E17"/>
  <c r="M49"/>
  <c r="M51" s="1"/>
  <c r="C242" i="29"/>
  <c r="C244" s="1"/>
  <c r="D86" i="8"/>
  <c r="E86" s="1"/>
  <c r="E242" i="29"/>
  <c r="E244" s="1"/>
  <c r="E18"/>
  <c r="C18"/>
  <c r="E16"/>
  <c r="C17"/>
  <c r="C6"/>
  <c r="C5"/>
  <c r="E6"/>
  <c r="E5"/>
  <c r="D78" i="8"/>
  <c r="E78" s="1"/>
  <c r="D81"/>
  <c r="E81" s="1"/>
  <c r="E80"/>
  <c r="G80" s="1"/>
  <c r="D463" i="2"/>
  <c r="E463" s="1"/>
  <c r="E83" i="8"/>
  <c r="G83" s="1"/>
  <c r="E461" i="2"/>
  <c r="G461" s="1"/>
  <c r="D462"/>
  <c r="E462" s="1"/>
  <c r="I479" i="46"/>
  <c r="M479" s="1"/>
  <c r="D84" i="8"/>
  <c r="G18" i="46"/>
  <c r="J18" s="1"/>
  <c r="H479"/>
  <c r="L479" s="1"/>
  <c r="G316"/>
  <c r="J316" s="1"/>
  <c r="F316"/>
  <c r="I316" s="1"/>
  <c r="F15"/>
  <c r="I15" s="1"/>
  <c r="F18"/>
  <c r="I18" s="1"/>
  <c r="G477"/>
  <c r="K477" s="1"/>
  <c r="H477"/>
  <c r="L477" s="1"/>
  <c r="I477"/>
  <c r="M477" s="1"/>
  <c r="G317"/>
  <c r="J317" s="1"/>
  <c r="F317"/>
  <c r="I317" s="1"/>
  <c r="F17"/>
  <c r="I17" s="1"/>
  <c r="G17"/>
  <c r="J17" s="1"/>
  <c r="H480"/>
  <c r="L480" s="1"/>
  <c r="I480"/>
  <c r="M480" s="1"/>
  <c r="G480"/>
  <c r="K480" s="1"/>
  <c r="G16"/>
  <c r="J16" s="1"/>
  <c r="F16"/>
  <c r="I16" s="1"/>
  <c r="G479"/>
  <c r="K479" s="1"/>
  <c r="G478"/>
  <c r="K478" s="1"/>
  <c r="H478"/>
  <c r="L478" s="1"/>
  <c r="I478"/>
  <c r="M478" s="1"/>
  <c r="F318"/>
  <c r="I318" s="1"/>
  <c r="G318"/>
  <c r="J318" s="1"/>
  <c r="G15"/>
  <c r="J15" s="1"/>
  <c r="G28" i="11"/>
  <c r="G56"/>
  <c r="G46"/>
  <c r="D451" i="2"/>
  <c r="E451" s="1"/>
  <c r="D394"/>
  <c r="E394" s="1"/>
  <c r="D249"/>
  <c r="E249" s="1"/>
  <c r="G51" i="11"/>
  <c r="G42"/>
  <c r="G41"/>
  <c r="G37"/>
  <c r="G36"/>
  <c r="G33"/>
  <c r="G23"/>
  <c r="G17"/>
  <c r="G12"/>
  <c r="E55" i="38"/>
  <c r="D76" i="2"/>
  <c r="D39"/>
  <c r="E19" i="7"/>
  <c r="G24" s="1"/>
  <c r="E11" i="12"/>
  <c r="G13" s="1"/>
  <c r="D77" i="2"/>
  <c r="D250"/>
  <c r="E250" s="1"/>
  <c r="G391"/>
  <c r="D78"/>
  <c r="D90"/>
  <c r="D392"/>
  <c r="E392" s="1"/>
  <c r="D43"/>
  <c r="E43" s="1"/>
  <c r="D68"/>
  <c r="D37"/>
  <c r="D44"/>
  <c r="E44" s="1"/>
  <c r="D69"/>
  <c r="E247"/>
  <c r="G247" s="1"/>
  <c r="D452"/>
  <c r="D38"/>
  <c r="E38" s="1"/>
  <c r="D45"/>
  <c r="E45" s="1"/>
  <c r="D46"/>
  <c r="E46" s="1"/>
  <c r="D70"/>
  <c r="E70" s="1"/>
  <c r="D248"/>
  <c r="E248" s="1"/>
  <c r="D393"/>
  <c r="E393" s="1"/>
  <c r="D464"/>
  <c r="E464" s="1"/>
  <c r="E5" i="37"/>
  <c r="G7" s="1"/>
  <c r="D19" i="2"/>
  <c r="D384"/>
  <c r="E395" l="1"/>
  <c r="G398" s="1"/>
  <c r="C19" i="32"/>
  <c r="E19"/>
  <c r="G19"/>
  <c r="C54"/>
  <c r="E54"/>
  <c r="G54"/>
  <c r="C290"/>
  <c r="C287"/>
  <c r="E290"/>
  <c r="E289"/>
  <c r="C289"/>
  <c r="E288"/>
  <c r="G78" i="8"/>
  <c r="G289" i="32"/>
  <c r="C288"/>
  <c r="G290"/>
  <c r="G288"/>
  <c r="E287"/>
  <c r="G287"/>
  <c r="D7" i="4"/>
  <c r="C19" i="29"/>
  <c r="E19"/>
  <c r="C8"/>
  <c r="E8"/>
  <c r="G81" i="8"/>
  <c r="G464" i="2"/>
  <c r="E84" i="8"/>
  <c r="G86" s="1"/>
  <c r="G20" i="7"/>
  <c r="O477" i="46"/>
  <c r="Q477" s="1"/>
  <c r="R477" s="1"/>
  <c r="L316"/>
  <c r="M316" s="1"/>
  <c r="N316" s="1"/>
  <c r="H200" i="29" s="1"/>
  <c r="L15" i="46"/>
  <c r="M15" s="1"/>
  <c r="N15" s="1"/>
  <c r="G392" i="2"/>
  <c r="G463"/>
  <c r="G394"/>
  <c r="G393"/>
  <c r="G19" i="7"/>
  <c r="G25"/>
  <c r="G248" i="2"/>
  <c r="G249"/>
  <c r="G5" i="37"/>
  <c r="G462" i="2"/>
  <c r="D12" i="38"/>
  <c r="D5"/>
  <c r="G22" i="7"/>
  <c r="G23"/>
  <c r="G21"/>
  <c r="G26"/>
  <c r="G27"/>
  <c r="G6" i="37"/>
  <c r="G14" i="12"/>
  <c r="G250" i="2"/>
  <c r="G12" i="12"/>
  <c r="G11"/>
  <c r="G403" i="2"/>
  <c r="G405"/>
  <c r="G404"/>
  <c r="D921" i="46"/>
  <c r="D919"/>
  <c r="D918"/>
  <c r="B922"/>
  <c r="C920"/>
  <c r="D922"/>
  <c r="B918"/>
  <c r="C918"/>
  <c r="C922"/>
  <c r="B921"/>
  <c r="B919"/>
  <c r="C919"/>
  <c r="B920"/>
  <c r="D920"/>
  <c r="C921"/>
  <c r="G397" i="2" l="1"/>
  <c r="G395"/>
  <c r="G396"/>
  <c r="E291" i="32"/>
  <c r="G291"/>
  <c r="C291"/>
  <c r="G84" i="8"/>
  <c r="G85"/>
  <c r="C923" i="46"/>
  <c r="C335"/>
  <c r="B335"/>
  <c r="D4" i="11" l="1"/>
  <c r="D50" i="38"/>
  <c r="D45"/>
  <c r="F19" i="36"/>
  <c r="F20"/>
  <c r="F21"/>
  <c r="F22"/>
  <c r="F23"/>
  <c r="F24"/>
  <c r="F25"/>
  <c r="F26"/>
  <c r="F18"/>
  <c r="D18" s="1"/>
  <c r="F13"/>
  <c r="F14"/>
  <c r="F15"/>
  <c r="F12"/>
  <c r="D12" s="1"/>
  <c r="F5"/>
  <c r="F4"/>
  <c r="D4" s="1"/>
  <c r="F11" i="5"/>
  <c r="F10"/>
  <c r="D10" s="1"/>
  <c r="F10" i="2"/>
  <c r="F11"/>
  <c r="F12"/>
  <c r="D9"/>
  <c r="E9" s="1"/>
  <c r="F5"/>
  <c r="F6"/>
  <c r="F449"/>
  <c r="D450" s="1"/>
  <c r="D433"/>
  <c r="D423"/>
  <c r="D417"/>
  <c r="F380"/>
  <c r="F373"/>
  <c r="F374"/>
  <c r="F375"/>
  <c r="F376"/>
  <c r="F377"/>
  <c r="F378"/>
  <c r="F379"/>
  <c r="F372"/>
  <c r="D372" s="1"/>
  <c r="F369"/>
  <c r="F367"/>
  <c r="F368"/>
  <c r="F366"/>
  <c r="D366" s="1"/>
  <c r="F359"/>
  <c r="F358"/>
  <c r="D358" s="1"/>
  <c r="F350"/>
  <c r="F351"/>
  <c r="F352"/>
  <c r="F353"/>
  <c r="F354"/>
  <c r="F355"/>
  <c r="F347"/>
  <c r="F348"/>
  <c r="F349"/>
  <c r="F346"/>
  <c r="D346" s="1"/>
  <c r="F341"/>
  <c r="F342"/>
  <c r="F343"/>
  <c r="F340"/>
  <c r="F335"/>
  <c r="F334"/>
  <c r="D334" s="1"/>
  <c r="F328"/>
  <c r="D328" s="1"/>
  <c r="F329"/>
  <c r="F298"/>
  <c r="F299"/>
  <c r="F300"/>
  <c r="F301"/>
  <c r="F297"/>
  <c r="D297" s="1"/>
  <c r="F291"/>
  <c r="F292"/>
  <c r="F293"/>
  <c r="F290"/>
  <c r="D290" s="1"/>
  <c r="D47" i="37" s="1"/>
  <c r="F284" i="2"/>
  <c r="F285"/>
  <c r="F286"/>
  <c r="F287"/>
  <c r="F283"/>
  <c r="D283" s="1"/>
  <c r="F277"/>
  <c r="F278"/>
  <c r="F279"/>
  <c r="F280"/>
  <c r="F276"/>
  <c r="D276" s="1"/>
  <c r="F270"/>
  <c r="F271"/>
  <c r="F272"/>
  <c r="F273"/>
  <c r="F269"/>
  <c r="D269" s="1"/>
  <c r="F30"/>
  <c r="F31"/>
  <c r="F32"/>
  <c r="F29"/>
  <c r="D29" s="1"/>
  <c r="D22"/>
  <c r="CN4" i="1"/>
  <c r="CN5"/>
  <c r="CN6"/>
  <c r="CN7"/>
  <c r="CN8"/>
  <c r="CN9"/>
  <c r="CN10"/>
  <c r="CN11"/>
  <c r="CN12"/>
  <c r="CN13"/>
  <c r="CN14"/>
  <c r="CN15"/>
  <c r="CN16"/>
  <c r="CN17"/>
  <c r="CN18"/>
  <c r="CN19"/>
  <c r="CN20"/>
  <c r="CN21"/>
  <c r="CN22"/>
  <c r="CN23"/>
  <c r="CN24"/>
  <c r="CN25"/>
  <c r="CN26"/>
  <c r="CN27"/>
  <c r="CN28"/>
  <c r="CN29"/>
  <c r="CN30"/>
  <c r="CN31"/>
  <c r="CN32"/>
  <c r="CN33"/>
  <c r="CN34"/>
  <c r="CN35"/>
  <c r="CN36"/>
  <c r="CN37"/>
  <c r="CN38"/>
  <c r="CN39"/>
  <c r="CN40"/>
  <c r="CN41"/>
  <c r="CN42"/>
  <c r="CN43"/>
  <c r="CN44"/>
  <c r="CN45"/>
  <c r="CN46"/>
  <c r="CN47"/>
  <c r="CN48"/>
  <c r="CN49"/>
  <c r="CN50"/>
  <c r="CN51"/>
  <c r="CN52"/>
  <c r="CN53"/>
  <c r="CN54"/>
  <c r="CN55"/>
  <c r="CN56"/>
  <c r="CN57"/>
  <c r="CN58"/>
  <c r="CN59"/>
  <c r="CN60"/>
  <c r="CN61"/>
  <c r="CN62"/>
  <c r="CN63"/>
  <c r="CN64"/>
  <c r="CN65"/>
  <c r="CN66"/>
  <c r="CN67"/>
  <c r="CN68"/>
  <c r="CN69"/>
  <c r="CN70"/>
  <c r="CN71"/>
  <c r="CN72"/>
  <c r="CN73"/>
  <c r="CN74"/>
  <c r="CN75"/>
  <c r="CN76"/>
  <c r="CN77"/>
  <c r="CN78"/>
  <c r="CN79"/>
  <c r="CN80"/>
  <c r="CN81"/>
  <c r="CN82"/>
  <c r="CN83"/>
  <c r="CN84"/>
  <c r="CN85"/>
  <c r="CN86"/>
  <c r="CN87"/>
  <c r="CN88"/>
  <c r="CN89"/>
  <c r="CN90"/>
  <c r="CN91"/>
  <c r="CN92"/>
  <c r="CN93"/>
  <c r="CN94"/>
  <c r="CN95"/>
  <c r="CN96"/>
  <c r="CN97"/>
  <c r="CN98"/>
  <c r="CN99"/>
  <c r="CN100"/>
  <c r="CN101"/>
  <c r="CN102"/>
  <c r="CN103"/>
  <c r="CN104"/>
  <c r="CN105"/>
  <c r="CN106"/>
  <c r="CN107"/>
  <c r="CN108"/>
  <c r="CN109"/>
  <c r="CN110"/>
  <c r="CN111"/>
  <c r="CN112"/>
  <c r="CN113"/>
  <c r="CN114"/>
  <c r="CN115"/>
  <c r="CN116"/>
  <c r="CN117"/>
  <c r="CN118"/>
  <c r="CN119"/>
  <c r="CN120"/>
  <c r="CN121"/>
  <c r="CN122"/>
  <c r="CN123"/>
  <c r="CN124"/>
  <c r="CN125"/>
  <c r="CN126"/>
  <c r="CN127"/>
  <c r="CN128"/>
  <c r="CN129"/>
  <c r="CN130"/>
  <c r="CN131"/>
  <c r="CN132"/>
  <c r="CN133"/>
  <c r="CN134"/>
  <c r="CN135"/>
  <c r="CN136"/>
  <c r="CN137"/>
  <c r="CN138"/>
  <c r="CN139"/>
  <c r="CN140"/>
  <c r="CN141"/>
  <c r="CN142"/>
  <c r="CN143"/>
  <c r="CN144"/>
  <c r="CN145"/>
  <c r="CN146"/>
  <c r="CN147"/>
  <c r="CN148"/>
  <c r="CN149"/>
  <c r="CN150"/>
  <c r="CN151"/>
  <c r="CN152"/>
  <c r="CN153"/>
  <c r="CN154"/>
  <c r="CN155"/>
  <c r="CN156"/>
  <c r="CN157"/>
  <c r="CN158"/>
  <c r="CN159"/>
  <c r="CN160"/>
  <c r="CN161"/>
  <c r="CN162"/>
  <c r="CN163"/>
  <c r="CN164"/>
  <c r="CN165"/>
  <c r="CN166"/>
  <c r="CN167"/>
  <c r="CN168"/>
  <c r="CN169"/>
  <c r="CN170"/>
  <c r="CN171"/>
  <c r="CN172"/>
  <c r="CN173"/>
  <c r="CN174"/>
  <c r="CN175"/>
  <c r="CN176"/>
  <c r="CN177"/>
  <c r="CN178"/>
  <c r="CN179"/>
  <c r="CN180"/>
  <c r="CN181"/>
  <c r="CN182"/>
  <c r="CN183"/>
  <c r="CN184"/>
  <c r="CN185"/>
  <c r="CN186"/>
  <c r="CN187"/>
  <c r="CN188"/>
  <c r="CN189"/>
  <c r="CN190"/>
  <c r="CN191"/>
  <c r="CN192"/>
  <c r="CN193"/>
  <c r="CN194"/>
  <c r="CN195"/>
  <c r="CN196"/>
  <c r="CN197"/>
  <c r="CN198"/>
  <c r="CN199"/>
  <c r="CN200"/>
  <c r="CN201"/>
  <c r="CN202"/>
  <c r="CN203"/>
  <c r="CN204"/>
  <c r="CN205"/>
  <c r="CN206"/>
  <c r="CN207"/>
  <c r="CN208"/>
  <c r="CN209"/>
  <c r="CN210"/>
  <c r="CN211"/>
  <c r="CN212"/>
  <c r="CN213"/>
  <c r="CN214"/>
  <c r="CN215"/>
  <c r="CN216"/>
  <c r="CN217"/>
  <c r="CN218"/>
  <c r="CN219"/>
  <c r="CN220"/>
  <c r="CN221"/>
  <c r="CN222"/>
  <c r="CN223"/>
  <c r="CN224"/>
  <c r="CN225"/>
  <c r="CN226"/>
  <c r="CN227"/>
  <c r="CN228"/>
  <c r="CN229"/>
  <c r="CN230"/>
  <c r="CN231"/>
  <c r="CN232"/>
  <c r="CN233"/>
  <c r="CN234"/>
  <c r="CN235"/>
  <c r="CN236"/>
  <c r="CN237"/>
  <c r="CN238"/>
  <c r="CN239"/>
  <c r="CN240"/>
  <c r="CN241"/>
  <c r="CN242"/>
  <c r="CN243"/>
  <c r="CN244"/>
  <c r="CN245"/>
  <c r="CN246"/>
  <c r="CN247"/>
  <c r="CN248"/>
  <c r="CN249"/>
  <c r="CN250"/>
  <c r="CN251"/>
  <c r="CN252"/>
  <c r="CN253"/>
  <c r="CN254"/>
  <c r="CN255"/>
  <c r="CN256"/>
  <c r="CN257"/>
  <c r="CN258"/>
  <c r="CN259"/>
  <c r="CN260"/>
  <c r="CN261"/>
  <c r="CN262"/>
  <c r="CN263"/>
  <c r="CN264"/>
  <c r="CN265"/>
  <c r="CN266"/>
  <c r="CN267"/>
  <c r="CN268"/>
  <c r="CN269"/>
  <c r="CN270"/>
  <c r="CN271"/>
  <c r="CN272"/>
  <c r="CN273"/>
  <c r="CN274"/>
  <c r="CN275"/>
  <c r="CN276"/>
  <c r="CN277"/>
  <c r="CN278"/>
  <c r="CN279"/>
  <c r="CN280"/>
  <c r="CN281"/>
  <c r="CN282"/>
  <c r="CN283"/>
  <c r="CN284"/>
  <c r="CN285"/>
  <c r="CN286"/>
  <c r="CN287"/>
  <c r="CN288"/>
  <c r="CN289"/>
  <c r="CN290"/>
  <c r="CN291"/>
  <c r="CN292"/>
  <c r="CN293"/>
  <c r="CN294"/>
  <c r="CN295"/>
  <c r="CN296"/>
  <c r="CN297"/>
  <c r="CN298"/>
  <c r="CN299"/>
  <c r="CN300"/>
  <c r="CN301"/>
  <c r="CN302"/>
  <c r="CN303"/>
  <c r="CN304"/>
  <c r="CN305"/>
  <c r="CN306"/>
  <c r="CN307"/>
  <c r="CN308"/>
  <c r="CN309"/>
  <c r="CN310"/>
  <c r="CN311"/>
  <c r="CN312"/>
  <c r="CN313"/>
  <c r="CN314"/>
  <c r="CN315"/>
  <c r="CN316"/>
  <c r="CN317"/>
  <c r="CN318"/>
  <c r="CN319"/>
  <c r="CN320"/>
  <c r="CN321"/>
  <c r="CN322"/>
  <c r="CN323"/>
  <c r="CN324"/>
  <c r="CN325"/>
  <c r="CN326"/>
  <c r="CN327"/>
  <c r="CN328"/>
  <c r="CN329"/>
  <c r="CN330"/>
  <c r="CN331"/>
  <c r="CN332"/>
  <c r="CN333"/>
  <c r="CN334"/>
  <c r="CN335"/>
  <c r="CN336"/>
  <c r="CN337"/>
  <c r="CN338"/>
  <c r="CN339"/>
  <c r="CN340"/>
  <c r="CN341"/>
  <c r="CN342"/>
  <c r="CN343"/>
  <c r="CN344"/>
  <c r="CN345"/>
  <c r="CN346"/>
  <c r="CN347"/>
  <c r="CN348"/>
  <c r="CN349"/>
  <c r="CN350"/>
  <c r="CN351"/>
  <c r="CN352"/>
  <c r="CN353"/>
  <c r="CN354"/>
  <c r="CN355"/>
  <c r="CN356"/>
  <c r="CN357"/>
  <c r="CN358"/>
  <c r="CN359"/>
  <c r="CN360"/>
  <c r="CN361"/>
  <c r="CN362"/>
  <c r="CN363"/>
  <c r="CN364"/>
  <c r="CN365"/>
  <c r="CN366"/>
  <c r="CN367"/>
  <c r="CN368"/>
  <c r="CN369"/>
  <c r="CN370"/>
  <c r="CN371"/>
  <c r="CN372"/>
  <c r="CN373"/>
  <c r="CN374"/>
  <c r="CN375"/>
  <c r="CN376"/>
  <c r="CN377"/>
  <c r="CN378"/>
  <c r="CN379"/>
  <c r="CN380"/>
  <c r="CN381"/>
  <c r="CN382"/>
  <c r="CN383"/>
  <c r="CN384"/>
  <c r="CN385"/>
  <c r="CN386"/>
  <c r="CN387"/>
  <c r="CN388"/>
  <c r="CN389"/>
  <c r="CN390"/>
  <c r="CN391"/>
  <c r="CN392"/>
  <c r="CN393"/>
  <c r="CN394"/>
  <c r="CN395"/>
  <c r="CN396"/>
  <c r="CN397"/>
  <c r="CN398"/>
  <c r="CN399"/>
  <c r="CN400"/>
  <c r="CN401"/>
  <c r="CN402"/>
  <c r="CN403"/>
  <c r="CN404"/>
  <c r="CN405"/>
  <c r="CN406"/>
  <c r="CN407"/>
  <c r="CN408"/>
  <c r="CN409"/>
  <c r="CN410"/>
  <c r="CN411"/>
  <c r="CN412"/>
  <c r="CN413"/>
  <c r="CN414"/>
  <c r="CN415"/>
  <c r="CN416"/>
  <c r="CN417"/>
  <c r="CN418"/>
  <c r="CN419"/>
  <c r="CN420"/>
  <c r="CN421"/>
  <c r="CN422"/>
  <c r="CN423"/>
  <c r="CN424"/>
  <c r="CN425"/>
  <c r="CN426"/>
  <c r="CN427"/>
  <c r="CN428"/>
  <c r="CN429"/>
  <c r="CN430"/>
  <c r="CN431"/>
  <c r="CN432"/>
  <c r="CN433"/>
  <c r="CN434"/>
  <c r="CN435"/>
  <c r="CN436"/>
  <c r="CN437"/>
  <c r="CN438"/>
  <c r="CN439"/>
  <c r="CN440"/>
  <c r="CN441"/>
  <c r="CN442"/>
  <c r="CN443"/>
  <c r="CN444"/>
  <c r="CN445"/>
  <c r="CN446"/>
  <c r="CN447"/>
  <c r="CN448"/>
  <c r="CN449"/>
  <c r="CN450"/>
  <c r="CN451"/>
  <c r="CN452"/>
  <c r="CN453"/>
  <c r="CN454"/>
  <c r="CN455"/>
  <c r="CN456"/>
  <c r="CN457"/>
  <c r="CN458"/>
  <c r="CN459"/>
  <c r="CN460"/>
  <c r="CN461"/>
  <c r="CN462"/>
  <c r="CN463"/>
  <c r="CN464"/>
  <c r="CN465"/>
  <c r="CN466"/>
  <c r="CN467"/>
  <c r="CN468"/>
  <c r="CN469"/>
  <c r="CN470"/>
  <c r="CN471"/>
  <c r="CN472"/>
  <c r="CN473"/>
  <c r="CN474"/>
  <c r="CN475"/>
  <c r="CN476"/>
  <c r="CN477"/>
  <c r="CN478"/>
  <c r="CN479"/>
  <c r="CN480"/>
  <c r="CN481"/>
  <c r="CN482"/>
  <c r="CN483"/>
  <c r="CN484"/>
  <c r="CN485"/>
  <c r="CN486"/>
  <c r="CN487"/>
  <c r="CN488"/>
  <c r="CN489"/>
  <c r="CN490"/>
  <c r="CN491"/>
  <c r="CN492"/>
  <c r="CN493"/>
  <c r="CN494"/>
  <c r="CN495"/>
  <c r="CN496"/>
  <c r="CN497"/>
  <c r="CN498"/>
  <c r="CN499"/>
  <c r="CN500"/>
  <c r="CN501"/>
  <c r="CN502"/>
  <c r="CN503"/>
  <c r="CN504"/>
  <c r="CN505"/>
  <c r="CN506"/>
  <c r="CN507"/>
  <c r="CN508"/>
  <c r="CN509"/>
  <c r="CN510"/>
  <c r="CN511"/>
  <c r="CN512"/>
  <c r="CN513"/>
  <c r="CN514"/>
  <c r="CN515"/>
  <c r="CN516"/>
  <c r="CN517"/>
  <c r="CN518"/>
  <c r="CN519"/>
  <c r="CN520"/>
  <c r="CN521"/>
  <c r="CN522"/>
  <c r="CN523"/>
  <c r="CN524"/>
  <c r="CN525"/>
  <c r="CN526"/>
  <c r="CN527"/>
  <c r="CN528"/>
  <c r="CN529"/>
  <c r="CN530"/>
  <c r="CN531"/>
  <c r="CN532"/>
  <c r="CN533"/>
  <c r="CN534"/>
  <c r="CN535"/>
  <c r="CN536"/>
  <c r="CN537"/>
  <c r="CN538"/>
  <c r="CN539"/>
  <c r="CN540"/>
  <c r="CN541"/>
  <c r="CN542"/>
  <c r="CN543"/>
  <c r="CN544"/>
  <c r="CN545"/>
  <c r="CN546"/>
  <c r="CN547"/>
  <c r="CN548"/>
  <c r="CN549"/>
  <c r="CN550"/>
  <c r="CN551"/>
  <c r="CN552"/>
  <c r="CN553"/>
  <c r="CN554"/>
  <c r="CN555"/>
  <c r="CN556"/>
  <c r="CN557"/>
  <c r="CN558"/>
  <c r="CN559"/>
  <c r="CN560"/>
  <c r="CN561"/>
  <c r="CN562"/>
  <c r="CN563"/>
  <c r="CN564"/>
  <c r="CN565"/>
  <c r="CN566"/>
  <c r="CN567"/>
  <c r="CN568"/>
  <c r="CN569"/>
  <c r="CN570"/>
  <c r="CN571"/>
  <c r="CN572"/>
  <c r="CN573"/>
  <c r="CN574"/>
  <c r="CN575"/>
  <c r="CN576"/>
  <c r="CN577"/>
  <c r="CN578"/>
  <c r="CN579"/>
  <c r="CN580"/>
  <c r="CN581"/>
  <c r="CN582"/>
  <c r="CN583"/>
  <c r="CN584"/>
  <c r="CN585"/>
  <c r="CN586"/>
  <c r="CN587"/>
  <c r="CN588"/>
  <c r="CN589"/>
  <c r="CN590"/>
  <c r="CN591"/>
  <c r="CN592"/>
  <c r="CN593"/>
  <c r="CN594"/>
  <c r="CN595"/>
  <c r="CN596"/>
  <c r="CN597"/>
  <c r="CN598"/>
  <c r="CN599"/>
  <c r="CN600"/>
  <c r="CN601"/>
  <c r="CN602"/>
  <c r="D442" i="2"/>
  <c r="E442" s="1"/>
  <c r="D408"/>
  <c r="D383"/>
  <c r="E383" s="1"/>
  <c r="F324"/>
  <c r="F323"/>
  <c r="F320"/>
  <c r="F319"/>
  <c r="D319" s="1"/>
  <c r="F316"/>
  <c r="F315"/>
  <c r="D315" s="1"/>
  <c r="F312"/>
  <c r="F311"/>
  <c r="D311" s="1"/>
  <c r="F307"/>
  <c r="F306"/>
  <c r="D306" s="1"/>
  <c r="F261"/>
  <c r="F262"/>
  <c r="F263"/>
  <c r="F264"/>
  <c r="F260"/>
  <c r="D260" s="1"/>
  <c r="D253"/>
  <c r="D240"/>
  <c r="D233"/>
  <c r="D226"/>
  <c r="D219"/>
  <c r="D214"/>
  <c r="D209"/>
  <c r="D205"/>
  <c r="D200"/>
  <c r="D196"/>
  <c r="D191"/>
  <c r="D186"/>
  <c r="D180"/>
  <c r="D175"/>
  <c r="D168"/>
  <c r="D152"/>
  <c r="D147"/>
  <c r="D141"/>
  <c r="D135"/>
  <c r="D129"/>
  <c r="D117"/>
  <c r="D111"/>
  <c r="D105"/>
  <c r="D99"/>
  <c r="D93"/>
  <c r="D87"/>
  <c r="D81"/>
  <c r="D75"/>
  <c r="D6" i="4" s="1"/>
  <c r="D66" i="2"/>
  <c r="D58"/>
  <c r="D50"/>
  <c r="D42"/>
  <c r="E42" s="1"/>
  <c r="G46" s="1"/>
  <c r="D35"/>
  <c r="E35" s="1"/>
  <c r="D18"/>
  <c r="D16"/>
  <c r="D4"/>
  <c r="F455"/>
  <c r="E372" l="1"/>
  <c r="G372" s="1"/>
  <c r="E253"/>
  <c r="G253" s="1"/>
  <c r="F6" i="4"/>
  <c r="F7"/>
  <c r="E7" s="1"/>
  <c r="F47" i="37"/>
  <c r="E18" i="2"/>
  <c r="D5" i="12"/>
  <c r="F35" i="8"/>
  <c r="F36"/>
  <c r="F34"/>
  <c r="D34" s="1"/>
  <c r="D31" i="2"/>
  <c r="E29"/>
  <c r="G29" s="1"/>
  <c r="F412"/>
  <c r="D412" s="1"/>
  <c r="F413"/>
  <c r="F414"/>
  <c r="E328"/>
  <c r="G328" s="1"/>
  <c r="E50"/>
  <c r="G50" s="1"/>
  <c r="G42"/>
  <c r="D11" i="38"/>
  <c r="D32" i="2"/>
  <c r="E32" s="1"/>
  <c r="D30"/>
  <c r="E30" s="1"/>
  <c r="E423"/>
  <c r="G423" s="1"/>
  <c r="E4"/>
  <c r="G4" s="1"/>
  <c r="E276"/>
  <c r="G276" s="1"/>
  <c r="E22"/>
  <c r="G22" s="1"/>
  <c r="E297"/>
  <c r="G297" s="1"/>
  <c r="E417"/>
  <c r="G417" s="1"/>
  <c r="E433"/>
  <c r="G433" s="1"/>
  <c r="E75"/>
  <c r="G75" s="1"/>
  <c r="E87"/>
  <c r="G87" s="1"/>
  <c r="E111"/>
  <c r="G111" s="1"/>
  <c r="G9"/>
  <c r="E66"/>
  <c r="G66" s="1"/>
  <c r="E175"/>
  <c r="G175" s="1"/>
  <c r="E186"/>
  <c r="G186" s="1"/>
  <c r="E196"/>
  <c r="G196" s="1"/>
  <c r="E205"/>
  <c r="G205" s="1"/>
  <c r="E214"/>
  <c r="G214" s="1"/>
  <c r="E226"/>
  <c r="G226" s="1"/>
  <c r="E269"/>
  <c r="G269" s="1"/>
  <c r="E180"/>
  <c r="G180" s="1"/>
  <c r="E200"/>
  <c r="G200" s="1"/>
  <c r="E219"/>
  <c r="G219" s="1"/>
  <c r="E283"/>
  <c r="G283" s="1"/>
  <c r="E334"/>
  <c r="G334" s="1"/>
  <c r="E346"/>
  <c r="G346" s="1"/>
  <c r="E168"/>
  <c r="G168" s="1"/>
  <c r="E191"/>
  <c r="G191" s="1"/>
  <c r="E209"/>
  <c r="G209" s="1"/>
  <c r="E240"/>
  <c r="G240" s="1"/>
  <c r="E93"/>
  <c r="G93" s="1"/>
  <c r="E105"/>
  <c r="G105" s="1"/>
  <c r="E117"/>
  <c r="G117" s="1"/>
  <c r="E129"/>
  <c r="G129" s="1"/>
  <c r="D21" i="36"/>
  <c r="E21" s="1"/>
  <c r="E50" i="38"/>
  <c r="G50" s="1"/>
  <c r="E135" i="2"/>
  <c r="G135" s="1"/>
  <c r="E141"/>
  <c r="G141" s="1"/>
  <c r="E147"/>
  <c r="G147" s="1"/>
  <c r="E233"/>
  <c r="G233" s="1"/>
  <c r="E45" i="38"/>
  <c r="G45" s="1"/>
  <c r="E306" i="2"/>
  <c r="G306" s="1"/>
  <c r="E315"/>
  <c r="G315" s="1"/>
  <c r="E319"/>
  <c r="G319" s="1"/>
  <c r="E290"/>
  <c r="G290" s="1"/>
  <c r="E58"/>
  <c r="G58" s="1"/>
  <c r="E152"/>
  <c r="G152" s="1"/>
  <c r="E311"/>
  <c r="G311" s="1"/>
  <c r="D455"/>
  <c r="F157"/>
  <c r="E260"/>
  <c r="G260" s="1"/>
  <c r="E99"/>
  <c r="G99" s="1"/>
  <c r="E81"/>
  <c r="G81" s="1"/>
  <c r="E408"/>
  <c r="G408" s="1"/>
  <c r="E18" i="36"/>
  <c r="G18" s="1"/>
  <c r="D25"/>
  <c r="E25" s="1"/>
  <c r="D15"/>
  <c r="E15" s="1"/>
  <c r="E12"/>
  <c r="G12" s="1"/>
  <c r="E366" i="2"/>
  <c r="G366" s="1"/>
  <c r="E4" i="36"/>
  <c r="G4" s="1"/>
  <c r="E10" i="5"/>
  <c r="G10" s="1"/>
  <c r="E4" i="11"/>
  <c r="G4" s="1"/>
  <c r="E16" i="2"/>
  <c r="G16" s="1"/>
  <c r="D5" i="11"/>
  <c r="D51" i="38"/>
  <c r="D46"/>
  <c r="F55"/>
  <c r="F56"/>
  <c r="F57"/>
  <c r="F59"/>
  <c r="F60"/>
  <c r="F61"/>
  <c r="F62"/>
  <c r="E62"/>
  <c r="D5" i="36"/>
  <c r="D22"/>
  <c r="E22" s="1"/>
  <c r="D26"/>
  <c r="E26" s="1"/>
  <c r="D14"/>
  <c r="E14" s="1"/>
  <c r="D20"/>
  <c r="D24"/>
  <c r="E24" s="1"/>
  <c r="D13"/>
  <c r="E13" s="1"/>
  <c r="D19"/>
  <c r="E19" s="1"/>
  <c r="D23"/>
  <c r="D11" i="5"/>
  <c r="D351" i="2"/>
  <c r="D380"/>
  <c r="E380" s="1"/>
  <c r="D355"/>
  <c r="E355" s="1"/>
  <c r="D348"/>
  <c r="E348" s="1"/>
  <c r="D353"/>
  <c r="E353" s="1"/>
  <c r="D354"/>
  <c r="E354" s="1"/>
  <c r="D352"/>
  <c r="E352" s="1"/>
  <c r="D350"/>
  <c r="E350" s="1"/>
  <c r="E351"/>
  <c r="D347"/>
  <c r="E347" s="1"/>
  <c r="D342"/>
  <c r="D343"/>
  <c r="E343" s="1"/>
  <c r="D324"/>
  <c r="E324" s="1"/>
  <c r="D449"/>
  <c r="E449" s="1"/>
  <c r="G449" s="1"/>
  <c r="B100" i="46"/>
  <c r="D98"/>
  <c r="D100"/>
  <c r="C36"/>
  <c r="D342"/>
  <c r="D392"/>
  <c r="D424"/>
  <c r="D25"/>
  <c r="B27"/>
  <c r="D27"/>
  <c r="D58"/>
  <c r="C60"/>
  <c r="C92"/>
  <c r="C124"/>
  <c r="C156"/>
  <c r="C246"/>
  <c r="C278"/>
  <c r="C310"/>
  <c r="D341"/>
  <c r="D343"/>
  <c r="B343"/>
  <c r="B385"/>
  <c r="D385"/>
  <c r="D383"/>
  <c r="B409"/>
  <c r="D409"/>
  <c r="D407"/>
  <c r="B441"/>
  <c r="D439"/>
  <c r="D155"/>
  <c r="D91"/>
  <c r="D131"/>
  <c r="D172"/>
  <c r="D197"/>
  <c r="D237"/>
  <c r="D277"/>
  <c r="D309"/>
  <c r="D366"/>
  <c r="C27"/>
  <c r="B84"/>
  <c r="D84"/>
  <c r="D82"/>
  <c r="D148"/>
  <c r="D146"/>
  <c r="B148"/>
  <c r="D204"/>
  <c r="D206"/>
  <c r="B206"/>
  <c r="D268"/>
  <c r="D270"/>
  <c r="B270"/>
  <c r="C343"/>
  <c r="C385"/>
  <c r="C441"/>
  <c r="B460"/>
  <c r="D458"/>
  <c r="C460"/>
  <c r="C471"/>
  <c r="D489"/>
  <c r="E496"/>
  <c r="E521"/>
  <c r="E530"/>
  <c r="E528"/>
  <c r="B530"/>
  <c r="C565"/>
  <c r="D581"/>
  <c r="C597"/>
  <c r="D613"/>
  <c r="C629"/>
  <c r="D645"/>
  <c r="C214"/>
  <c r="D384"/>
  <c r="D416"/>
  <c r="D7"/>
  <c r="C52"/>
  <c r="C84"/>
  <c r="C116"/>
  <c r="C148"/>
  <c r="C182"/>
  <c r="C206"/>
  <c r="C238"/>
  <c r="C270"/>
  <c r="C302"/>
  <c r="D334"/>
  <c r="D375"/>
  <c r="B377"/>
  <c r="B433"/>
  <c r="D431"/>
  <c r="D456"/>
  <c r="D455"/>
  <c r="D9"/>
  <c r="D6"/>
  <c r="B9"/>
  <c r="D51"/>
  <c r="D83"/>
  <c r="D123"/>
  <c r="D163"/>
  <c r="D189"/>
  <c r="D229"/>
  <c r="D261"/>
  <c r="D301"/>
  <c r="D74"/>
  <c r="B76"/>
  <c r="D76"/>
  <c r="D138"/>
  <c r="D140"/>
  <c r="B140"/>
  <c r="D198"/>
  <c r="B198"/>
  <c r="D196"/>
  <c r="D262"/>
  <c r="B262"/>
  <c r="D260"/>
  <c r="C377"/>
  <c r="C433"/>
  <c r="E487"/>
  <c r="B489"/>
  <c r="E489"/>
  <c r="C498"/>
  <c r="D506"/>
  <c r="C522"/>
  <c r="E529"/>
  <c r="D538"/>
  <c r="E548"/>
  <c r="E572"/>
  <c r="B581"/>
  <c r="E581"/>
  <c r="E579"/>
  <c r="C605"/>
  <c r="B613"/>
  <c r="E613"/>
  <c r="E611"/>
  <c r="E636"/>
  <c r="E645"/>
  <c r="B645"/>
  <c r="E643"/>
  <c r="D59"/>
  <c r="D358"/>
  <c r="D376"/>
  <c r="D408"/>
  <c r="D448"/>
  <c r="C9"/>
  <c r="C44"/>
  <c r="C76"/>
  <c r="C108"/>
  <c r="C140"/>
  <c r="C173"/>
  <c r="C198"/>
  <c r="C230"/>
  <c r="C262"/>
  <c r="C294"/>
  <c r="B359"/>
  <c r="D357"/>
  <c r="D359"/>
  <c r="B369"/>
  <c r="D367"/>
  <c r="D399"/>
  <c r="D401"/>
  <c r="B401"/>
  <c r="D423"/>
  <c r="B425"/>
  <c r="D43"/>
  <c r="D269"/>
  <c r="D75"/>
  <c r="D115"/>
  <c r="D147"/>
  <c r="D221"/>
  <c r="D253"/>
  <c r="D293"/>
  <c r="D333"/>
  <c r="D52"/>
  <c r="D50"/>
  <c r="B52"/>
  <c r="D114"/>
  <c r="B116"/>
  <c r="D116"/>
  <c r="D180"/>
  <c r="B182"/>
  <c r="D182"/>
  <c r="D238"/>
  <c r="D236"/>
  <c r="B238"/>
  <c r="D300"/>
  <c r="B302"/>
  <c r="C409"/>
  <c r="D400"/>
  <c r="D471"/>
  <c r="C489"/>
  <c r="E505"/>
  <c r="E514"/>
  <c r="B514"/>
  <c r="E512"/>
  <c r="E537"/>
  <c r="E546"/>
  <c r="D565"/>
  <c r="C581"/>
  <c r="D597"/>
  <c r="C613"/>
  <c r="D629"/>
  <c r="C645"/>
  <c r="D8"/>
  <c r="D350"/>
  <c r="D368"/>
  <c r="D432"/>
  <c r="D457"/>
  <c r="D34"/>
  <c r="C68"/>
  <c r="D99"/>
  <c r="C132"/>
  <c r="C164"/>
  <c r="C190"/>
  <c r="C222"/>
  <c r="C254"/>
  <c r="C286"/>
  <c r="C327"/>
  <c r="D349"/>
  <c r="B351"/>
  <c r="D351"/>
  <c r="C369"/>
  <c r="D393"/>
  <c r="D391"/>
  <c r="B393"/>
  <c r="D417"/>
  <c r="D415"/>
  <c r="B417"/>
  <c r="D447"/>
  <c r="B449"/>
  <c r="D205"/>
  <c r="D36"/>
  <c r="D33"/>
  <c r="B36"/>
  <c r="D67"/>
  <c r="D107"/>
  <c r="D139"/>
  <c r="D181"/>
  <c r="D213"/>
  <c r="D245"/>
  <c r="D285"/>
  <c r="D326"/>
  <c r="B44"/>
  <c r="D44"/>
  <c r="D42"/>
  <c r="D106"/>
  <c r="D108"/>
  <c r="B108"/>
  <c r="D173"/>
  <c r="D171"/>
  <c r="B173"/>
  <c r="D230"/>
  <c r="B230"/>
  <c r="D228"/>
  <c r="B294"/>
  <c r="D292"/>
  <c r="D26"/>
  <c r="B471"/>
  <c r="E471"/>
  <c r="E468"/>
  <c r="D498"/>
  <c r="C506"/>
  <c r="D522"/>
  <c r="C538"/>
  <c r="E563"/>
  <c r="B565"/>
  <c r="E565"/>
  <c r="E588"/>
  <c r="B597"/>
  <c r="E595"/>
  <c r="E597"/>
  <c r="E620"/>
  <c r="E627"/>
  <c r="B629"/>
  <c r="E629"/>
  <c r="C653"/>
  <c r="D653"/>
  <c r="C669"/>
  <c r="D669"/>
  <c r="C685"/>
  <c r="D685"/>
  <c r="C701"/>
  <c r="D701"/>
  <c r="C717"/>
  <c r="D717"/>
  <c r="C733"/>
  <c r="D733"/>
  <c r="C749"/>
  <c r="D749"/>
  <c r="C765"/>
  <c r="D765"/>
  <c r="E796"/>
  <c r="E798"/>
  <c r="B798"/>
  <c r="E806"/>
  <c r="E804"/>
  <c r="B806"/>
  <c r="E813"/>
  <c r="E822"/>
  <c r="B822"/>
  <c r="E820"/>
  <c r="E829"/>
  <c r="E830"/>
  <c r="C840"/>
  <c r="E848"/>
  <c r="B848"/>
  <c r="E846"/>
  <c r="E855"/>
  <c r="E862"/>
  <c r="B864"/>
  <c r="E864"/>
  <c r="E872"/>
  <c r="E870"/>
  <c r="B872"/>
  <c r="E879"/>
  <c r="E886"/>
  <c r="B888"/>
  <c r="E888"/>
  <c r="E895"/>
  <c r="E904"/>
  <c r="E902"/>
  <c r="B904"/>
  <c r="D923"/>
  <c r="E919"/>
  <c r="C790"/>
  <c r="D790"/>
  <c r="E651"/>
  <c r="B653"/>
  <c r="E653"/>
  <c r="E660"/>
  <c r="B669"/>
  <c r="E669"/>
  <c r="E667"/>
  <c r="E676"/>
  <c r="E683"/>
  <c r="B685"/>
  <c r="E685"/>
  <c r="E692"/>
  <c r="E701"/>
  <c r="B701"/>
  <c r="E699"/>
  <c r="E708"/>
  <c r="E715"/>
  <c r="B717"/>
  <c r="E717"/>
  <c r="E724"/>
  <c r="E733"/>
  <c r="B733"/>
  <c r="E731"/>
  <c r="E740"/>
  <c r="E747"/>
  <c r="B749"/>
  <c r="E749"/>
  <c r="E756"/>
  <c r="E765"/>
  <c r="B765"/>
  <c r="E763"/>
  <c r="E772"/>
  <c r="C814"/>
  <c r="D814"/>
  <c r="C832"/>
  <c r="E831"/>
  <c r="D840"/>
  <c r="C856"/>
  <c r="D856"/>
  <c r="C880"/>
  <c r="D880"/>
  <c r="C896"/>
  <c r="D896"/>
  <c r="E911"/>
  <c r="D912"/>
  <c r="E923"/>
  <c r="E918"/>
  <c r="B923"/>
  <c r="E921"/>
  <c r="E788"/>
  <c r="B790"/>
  <c r="E790"/>
  <c r="D459"/>
  <c r="D68"/>
  <c r="B68"/>
  <c r="D66"/>
  <c r="C100"/>
  <c r="B132"/>
  <c r="D130"/>
  <c r="D132"/>
  <c r="B164"/>
  <c r="D162"/>
  <c r="D164"/>
  <c r="B190"/>
  <c r="D188"/>
  <c r="D190"/>
  <c r="B222"/>
  <c r="D220"/>
  <c r="D222"/>
  <c r="B254"/>
  <c r="D252"/>
  <c r="D254"/>
  <c r="B286"/>
  <c r="D284"/>
  <c r="D286"/>
  <c r="B327"/>
  <c r="D325"/>
  <c r="C359"/>
  <c r="D365"/>
  <c r="C401"/>
  <c r="C425"/>
  <c r="E470"/>
  <c r="E498"/>
  <c r="E495"/>
  <c r="B498"/>
  <c r="B506"/>
  <c r="E504"/>
  <c r="E506"/>
  <c r="E513"/>
  <c r="B522"/>
  <c r="E520"/>
  <c r="E522"/>
  <c r="C530"/>
  <c r="E536"/>
  <c r="E538"/>
  <c r="B538"/>
  <c r="D549"/>
  <c r="E545"/>
  <c r="C573"/>
  <c r="D573"/>
  <c r="C589"/>
  <c r="D589"/>
  <c r="E604"/>
  <c r="D605"/>
  <c r="C621"/>
  <c r="D621"/>
  <c r="C637"/>
  <c r="D637"/>
  <c r="C661"/>
  <c r="D661"/>
  <c r="C677"/>
  <c r="D677"/>
  <c r="C693"/>
  <c r="D693"/>
  <c r="C709"/>
  <c r="D709"/>
  <c r="C725"/>
  <c r="D725"/>
  <c r="C741"/>
  <c r="D741"/>
  <c r="C757"/>
  <c r="D757"/>
  <c r="C773"/>
  <c r="D773"/>
  <c r="E797"/>
  <c r="E805"/>
  <c r="E812"/>
  <c r="B814"/>
  <c r="E814"/>
  <c r="E821"/>
  <c r="D832"/>
  <c r="E840"/>
  <c r="E838"/>
  <c r="B840"/>
  <c r="E847"/>
  <c r="E856"/>
  <c r="B856"/>
  <c r="E854"/>
  <c r="E863"/>
  <c r="E871"/>
  <c r="E880"/>
  <c r="E878"/>
  <c r="B880"/>
  <c r="E887"/>
  <c r="E894"/>
  <c r="B896"/>
  <c r="E896"/>
  <c r="E903"/>
  <c r="E910"/>
  <c r="B912"/>
  <c r="E912"/>
  <c r="E920"/>
  <c r="D35"/>
  <c r="B60"/>
  <c r="D60"/>
  <c r="D92"/>
  <c r="D90"/>
  <c r="B92"/>
  <c r="B124"/>
  <c r="D124"/>
  <c r="D122"/>
  <c r="D154"/>
  <c r="B156"/>
  <c r="D156"/>
  <c r="B214"/>
  <c r="D214"/>
  <c r="D212"/>
  <c r="B246"/>
  <c r="D246"/>
  <c r="D244"/>
  <c r="B278"/>
  <c r="D278"/>
  <c r="D276"/>
  <c r="D308"/>
  <c r="B310"/>
  <c r="D310"/>
  <c r="C351"/>
  <c r="C393"/>
  <c r="C417"/>
  <c r="C449"/>
  <c r="D440"/>
  <c r="E469"/>
  <c r="E488"/>
  <c r="E497"/>
  <c r="C514"/>
  <c r="D514"/>
  <c r="D530"/>
  <c r="E544"/>
  <c r="E549"/>
  <c r="B549"/>
  <c r="C549"/>
  <c r="E547"/>
  <c r="E564"/>
  <c r="B573"/>
  <c r="E573"/>
  <c r="E571"/>
  <c r="E580"/>
  <c r="E589"/>
  <c r="B589"/>
  <c r="E587"/>
  <c r="E596"/>
  <c r="B605"/>
  <c r="E605"/>
  <c r="E603"/>
  <c r="E612"/>
  <c r="E619"/>
  <c r="B621"/>
  <c r="E621"/>
  <c r="E628"/>
  <c r="B637"/>
  <c r="E637"/>
  <c r="E635"/>
  <c r="E644"/>
  <c r="E652"/>
  <c r="B661"/>
  <c r="E661"/>
  <c r="E659"/>
  <c r="E668"/>
  <c r="E675"/>
  <c r="B677"/>
  <c r="E677"/>
  <c r="E684"/>
  <c r="B693"/>
  <c r="E693"/>
  <c r="E691"/>
  <c r="E700"/>
  <c r="E709"/>
  <c r="B709"/>
  <c r="E707"/>
  <c r="E716"/>
  <c r="B725"/>
  <c r="E725"/>
  <c r="E723"/>
  <c r="E732"/>
  <c r="E739"/>
  <c r="B741"/>
  <c r="E741"/>
  <c r="E748"/>
  <c r="B757"/>
  <c r="E757"/>
  <c r="E755"/>
  <c r="E764"/>
  <c r="E771"/>
  <c r="B773"/>
  <c r="E773"/>
  <c r="D798"/>
  <c r="C798"/>
  <c r="C806"/>
  <c r="D806"/>
  <c r="C822"/>
  <c r="D822"/>
  <c r="B832"/>
  <c r="E828"/>
  <c r="E832"/>
  <c r="E839"/>
  <c r="C848"/>
  <c r="D848"/>
  <c r="C864"/>
  <c r="D864"/>
  <c r="C872"/>
  <c r="D872"/>
  <c r="C888"/>
  <c r="D888"/>
  <c r="C904"/>
  <c r="D904"/>
  <c r="C912"/>
  <c r="E922"/>
  <c r="E789"/>
  <c r="D557"/>
  <c r="E556"/>
  <c r="E557"/>
  <c r="B557"/>
  <c r="E555"/>
  <c r="C557"/>
  <c r="D243" i="2"/>
  <c r="E243" s="1"/>
  <c r="D263"/>
  <c r="E263" s="1"/>
  <c r="D271"/>
  <c r="D280"/>
  <c r="D286"/>
  <c r="E286" s="1"/>
  <c r="D301"/>
  <c r="D436"/>
  <c r="E436" s="1"/>
  <c r="D444"/>
  <c r="E444" s="1"/>
  <c r="D369"/>
  <c r="E369" s="1"/>
  <c r="D430"/>
  <c r="E430" s="1"/>
  <c r="D426"/>
  <c r="E426" s="1"/>
  <c r="D377"/>
  <c r="E377" s="1"/>
  <c r="D236"/>
  <c r="E236" s="1"/>
  <c r="D242"/>
  <c r="D262"/>
  <c r="D279"/>
  <c r="E279" s="1"/>
  <c r="D300"/>
  <c r="E300" s="1"/>
  <c r="D368"/>
  <c r="E368" s="1"/>
  <c r="G383"/>
  <c r="D386"/>
  <c r="E386" s="1"/>
  <c r="D429"/>
  <c r="E429" s="1"/>
  <c r="D425"/>
  <c r="E425" s="1"/>
  <c r="D374"/>
  <c r="E374" s="1"/>
  <c r="D388"/>
  <c r="E388" s="1"/>
  <c r="D439"/>
  <c r="E439" s="1"/>
  <c r="D435"/>
  <c r="E435" s="1"/>
  <c r="D418"/>
  <c r="E418" s="1"/>
  <c r="D427"/>
  <c r="E427" s="1"/>
  <c r="D375"/>
  <c r="E375" s="1"/>
  <c r="D385"/>
  <c r="E385" s="1"/>
  <c r="D420"/>
  <c r="E420" s="1"/>
  <c r="D437"/>
  <c r="E437" s="1"/>
  <c r="G442"/>
  <c r="D445"/>
  <c r="E445" s="1"/>
  <c r="D235"/>
  <c r="D273"/>
  <c r="D278"/>
  <c r="D293"/>
  <c r="D367"/>
  <c r="E367" s="1"/>
  <c r="D376"/>
  <c r="E376" s="1"/>
  <c r="D387"/>
  <c r="E387" s="1"/>
  <c r="D409"/>
  <c r="E409" s="1"/>
  <c r="D419"/>
  <c r="E419" s="1"/>
  <c r="D428"/>
  <c r="E428" s="1"/>
  <c r="D424"/>
  <c r="E424" s="1"/>
  <c r="D438"/>
  <c r="E438" s="1"/>
  <c r="D434"/>
  <c r="E434" s="1"/>
  <c r="D446"/>
  <c r="E446" s="1"/>
  <c r="D373"/>
  <c r="E373" s="1"/>
  <c r="E384"/>
  <c r="D443"/>
  <c r="E443" s="1"/>
  <c r="D341"/>
  <c r="E341" s="1"/>
  <c r="D349"/>
  <c r="E349" s="1"/>
  <c r="D379"/>
  <c r="E379" s="1"/>
  <c r="F458"/>
  <c r="D458" s="1"/>
  <c r="F456"/>
  <c r="D378"/>
  <c r="E378" s="1"/>
  <c r="E358"/>
  <c r="G358" s="1"/>
  <c r="D131"/>
  <c r="D143"/>
  <c r="E143" s="1"/>
  <c r="D228"/>
  <c r="D256"/>
  <c r="E256" s="1"/>
  <c r="D272"/>
  <c r="E272" s="1"/>
  <c r="D287"/>
  <c r="D292"/>
  <c r="F158"/>
  <c r="D329"/>
  <c r="E329" s="1"/>
  <c r="D312"/>
  <c r="E312" s="1"/>
  <c r="D316"/>
  <c r="E316" s="1"/>
  <c r="F159"/>
  <c r="F164"/>
  <c r="D169"/>
  <c r="E169" s="1"/>
  <c r="D176"/>
  <c r="E176" s="1"/>
  <c r="D215"/>
  <c r="E215" s="1"/>
  <c r="D230"/>
  <c r="D237"/>
  <c r="D244"/>
  <c r="D257"/>
  <c r="D307"/>
  <c r="E307" s="1"/>
  <c r="D359"/>
  <c r="E359" s="1"/>
  <c r="D277"/>
  <c r="E277" s="1"/>
  <c r="D320"/>
  <c r="E320" s="1"/>
  <c r="D255"/>
  <c r="D264"/>
  <c r="D284"/>
  <c r="E284" s="1"/>
  <c r="D335"/>
  <c r="F161"/>
  <c r="D181"/>
  <c r="E181" s="1"/>
  <c r="D229"/>
  <c r="E229" s="1"/>
  <c r="D261"/>
  <c r="E261" s="1"/>
  <c r="D270"/>
  <c r="E270" s="1"/>
  <c r="D285"/>
  <c r="F162"/>
  <c r="D187"/>
  <c r="E187" s="1"/>
  <c r="D206"/>
  <c r="E206" s="1"/>
  <c r="D210"/>
  <c r="D220"/>
  <c r="E220" s="1"/>
  <c r="D323"/>
  <c r="D340"/>
  <c r="F165"/>
  <c r="E161" s="1"/>
  <c r="D227"/>
  <c r="E227" s="1"/>
  <c r="D234"/>
  <c r="E234" s="1"/>
  <c r="D241"/>
  <c r="E241" s="1"/>
  <c r="D254"/>
  <c r="E254" s="1"/>
  <c r="D62"/>
  <c r="E62" s="1"/>
  <c r="E68"/>
  <c r="D106"/>
  <c r="E106" s="1"/>
  <c r="D118"/>
  <c r="E118" s="1"/>
  <c r="D291"/>
  <c r="F163"/>
  <c r="D299"/>
  <c r="D298"/>
  <c r="E298" s="1"/>
  <c r="D201"/>
  <c r="E201" s="1"/>
  <c r="D197"/>
  <c r="E197" s="1"/>
  <c r="D192"/>
  <c r="E192" s="1"/>
  <c r="E76"/>
  <c r="D88"/>
  <c r="E88" s="1"/>
  <c r="D100"/>
  <c r="E100" s="1"/>
  <c r="D148"/>
  <c r="E148" s="1"/>
  <c r="D52"/>
  <c r="D124"/>
  <c r="E124" s="1"/>
  <c r="D24"/>
  <c r="E24" s="1"/>
  <c r="D112"/>
  <c r="E112" s="1"/>
  <c r="D54"/>
  <c r="E54" s="1"/>
  <c r="D61"/>
  <c r="E61" s="1"/>
  <c r="D82"/>
  <c r="E82" s="1"/>
  <c r="D94"/>
  <c r="E94" s="1"/>
  <c r="D137"/>
  <c r="D6"/>
  <c r="E6" s="1"/>
  <c r="D60"/>
  <c r="D67"/>
  <c r="E67" s="1"/>
  <c r="E78"/>
  <c r="E90"/>
  <c r="D102"/>
  <c r="E102" s="1"/>
  <c r="D114"/>
  <c r="E114" s="1"/>
  <c r="D125"/>
  <c r="D132"/>
  <c r="E132" s="1"/>
  <c r="D136"/>
  <c r="E136" s="1"/>
  <c r="D144"/>
  <c r="E144" s="1"/>
  <c r="D153"/>
  <c r="E153" s="1"/>
  <c r="E19"/>
  <c r="D84"/>
  <c r="E84" s="1"/>
  <c r="D96"/>
  <c r="E96" s="1"/>
  <c r="D108"/>
  <c r="E108" s="1"/>
  <c r="D120"/>
  <c r="E120" s="1"/>
  <c r="D123"/>
  <c r="D126"/>
  <c r="E126" s="1"/>
  <c r="D130"/>
  <c r="E130" s="1"/>
  <c r="D138"/>
  <c r="E138" s="1"/>
  <c r="D59"/>
  <c r="E59" s="1"/>
  <c r="E26"/>
  <c r="D142"/>
  <c r="E142" s="1"/>
  <c r="D51"/>
  <c r="E51" s="1"/>
  <c r="D23"/>
  <c r="E23" s="1"/>
  <c r="E69"/>
  <c r="E77"/>
  <c r="D83"/>
  <c r="D89"/>
  <c r="D95"/>
  <c r="D19" i="4" s="1"/>
  <c r="D101" i="2"/>
  <c r="D107"/>
  <c r="D113"/>
  <c r="D119"/>
  <c r="D10"/>
  <c r="E10" s="1"/>
  <c r="G10" s="1"/>
  <c r="D53"/>
  <c r="E53" s="1"/>
  <c r="D11"/>
  <c r="E11" s="1"/>
  <c r="D5"/>
  <c r="E5" s="1"/>
  <c r="D13"/>
  <c r="E13" s="1"/>
  <c r="D12"/>
  <c r="E12" s="1"/>
  <c r="D17"/>
  <c r="E17" s="1"/>
  <c r="E37"/>
  <c r="G35"/>
  <c r="D36"/>
  <c r="E36" s="1"/>
  <c r="E39"/>
  <c r="E412" l="1"/>
  <c r="G412" s="1"/>
  <c r="E6" i="4"/>
  <c r="G6" s="1"/>
  <c r="D40"/>
  <c r="F40" s="1"/>
  <c r="E255" i="2"/>
  <c r="G255" s="1"/>
  <c r="D11" i="37"/>
  <c r="E287" i="2"/>
  <c r="D42" i="37"/>
  <c r="E299" i="2"/>
  <c r="G300" s="1"/>
  <c r="D54" i="37"/>
  <c r="E228" i="2"/>
  <c r="D7" i="10"/>
  <c r="E235" i="2"/>
  <c r="G235" s="1"/>
  <c r="D12" i="10"/>
  <c r="E107" i="2"/>
  <c r="G107" s="1"/>
  <c r="D28" i="4"/>
  <c r="E83" i="2"/>
  <c r="G84" s="1"/>
  <c r="D11" i="4"/>
  <c r="E291" i="2"/>
  <c r="G291" s="1"/>
  <c r="D48" i="37"/>
  <c r="E257" i="2"/>
  <c r="D12" i="37"/>
  <c r="E273" i="2"/>
  <c r="D28" i="37"/>
  <c r="E242" i="2"/>
  <c r="D17" i="10"/>
  <c r="E271" i="2"/>
  <c r="G271" s="1"/>
  <c r="D27" i="37"/>
  <c r="D6" i="10"/>
  <c r="D27" i="4"/>
  <c r="D26" i="37"/>
  <c r="D40"/>
  <c r="E119" i="2"/>
  <c r="G119" s="1"/>
  <c r="D37" i="4"/>
  <c r="E237" i="2"/>
  <c r="D13" i="10"/>
  <c r="E101" i="2"/>
  <c r="D23" i="4"/>
  <c r="E125" i="2"/>
  <c r="D41" i="4"/>
  <c r="E113" i="2"/>
  <c r="G113" s="1"/>
  <c r="D32" i="4"/>
  <c r="E89" i="2"/>
  <c r="G90" s="1"/>
  <c r="D15" i="4"/>
  <c r="E230" i="2"/>
  <c r="D8" i="10"/>
  <c r="E131" i="2"/>
  <c r="G131" s="1"/>
  <c r="D45" i="4"/>
  <c r="E278" i="2"/>
  <c r="D34" i="37"/>
  <c r="E262" i="2"/>
  <c r="G262" s="1"/>
  <c r="D18" i="37"/>
  <c r="E280" i="2"/>
  <c r="D35" i="37"/>
  <c r="D17"/>
  <c r="D11" i="10"/>
  <c r="D31" i="4"/>
  <c r="D10" i="37"/>
  <c r="E293" i="2"/>
  <c r="D50" i="37"/>
  <c r="D53"/>
  <c r="D22" i="4"/>
  <c r="D14"/>
  <c r="D16" i="10"/>
  <c r="D18" i="4"/>
  <c r="E285" i="2"/>
  <c r="G285" s="1"/>
  <c r="D41" i="37"/>
  <c r="E264" i="2"/>
  <c r="D19" i="37"/>
  <c r="E244" i="2"/>
  <c r="D18" i="10"/>
  <c r="E292" i="2"/>
  <c r="D49" i="37"/>
  <c r="E301" i="2"/>
  <c r="D55" i="37"/>
  <c r="D44" i="4"/>
  <c r="D10"/>
  <c r="D33" i="37"/>
  <c r="D36" i="4"/>
  <c r="D17" i="12"/>
  <c r="E31" i="2"/>
  <c r="G31" s="1"/>
  <c r="D18" i="12"/>
  <c r="D4"/>
  <c r="F5" s="1"/>
  <c r="E5" s="1"/>
  <c r="D36" i="8"/>
  <c r="E36" s="1"/>
  <c r="E34"/>
  <c r="G34" s="1"/>
  <c r="G797" i="46"/>
  <c r="K797" s="1"/>
  <c r="G347" i="2"/>
  <c r="D35" i="8"/>
  <c r="E35" s="1"/>
  <c r="F6" i="46"/>
  <c r="I6" s="1"/>
  <c r="F25"/>
  <c r="I25" s="1"/>
  <c r="G37" i="2"/>
  <c r="G38"/>
  <c r="G39"/>
  <c r="D41" i="38"/>
  <c r="E95" i="2"/>
  <c r="G96" s="1"/>
  <c r="D42" i="38"/>
  <c r="E60" i="2"/>
  <c r="G61" s="1"/>
  <c r="D28" i="38"/>
  <c r="D27"/>
  <c r="G51" i="2"/>
  <c r="E52"/>
  <c r="G54" s="1"/>
  <c r="D20" i="38"/>
  <c r="D19"/>
  <c r="D4"/>
  <c r="F5" s="1"/>
  <c r="E5" s="1"/>
  <c r="G24" i="2"/>
  <c r="G25"/>
  <c r="G18"/>
  <c r="G5"/>
  <c r="G26"/>
  <c r="G19"/>
  <c r="G418"/>
  <c r="E340"/>
  <c r="G340" s="1"/>
  <c r="D12" i="7"/>
  <c r="F12" s="1"/>
  <c r="D13"/>
  <c r="D4"/>
  <c r="F4" s="1"/>
  <c r="E137" i="2"/>
  <c r="D5" i="7"/>
  <c r="G13" i="2"/>
  <c r="G6"/>
  <c r="E51" i="38"/>
  <c r="G51" s="1"/>
  <c r="G14" i="36"/>
  <c r="E56" i="38"/>
  <c r="E46"/>
  <c r="G46" s="1"/>
  <c r="E61"/>
  <c r="E57"/>
  <c r="E63"/>
  <c r="E60"/>
  <c r="G55"/>
  <c r="E335" i="2"/>
  <c r="G335" s="1"/>
  <c r="E458"/>
  <c r="G458" s="1"/>
  <c r="E158"/>
  <c r="E165"/>
  <c r="E323"/>
  <c r="G323" s="1"/>
  <c r="E163"/>
  <c r="E159"/>
  <c r="G45"/>
  <c r="E455"/>
  <c r="G455" s="1"/>
  <c r="E162"/>
  <c r="E164"/>
  <c r="E123"/>
  <c r="G123" s="1"/>
  <c r="E210"/>
  <c r="G210" s="1"/>
  <c r="E157"/>
  <c r="G157" s="1"/>
  <c r="G333" i="46"/>
  <c r="J333" s="1"/>
  <c r="F333"/>
  <c r="I333" s="1"/>
  <c r="G334"/>
  <c r="J334" s="1"/>
  <c r="F334"/>
  <c r="I334" s="1"/>
  <c r="G19" i="36"/>
  <c r="E23"/>
  <c r="E20"/>
  <c r="G21" s="1"/>
  <c r="E5"/>
  <c r="G5" s="1"/>
  <c r="G215" i="2"/>
  <c r="E5" i="11"/>
  <c r="G5" s="1"/>
  <c r="D9" i="7"/>
  <c r="E342" i="2"/>
  <c r="D8" i="7"/>
  <c r="G15" i="36"/>
  <c r="G13"/>
  <c r="E11" i="5"/>
  <c r="G11" s="1"/>
  <c r="G419" i="2"/>
  <c r="G446"/>
  <c r="G439"/>
  <c r="G430"/>
  <c r="G420"/>
  <c r="G369"/>
  <c r="G388"/>
  <c r="G380"/>
  <c r="G379"/>
  <c r="G349"/>
  <c r="G348"/>
  <c r="G354"/>
  <c r="G352"/>
  <c r="G350"/>
  <c r="G355"/>
  <c r="G353"/>
  <c r="G351"/>
  <c r="G241"/>
  <c r="G234"/>
  <c r="G187"/>
  <c r="E452"/>
  <c r="G277"/>
  <c r="G284"/>
  <c r="G456" i="46"/>
  <c r="J456" s="1"/>
  <c r="G434" i="2"/>
  <c r="I546" i="46"/>
  <c r="M546" s="1"/>
  <c r="H546"/>
  <c r="L546" s="1"/>
  <c r="I548"/>
  <c r="M548" s="1"/>
  <c r="H548"/>
  <c r="L548" s="1"/>
  <c r="I545"/>
  <c r="M545" s="1"/>
  <c r="H545"/>
  <c r="L545" s="1"/>
  <c r="H829"/>
  <c r="L829" s="1"/>
  <c r="I547"/>
  <c r="M547" s="1"/>
  <c r="H547"/>
  <c r="L547" s="1"/>
  <c r="I544"/>
  <c r="M544" s="1"/>
  <c r="H830"/>
  <c r="L830" s="1"/>
  <c r="G443" i="2"/>
  <c r="G444"/>
  <c r="G368"/>
  <c r="G367"/>
  <c r="G307"/>
  <c r="E450"/>
  <c r="G451" s="1"/>
  <c r="G424"/>
  <c r="G428"/>
  <c r="G556" i="46"/>
  <c r="K556" s="1"/>
  <c r="I556"/>
  <c r="M556" s="1"/>
  <c r="H556"/>
  <c r="L556" s="1"/>
  <c r="H764"/>
  <c r="L764" s="1"/>
  <c r="G764"/>
  <c r="K764" s="1"/>
  <c r="I764"/>
  <c r="M764" s="1"/>
  <c r="G723"/>
  <c r="K723" s="1"/>
  <c r="I723"/>
  <c r="M723" s="1"/>
  <c r="H723"/>
  <c r="L723" s="1"/>
  <c r="H700"/>
  <c r="L700" s="1"/>
  <c r="G700"/>
  <c r="K700" s="1"/>
  <c r="I700"/>
  <c r="M700" s="1"/>
  <c r="G659"/>
  <c r="K659" s="1"/>
  <c r="I659"/>
  <c r="M659" s="1"/>
  <c r="H659"/>
  <c r="L659" s="1"/>
  <c r="H644"/>
  <c r="L644" s="1"/>
  <c r="G644"/>
  <c r="K644" s="1"/>
  <c r="I644"/>
  <c r="M644" s="1"/>
  <c r="G603"/>
  <c r="K603" s="1"/>
  <c r="I603"/>
  <c r="M603" s="1"/>
  <c r="H603"/>
  <c r="L603" s="1"/>
  <c r="I580"/>
  <c r="M580" s="1"/>
  <c r="G580"/>
  <c r="K580" s="1"/>
  <c r="H580"/>
  <c r="L580" s="1"/>
  <c r="H544"/>
  <c r="L544" s="1"/>
  <c r="G544"/>
  <c r="K544" s="1"/>
  <c r="G488"/>
  <c r="K488" s="1"/>
  <c r="H488"/>
  <c r="L488" s="1"/>
  <c r="I488"/>
  <c r="M488" s="1"/>
  <c r="F244"/>
  <c r="I244" s="1"/>
  <c r="G244"/>
  <c r="J244" s="1"/>
  <c r="F154"/>
  <c r="I154" s="1"/>
  <c r="G154"/>
  <c r="J154" s="1"/>
  <c r="G910"/>
  <c r="K910" s="1"/>
  <c r="H910"/>
  <c r="L910" s="1"/>
  <c r="I910"/>
  <c r="M910" s="1"/>
  <c r="G863"/>
  <c r="K863" s="1"/>
  <c r="H863"/>
  <c r="L863" s="1"/>
  <c r="I863"/>
  <c r="M863" s="1"/>
  <c r="H805"/>
  <c r="L805" s="1"/>
  <c r="G805"/>
  <c r="K805" s="1"/>
  <c r="I805"/>
  <c r="M805" s="1"/>
  <c r="G545"/>
  <c r="K545" s="1"/>
  <c r="H504"/>
  <c r="L504" s="1"/>
  <c r="I504"/>
  <c r="M504" s="1"/>
  <c r="G504"/>
  <c r="K504" s="1"/>
  <c r="G252"/>
  <c r="J252" s="1"/>
  <c r="F252"/>
  <c r="I252" s="1"/>
  <c r="G130"/>
  <c r="J130" s="1"/>
  <c r="F130"/>
  <c r="I130" s="1"/>
  <c r="I918"/>
  <c r="M918" s="1"/>
  <c r="G918"/>
  <c r="K918" s="1"/>
  <c r="H918"/>
  <c r="L918" s="1"/>
  <c r="H911"/>
  <c r="L911" s="1"/>
  <c r="I911"/>
  <c r="M911" s="1"/>
  <c r="G911"/>
  <c r="K911" s="1"/>
  <c r="I763"/>
  <c r="M763" s="1"/>
  <c r="G763"/>
  <c r="K763" s="1"/>
  <c r="H763"/>
  <c r="L763" s="1"/>
  <c r="H740"/>
  <c r="L740" s="1"/>
  <c r="I740"/>
  <c r="M740" s="1"/>
  <c r="G740"/>
  <c r="K740" s="1"/>
  <c r="I699"/>
  <c r="M699" s="1"/>
  <c r="G699"/>
  <c r="K699" s="1"/>
  <c r="H699"/>
  <c r="L699" s="1"/>
  <c r="H676"/>
  <c r="L676" s="1"/>
  <c r="I676"/>
  <c r="M676" s="1"/>
  <c r="G676"/>
  <c r="K676" s="1"/>
  <c r="H879"/>
  <c r="L879" s="1"/>
  <c r="I879"/>
  <c r="M879" s="1"/>
  <c r="G879"/>
  <c r="K879" s="1"/>
  <c r="H846"/>
  <c r="L846" s="1"/>
  <c r="G846"/>
  <c r="K846" s="1"/>
  <c r="I846"/>
  <c r="M846" s="1"/>
  <c r="G820"/>
  <c r="K820" s="1"/>
  <c r="I820"/>
  <c r="M820" s="1"/>
  <c r="H820"/>
  <c r="L820" s="1"/>
  <c r="I627"/>
  <c r="M627" s="1"/>
  <c r="G627"/>
  <c r="K627" s="1"/>
  <c r="H627"/>
  <c r="L627" s="1"/>
  <c r="I468"/>
  <c r="M468" s="1"/>
  <c r="H468"/>
  <c r="L468" s="1"/>
  <c r="G468"/>
  <c r="K468" s="1"/>
  <c r="G213"/>
  <c r="J213" s="1"/>
  <c r="F213"/>
  <c r="I213" s="1"/>
  <c r="F67"/>
  <c r="I67" s="1"/>
  <c r="G67"/>
  <c r="J67" s="1"/>
  <c r="G391"/>
  <c r="J391" s="1"/>
  <c r="F391"/>
  <c r="I391" s="1"/>
  <c r="F457"/>
  <c r="I457" s="1"/>
  <c r="G457"/>
  <c r="J457" s="1"/>
  <c r="G512"/>
  <c r="K512" s="1"/>
  <c r="H512"/>
  <c r="L512" s="1"/>
  <c r="I512"/>
  <c r="M512" s="1"/>
  <c r="I505"/>
  <c r="M505" s="1"/>
  <c r="G505"/>
  <c r="K505" s="1"/>
  <c r="H505"/>
  <c r="L505" s="1"/>
  <c r="F236"/>
  <c r="I236" s="1"/>
  <c r="G236"/>
  <c r="J236" s="1"/>
  <c r="F180"/>
  <c r="I180" s="1"/>
  <c r="G180"/>
  <c r="J180" s="1"/>
  <c r="G293"/>
  <c r="J293" s="1"/>
  <c r="F293"/>
  <c r="I293" s="1"/>
  <c r="G147"/>
  <c r="J147" s="1"/>
  <c r="F147"/>
  <c r="I147" s="1"/>
  <c r="F43"/>
  <c r="I43" s="1"/>
  <c r="G43"/>
  <c r="J43" s="1"/>
  <c r="G423"/>
  <c r="J423" s="1"/>
  <c r="F423"/>
  <c r="I423" s="1"/>
  <c r="G357"/>
  <c r="J357" s="1"/>
  <c r="F357"/>
  <c r="I357" s="1"/>
  <c r="F408"/>
  <c r="I408" s="1"/>
  <c r="G408"/>
  <c r="J408" s="1"/>
  <c r="I643"/>
  <c r="M643" s="1"/>
  <c r="G643"/>
  <c r="K643" s="1"/>
  <c r="H643"/>
  <c r="L643" s="1"/>
  <c r="H636"/>
  <c r="L636" s="1"/>
  <c r="G636"/>
  <c r="K636" s="1"/>
  <c r="I636"/>
  <c r="M636" s="1"/>
  <c r="G260"/>
  <c r="J260" s="1"/>
  <c r="F260"/>
  <c r="I260" s="1"/>
  <c r="G138"/>
  <c r="J138" s="1"/>
  <c r="F138"/>
  <c r="I138" s="1"/>
  <c r="G301"/>
  <c r="J301" s="1"/>
  <c r="F301"/>
  <c r="I301" s="1"/>
  <c r="G163"/>
  <c r="J163" s="1"/>
  <c r="F163"/>
  <c r="I163" s="1"/>
  <c r="I521"/>
  <c r="M521" s="1"/>
  <c r="G521"/>
  <c r="K521" s="1"/>
  <c r="H521"/>
  <c r="L521" s="1"/>
  <c r="G237"/>
  <c r="J237" s="1"/>
  <c r="F237"/>
  <c r="I237" s="1"/>
  <c r="F91"/>
  <c r="I91" s="1"/>
  <c r="G91"/>
  <c r="J91" s="1"/>
  <c r="F407"/>
  <c r="I407" s="1"/>
  <c r="G407"/>
  <c r="J407" s="1"/>
  <c r="G58"/>
  <c r="J58" s="1"/>
  <c r="F58"/>
  <c r="I58" s="1"/>
  <c r="G392"/>
  <c r="J392" s="1"/>
  <c r="F392"/>
  <c r="I392" s="1"/>
  <c r="G555"/>
  <c r="K555" s="1"/>
  <c r="H555"/>
  <c r="L555" s="1"/>
  <c r="I555"/>
  <c r="M555" s="1"/>
  <c r="H748"/>
  <c r="L748" s="1"/>
  <c r="G748"/>
  <c r="K748" s="1"/>
  <c r="I748"/>
  <c r="M748" s="1"/>
  <c r="G739"/>
  <c r="K739" s="1"/>
  <c r="I739"/>
  <c r="M739" s="1"/>
  <c r="H739"/>
  <c r="L739" s="1"/>
  <c r="G707"/>
  <c r="K707" s="1"/>
  <c r="I707"/>
  <c r="M707" s="1"/>
  <c r="H707"/>
  <c r="L707" s="1"/>
  <c r="H684"/>
  <c r="L684" s="1"/>
  <c r="G684"/>
  <c r="K684" s="1"/>
  <c r="I684"/>
  <c r="M684" s="1"/>
  <c r="G675"/>
  <c r="K675" s="1"/>
  <c r="I675"/>
  <c r="M675" s="1"/>
  <c r="H675"/>
  <c r="L675" s="1"/>
  <c r="H628"/>
  <c r="L628" s="1"/>
  <c r="G628"/>
  <c r="K628" s="1"/>
  <c r="I628"/>
  <c r="M628" s="1"/>
  <c r="G619"/>
  <c r="K619" s="1"/>
  <c r="I619"/>
  <c r="M619" s="1"/>
  <c r="H619"/>
  <c r="L619" s="1"/>
  <c r="G587"/>
  <c r="K587" s="1"/>
  <c r="I587"/>
  <c r="M587" s="1"/>
  <c r="H587"/>
  <c r="L587" s="1"/>
  <c r="I564"/>
  <c r="M564" s="1"/>
  <c r="G564"/>
  <c r="K564" s="1"/>
  <c r="H564"/>
  <c r="L564" s="1"/>
  <c r="F308"/>
  <c r="I308" s="1"/>
  <c r="G308"/>
  <c r="J308" s="1"/>
  <c r="F212"/>
  <c r="I212" s="1"/>
  <c r="G212"/>
  <c r="J212" s="1"/>
  <c r="G920"/>
  <c r="K920" s="1"/>
  <c r="H920"/>
  <c r="L920" s="1"/>
  <c r="I920"/>
  <c r="M920" s="1"/>
  <c r="G903"/>
  <c r="K903" s="1"/>
  <c r="H903"/>
  <c r="L903" s="1"/>
  <c r="I903"/>
  <c r="M903" s="1"/>
  <c r="G894"/>
  <c r="K894" s="1"/>
  <c r="H894"/>
  <c r="L894" s="1"/>
  <c r="I894"/>
  <c r="M894" s="1"/>
  <c r="G847"/>
  <c r="K847" s="1"/>
  <c r="I847"/>
  <c r="M847" s="1"/>
  <c r="H847"/>
  <c r="L847" s="1"/>
  <c r="H536"/>
  <c r="L536" s="1"/>
  <c r="I536"/>
  <c r="M536" s="1"/>
  <c r="G536"/>
  <c r="K536" s="1"/>
  <c r="G470"/>
  <c r="K470" s="1"/>
  <c r="I470"/>
  <c r="M470" s="1"/>
  <c r="H470"/>
  <c r="L470" s="1"/>
  <c r="F365"/>
  <c r="I365" s="1"/>
  <c r="G365"/>
  <c r="J365" s="1"/>
  <c r="G220"/>
  <c r="J220" s="1"/>
  <c r="F220"/>
  <c r="I220" s="1"/>
  <c r="G66"/>
  <c r="J66" s="1"/>
  <c r="F66"/>
  <c r="I66" s="1"/>
  <c r="I831"/>
  <c r="M831" s="1"/>
  <c r="H831"/>
  <c r="L831" s="1"/>
  <c r="G831"/>
  <c r="K831" s="1"/>
  <c r="H724"/>
  <c r="L724" s="1"/>
  <c r="G724"/>
  <c r="K724" s="1"/>
  <c r="I724"/>
  <c r="M724" s="1"/>
  <c r="I715"/>
  <c r="M715" s="1"/>
  <c r="G715"/>
  <c r="K715" s="1"/>
  <c r="H715"/>
  <c r="L715" s="1"/>
  <c r="H660"/>
  <c r="L660" s="1"/>
  <c r="G660"/>
  <c r="K660" s="1"/>
  <c r="I660"/>
  <c r="M660" s="1"/>
  <c r="I651"/>
  <c r="M651" s="1"/>
  <c r="G651"/>
  <c r="K651" s="1"/>
  <c r="H651"/>
  <c r="L651" s="1"/>
  <c r="I919"/>
  <c r="M919" s="1"/>
  <c r="G919"/>
  <c r="K919" s="1"/>
  <c r="H919"/>
  <c r="L919" s="1"/>
  <c r="I870"/>
  <c r="M870" s="1"/>
  <c r="G870"/>
  <c r="K870" s="1"/>
  <c r="H870"/>
  <c r="L870" s="1"/>
  <c r="H862"/>
  <c r="L862" s="1"/>
  <c r="G862"/>
  <c r="K862" s="1"/>
  <c r="I862"/>
  <c r="M862" s="1"/>
  <c r="I830"/>
  <c r="M830" s="1"/>
  <c r="G830"/>
  <c r="K830" s="1"/>
  <c r="G804"/>
  <c r="K804" s="1"/>
  <c r="I804"/>
  <c r="M804" s="1"/>
  <c r="H804"/>
  <c r="L804" s="1"/>
  <c r="F245"/>
  <c r="I245" s="1"/>
  <c r="G245"/>
  <c r="J245" s="1"/>
  <c r="F107"/>
  <c r="I107" s="1"/>
  <c r="G107"/>
  <c r="J107" s="1"/>
  <c r="F34"/>
  <c r="I34" s="1"/>
  <c r="G34"/>
  <c r="J34" s="1"/>
  <c r="F432"/>
  <c r="I432" s="1"/>
  <c r="G432"/>
  <c r="J432" s="1"/>
  <c r="G8"/>
  <c r="J8" s="1"/>
  <c r="F8"/>
  <c r="I8" s="1"/>
  <c r="G546"/>
  <c r="K546" s="1"/>
  <c r="F400"/>
  <c r="I400" s="1"/>
  <c r="G400"/>
  <c r="J400" s="1"/>
  <c r="F114"/>
  <c r="I114" s="1"/>
  <c r="G114"/>
  <c r="J114" s="1"/>
  <c r="G269"/>
  <c r="J269" s="1"/>
  <c r="F269"/>
  <c r="I269" s="1"/>
  <c r="F399"/>
  <c r="I399" s="1"/>
  <c r="G399"/>
  <c r="J399" s="1"/>
  <c r="F448"/>
  <c r="I448" s="1"/>
  <c r="G448"/>
  <c r="J448" s="1"/>
  <c r="G59"/>
  <c r="J59" s="1"/>
  <c r="F59"/>
  <c r="I59" s="1"/>
  <c r="I611"/>
  <c r="M611" s="1"/>
  <c r="G611"/>
  <c r="K611" s="1"/>
  <c r="H611"/>
  <c r="L611" s="1"/>
  <c r="H487"/>
  <c r="L487" s="1"/>
  <c r="I487"/>
  <c r="M487" s="1"/>
  <c r="G487"/>
  <c r="K487" s="1"/>
  <c r="G196"/>
  <c r="J196" s="1"/>
  <c r="F196"/>
  <c r="I196" s="1"/>
  <c r="F74"/>
  <c r="I74" s="1"/>
  <c r="G74"/>
  <c r="J74" s="1"/>
  <c r="G189"/>
  <c r="J189" s="1"/>
  <c r="F189"/>
  <c r="I189" s="1"/>
  <c r="F51"/>
  <c r="I51" s="1"/>
  <c r="G51"/>
  <c r="J51" s="1"/>
  <c r="G455"/>
  <c r="J455" s="1"/>
  <c r="F455"/>
  <c r="I455" s="1"/>
  <c r="G431"/>
  <c r="J431" s="1"/>
  <c r="F431"/>
  <c r="I431" s="1"/>
  <c r="G375"/>
  <c r="J375" s="1"/>
  <c r="F375"/>
  <c r="I375" s="1"/>
  <c r="G384"/>
  <c r="J384" s="1"/>
  <c r="F384"/>
  <c r="I384" s="1"/>
  <c r="G496"/>
  <c r="K496" s="1"/>
  <c r="H496"/>
  <c r="L496" s="1"/>
  <c r="I496"/>
  <c r="M496" s="1"/>
  <c r="G146"/>
  <c r="J146" s="1"/>
  <c r="F146"/>
  <c r="I146" s="1"/>
  <c r="F277"/>
  <c r="I277" s="1"/>
  <c r="G277"/>
  <c r="J277" s="1"/>
  <c r="F131"/>
  <c r="I131" s="1"/>
  <c r="G131"/>
  <c r="J131" s="1"/>
  <c r="G383"/>
  <c r="J383" s="1"/>
  <c r="F383"/>
  <c r="I383" s="1"/>
  <c r="G341"/>
  <c r="J341" s="1"/>
  <c r="F341"/>
  <c r="I341" s="1"/>
  <c r="G25"/>
  <c r="J25" s="1"/>
  <c r="F424"/>
  <c r="I424" s="1"/>
  <c r="G424"/>
  <c r="J424" s="1"/>
  <c r="H789"/>
  <c r="L789" s="1"/>
  <c r="G789"/>
  <c r="K789" s="1"/>
  <c r="I789"/>
  <c r="M789" s="1"/>
  <c r="H922"/>
  <c r="L922" s="1"/>
  <c r="I922"/>
  <c r="M922" s="1"/>
  <c r="G922"/>
  <c r="K922" s="1"/>
  <c r="G755"/>
  <c r="K755" s="1"/>
  <c r="I755"/>
  <c r="M755" s="1"/>
  <c r="H755"/>
  <c r="L755" s="1"/>
  <c r="H732"/>
  <c r="L732" s="1"/>
  <c r="G732"/>
  <c r="K732" s="1"/>
  <c r="I732"/>
  <c r="M732" s="1"/>
  <c r="G691"/>
  <c r="K691" s="1"/>
  <c r="I691"/>
  <c r="M691" s="1"/>
  <c r="H691"/>
  <c r="L691" s="1"/>
  <c r="H668"/>
  <c r="L668" s="1"/>
  <c r="G668"/>
  <c r="K668" s="1"/>
  <c r="I668"/>
  <c r="M668" s="1"/>
  <c r="G635"/>
  <c r="K635" s="1"/>
  <c r="I635"/>
  <c r="M635" s="1"/>
  <c r="H635"/>
  <c r="L635" s="1"/>
  <c r="H612"/>
  <c r="L612" s="1"/>
  <c r="G612"/>
  <c r="K612" s="1"/>
  <c r="I612"/>
  <c r="M612" s="1"/>
  <c r="H571"/>
  <c r="L571" s="1"/>
  <c r="G571"/>
  <c r="K571" s="1"/>
  <c r="I571"/>
  <c r="M571" s="1"/>
  <c r="H469"/>
  <c r="L469" s="1"/>
  <c r="G469"/>
  <c r="K469" s="1"/>
  <c r="I469"/>
  <c r="M469" s="1"/>
  <c r="G887"/>
  <c r="K887" s="1"/>
  <c r="H887"/>
  <c r="L887" s="1"/>
  <c r="I887"/>
  <c r="M887" s="1"/>
  <c r="H854"/>
  <c r="L854" s="1"/>
  <c r="I854"/>
  <c r="M854" s="1"/>
  <c r="G854"/>
  <c r="K854" s="1"/>
  <c r="I838"/>
  <c r="M838" s="1"/>
  <c r="G838"/>
  <c r="K838" s="1"/>
  <c r="H838"/>
  <c r="L838" s="1"/>
  <c r="H821"/>
  <c r="L821" s="1"/>
  <c r="G821"/>
  <c r="K821" s="1"/>
  <c r="I821"/>
  <c r="M821" s="1"/>
  <c r="I812"/>
  <c r="M812" s="1"/>
  <c r="G812"/>
  <c r="K812" s="1"/>
  <c r="H812"/>
  <c r="L812" s="1"/>
  <c r="I797"/>
  <c r="M797" s="1"/>
  <c r="H797"/>
  <c r="L797" s="1"/>
  <c r="H604"/>
  <c r="L604" s="1"/>
  <c r="G604"/>
  <c r="K604" s="1"/>
  <c r="I604"/>
  <c r="M604" s="1"/>
  <c r="G495"/>
  <c r="K495" s="1"/>
  <c r="I495"/>
  <c r="M495" s="1"/>
  <c r="H495"/>
  <c r="L495" s="1"/>
  <c r="G325"/>
  <c r="J325" s="1"/>
  <c r="F325"/>
  <c r="I325" s="1"/>
  <c r="G188"/>
  <c r="J188" s="1"/>
  <c r="F188"/>
  <c r="I188" s="1"/>
  <c r="F459"/>
  <c r="I459" s="1"/>
  <c r="G459"/>
  <c r="J459" s="1"/>
  <c r="G921"/>
  <c r="K921" s="1"/>
  <c r="H921"/>
  <c r="L921" s="1"/>
  <c r="I921"/>
  <c r="M921" s="1"/>
  <c r="H772"/>
  <c r="L772" s="1"/>
  <c r="I772"/>
  <c r="M772" s="1"/>
  <c r="G772"/>
  <c r="K772" s="1"/>
  <c r="I731"/>
  <c r="M731" s="1"/>
  <c r="G731"/>
  <c r="K731" s="1"/>
  <c r="H731"/>
  <c r="L731" s="1"/>
  <c r="H708"/>
  <c r="L708" s="1"/>
  <c r="I708"/>
  <c r="M708" s="1"/>
  <c r="G708"/>
  <c r="K708" s="1"/>
  <c r="I667"/>
  <c r="M667" s="1"/>
  <c r="G667"/>
  <c r="K667" s="1"/>
  <c r="H667"/>
  <c r="L667" s="1"/>
  <c r="I855"/>
  <c r="M855" s="1"/>
  <c r="G855"/>
  <c r="K855" s="1"/>
  <c r="H855"/>
  <c r="L855" s="1"/>
  <c r="I829"/>
  <c r="M829" s="1"/>
  <c r="G829"/>
  <c r="K829" s="1"/>
  <c r="I796"/>
  <c r="M796" s="1"/>
  <c r="G796"/>
  <c r="K796" s="1"/>
  <c r="H796"/>
  <c r="L796" s="1"/>
  <c r="H620"/>
  <c r="L620" s="1"/>
  <c r="I620"/>
  <c r="M620" s="1"/>
  <c r="G620"/>
  <c r="K620" s="1"/>
  <c r="I595"/>
  <c r="M595" s="1"/>
  <c r="G595"/>
  <c r="K595" s="1"/>
  <c r="H595"/>
  <c r="L595" s="1"/>
  <c r="H563"/>
  <c r="L563" s="1"/>
  <c r="G563"/>
  <c r="K563" s="1"/>
  <c r="I563"/>
  <c r="M563" s="1"/>
  <c r="G292"/>
  <c r="J292" s="1"/>
  <c r="F292"/>
  <c r="I292" s="1"/>
  <c r="F42"/>
  <c r="I42" s="1"/>
  <c r="G42"/>
  <c r="J42" s="1"/>
  <c r="G285"/>
  <c r="J285" s="1"/>
  <c r="F285"/>
  <c r="I285" s="1"/>
  <c r="G139"/>
  <c r="J139" s="1"/>
  <c r="F139"/>
  <c r="I139" s="1"/>
  <c r="F33"/>
  <c r="I33" s="1"/>
  <c r="G33"/>
  <c r="J33" s="1"/>
  <c r="G447"/>
  <c r="J447" s="1"/>
  <c r="F447"/>
  <c r="I447" s="1"/>
  <c r="G350"/>
  <c r="J350" s="1"/>
  <c r="F350"/>
  <c r="I350" s="1"/>
  <c r="F300"/>
  <c r="I300" s="1"/>
  <c r="G300"/>
  <c r="J300" s="1"/>
  <c r="G221"/>
  <c r="J221" s="1"/>
  <c r="F221"/>
  <c r="I221" s="1"/>
  <c r="G75"/>
  <c r="J75" s="1"/>
  <c r="F75"/>
  <c r="I75" s="1"/>
  <c r="G358"/>
  <c r="J358" s="1"/>
  <c r="F358"/>
  <c r="I358" s="1"/>
  <c r="H579"/>
  <c r="L579" s="1"/>
  <c r="I579"/>
  <c r="M579" s="1"/>
  <c r="G579"/>
  <c r="K579" s="1"/>
  <c r="G572"/>
  <c r="K572" s="1"/>
  <c r="I572"/>
  <c r="M572" s="1"/>
  <c r="H572"/>
  <c r="L572" s="1"/>
  <c r="G229"/>
  <c r="J229" s="1"/>
  <c r="F229"/>
  <c r="I229" s="1"/>
  <c r="F83"/>
  <c r="I83" s="1"/>
  <c r="G83"/>
  <c r="J83" s="1"/>
  <c r="G7"/>
  <c r="J7" s="1"/>
  <c r="F7"/>
  <c r="I7" s="1"/>
  <c r="F416"/>
  <c r="I416" s="1"/>
  <c r="G416"/>
  <c r="J416" s="1"/>
  <c r="G458"/>
  <c r="J458" s="1"/>
  <c r="F458"/>
  <c r="I458" s="1"/>
  <c r="G268"/>
  <c r="J268" s="1"/>
  <c r="F268"/>
  <c r="I268" s="1"/>
  <c r="G309"/>
  <c r="J309" s="1"/>
  <c r="F309"/>
  <c r="I309" s="1"/>
  <c r="G172"/>
  <c r="J172" s="1"/>
  <c r="F172"/>
  <c r="I172" s="1"/>
  <c r="G155"/>
  <c r="J155" s="1"/>
  <c r="F155"/>
  <c r="I155" s="1"/>
  <c r="F342"/>
  <c r="I342" s="1"/>
  <c r="G342"/>
  <c r="J342" s="1"/>
  <c r="H839"/>
  <c r="L839" s="1"/>
  <c r="G839"/>
  <c r="K839" s="1"/>
  <c r="I839"/>
  <c r="M839" s="1"/>
  <c r="H828"/>
  <c r="L828" s="1"/>
  <c r="I828"/>
  <c r="M828" s="1"/>
  <c r="G828"/>
  <c r="K828" s="1"/>
  <c r="G771"/>
  <c r="K771" s="1"/>
  <c r="I771"/>
  <c r="M771" s="1"/>
  <c r="H771"/>
  <c r="L771" s="1"/>
  <c r="H716"/>
  <c r="L716" s="1"/>
  <c r="G716"/>
  <c r="K716" s="1"/>
  <c r="I716"/>
  <c r="M716" s="1"/>
  <c r="H652"/>
  <c r="L652" s="1"/>
  <c r="G652"/>
  <c r="K652" s="1"/>
  <c r="I652"/>
  <c r="M652" s="1"/>
  <c r="H596"/>
  <c r="L596" s="1"/>
  <c r="G596"/>
  <c r="K596" s="1"/>
  <c r="I596"/>
  <c r="M596" s="1"/>
  <c r="G547"/>
  <c r="K547" s="1"/>
  <c r="G497"/>
  <c r="K497" s="1"/>
  <c r="I497"/>
  <c r="M497" s="1"/>
  <c r="H497"/>
  <c r="L497" s="1"/>
  <c r="F440"/>
  <c r="I440" s="1"/>
  <c r="G440"/>
  <c r="J440" s="1"/>
  <c r="F276"/>
  <c r="I276" s="1"/>
  <c r="G276"/>
  <c r="J276" s="1"/>
  <c r="F122"/>
  <c r="I122" s="1"/>
  <c r="G122"/>
  <c r="J122" s="1"/>
  <c r="F90"/>
  <c r="I90" s="1"/>
  <c r="G90"/>
  <c r="J90" s="1"/>
  <c r="F35"/>
  <c r="I35" s="1"/>
  <c r="G35"/>
  <c r="J35" s="1"/>
  <c r="G878"/>
  <c r="K878" s="1"/>
  <c r="H878"/>
  <c r="L878" s="1"/>
  <c r="I878"/>
  <c r="M878" s="1"/>
  <c r="G871"/>
  <c r="K871" s="1"/>
  <c r="H871"/>
  <c r="L871" s="1"/>
  <c r="I871"/>
  <c r="M871" s="1"/>
  <c r="H520"/>
  <c r="L520" s="1"/>
  <c r="I520"/>
  <c r="M520" s="1"/>
  <c r="G520"/>
  <c r="K520" s="1"/>
  <c r="G513"/>
  <c r="K513" s="1"/>
  <c r="H513"/>
  <c r="L513" s="1"/>
  <c r="I513"/>
  <c r="M513" s="1"/>
  <c r="G284"/>
  <c r="J284" s="1"/>
  <c r="F284"/>
  <c r="I284" s="1"/>
  <c r="G162"/>
  <c r="J162" s="1"/>
  <c r="F162"/>
  <c r="I162" s="1"/>
  <c r="I788"/>
  <c r="M788" s="1"/>
  <c r="G788"/>
  <c r="K788" s="1"/>
  <c r="H788"/>
  <c r="L788" s="1"/>
  <c r="H756"/>
  <c r="L756" s="1"/>
  <c r="G756"/>
  <c r="K756" s="1"/>
  <c r="I756"/>
  <c r="M756" s="1"/>
  <c r="I747"/>
  <c r="M747" s="1"/>
  <c r="G747"/>
  <c r="K747" s="1"/>
  <c r="H747"/>
  <c r="L747" s="1"/>
  <c r="H692"/>
  <c r="L692" s="1"/>
  <c r="G692"/>
  <c r="K692" s="1"/>
  <c r="I692"/>
  <c r="M692" s="1"/>
  <c r="I683"/>
  <c r="M683" s="1"/>
  <c r="G683"/>
  <c r="K683" s="1"/>
  <c r="H683"/>
  <c r="L683" s="1"/>
  <c r="I902"/>
  <c r="M902" s="1"/>
  <c r="G902"/>
  <c r="K902" s="1"/>
  <c r="H902"/>
  <c r="L902" s="1"/>
  <c r="H895"/>
  <c r="L895" s="1"/>
  <c r="I895"/>
  <c r="M895" s="1"/>
  <c r="G895"/>
  <c r="K895" s="1"/>
  <c r="I886"/>
  <c r="M886" s="1"/>
  <c r="G886"/>
  <c r="K886" s="1"/>
  <c r="H886"/>
  <c r="L886" s="1"/>
  <c r="H813"/>
  <c r="L813" s="1"/>
  <c r="G813"/>
  <c r="K813" s="1"/>
  <c r="I813"/>
  <c r="M813" s="1"/>
  <c r="H588"/>
  <c r="L588" s="1"/>
  <c r="I588"/>
  <c r="M588" s="1"/>
  <c r="G588"/>
  <c r="K588" s="1"/>
  <c r="G26"/>
  <c r="J26" s="1"/>
  <c r="F26"/>
  <c r="I26" s="1"/>
  <c r="G228"/>
  <c r="J228" s="1"/>
  <c r="F228"/>
  <c r="I228" s="1"/>
  <c r="G171"/>
  <c r="J171" s="1"/>
  <c r="F171"/>
  <c r="I171" s="1"/>
  <c r="G106"/>
  <c r="J106" s="1"/>
  <c r="F106"/>
  <c r="I106" s="1"/>
  <c r="F326"/>
  <c r="I326" s="1"/>
  <c r="G326"/>
  <c r="J326" s="1"/>
  <c r="F181"/>
  <c r="I181" s="1"/>
  <c r="G181"/>
  <c r="J181" s="1"/>
  <c r="F205"/>
  <c r="I205" s="1"/>
  <c r="G205"/>
  <c r="J205" s="1"/>
  <c r="G415"/>
  <c r="J415" s="1"/>
  <c r="F415"/>
  <c r="I415" s="1"/>
  <c r="F349"/>
  <c r="I349" s="1"/>
  <c r="G349"/>
  <c r="J349" s="1"/>
  <c r="F99"/>
  <c r="I99" s="1"/>
  <c r="G99"/>
  <c r="J99" s="1"/>
  <c r="F368"/>
  <c r="I368" s="1"/>
  <c r="G368"/>
  <c r="J368" s="1"/>
  <c r="I537"/>
  <c r="M537" s="1"/>
  <c r="H537"/>
  <c r="L537" s="1"/>
  <c r="G537"/>
  <c r="K537" s="1"/>
  <c r="G50"/>
  <c r="J50" s="1"/>
  <c r="F50"/>
  <c r="I50" s="1"/>
  <c r="G253"/>
  <c r="J253" s="1"/>
  <c r="F253"/>
  <c r="I253" s="1"/>
  <c r="G115"/>
  <c r="J115" s="1"/>
  <c r="F115"/>
  <c r="I115" s="1"/>
  <c r="F367"/>
  <c r="I367" s="1"/>
  <c r="G367"/>
  <c r="J367" s="1"/>
  <c r="F376"/>
  <c r="I376" s="1"/>
  <c r="G376"/>
  <c r="J376" s="1"/>
  <c r="G548"/>
  <c r="K548" s="1"/>
  <c r="G529"/>
  <c r="K529" s="1"/>
  <c r="H529"/>
  <c r="L529" s="1"/>
  <c r="I529"/>
  <c r="M529" s="1"/>
  <c r="G261"/>
  <c r="J261" s="1"/>
  <c r="F261"/>
  <c r="I261" s="1"/>
  <c r="G123"/>
  <c r="J123" s="1"/>
  <c r="F123"/>
  <c r="I123" s="1"/>
  <c r="G6"/>
  <c r="J6" s="1"/>
  <c r="F456"/>
  <c r="I456" s="1"/>
  <c r="G528"/>
  <c r="K528" s="1"/>
  <c r="H528"/>
  <c r="L528" s="1"/>
  <c r="I528"/>
  <c r="M528" s="1"/>
  <c r="G204"/>
  <c r="J204" s="1"/>
  <c r="F204"/>
  <c r="I204" s="1"/>
  <c r="G82"/>
  <c r="J82" s="1"/>
  <c r="F82"/>
  <c r="I82" s="1"/>
  <c r="G366"/>
  <c r="J366" s="1"/>
  <c r="F366"/>
  <c r="I366" s="1"/>
  <c r="F197"/>
  <c r="I197" s="1"/>
  <c r="G197"/>
  <c r="J197" s="1"/>
  <c r="G439"/>
  <c r="J439" s="1"/>
  <c r="F439"/>
  <c r="I439" s="1"/>
  <c r="G98"/>
  <c r="J98" s="1"/>
  <c r="F98"/>
  <c r="I98" s="1"/>
  <c r="G270" i="2"/>
  <c r="G206"/>
  <c r="G100"/>
  <c r="G30"/>
  <c r="G436"/>
  <c r="G227"/>
  <c r="G427"/>
  <c r="G409"/>
  <c r="G384"/>
  <c r="G429"/>
  <c r="G69"/>
  <c r="G426"/>
  <c r="G376"/>
  <c r="G142"/>
  <c r="G261"/>
  <c r="G435"/>
  <c r="G312"/>
  <c r="G437"/>
  <c r="G373"/>
  <c r="G67"/>
  <c r="G387"/>
  <c r="G88"/>
  <c r="G445"/>
  <c r="D413"/>
  <c r="E413" s="1"/>
  <c r="G438"/>
  <c r="G374"/>
  <c r="G425"/>
  <c r="G375"/>
  <c r="G385"/>
  <c r="G112"/>
  <c r="G316"/>
  <c r="G359"/>
  <c r="G377"/>
  <c r="G23"/>
  <c r="G130"/>
  <c r="G254"/>
  <c r="G220"/>
  <c r="G329"/>
  <c r="G320"/>
  <c r="G378"/>
  <c r="G386"/>
  <c r="D456"/>
  <c r="E456" s="1"/>
  <c r="D459"/>
  <c r="E459" s="1"/>
  <c r="D414"/>
  <c r="E414" s="1"/>
  <c r="G153"/>
  <c r="G181"/>
  <c r="G148"/>
  <c r="G169"/>
  <c r="G76"/>
  <c r="G82"/>
  <c r="G136"/>
  <c r="G298"/>
  <c r="G176"/>
  <c r="G201"/>
  <c r="G197"/>
  <c r="G192"/>
  <c r="G11"/>
  <c r="G17"/>
  <c r="G59"/>
  <c r="G94"/>
  <c r="G12"/>
  <c r="G77"/>
  <c r="G118"/>
  <c r="G106"/>
  <c r="G144"/>
  <c r="G78"/>
  <c r="G143"/>
  <c r="G43"/>
  <c r="G36"/>
  <c r="G272" l="1"/>
  <c r="G108"/>
  <c r="G273"/>
  <c r="G263"/>
  <c r="G292"/>
  <c r="G7" i="4"/>
  <c r="G89" i="2"/>
  <c r="G230"/>
  <c r="G244"/>
  <c r="G324"/>
  <c r="G22" i="36"/>
  <c r="G280" i="2"/>
  <c r="G341"/>
  <c r="G83"/>
  <c r="G32"/>
  <c r="G243"/>
  <c r="G114"/>
  <c r="G343"/>
  <c r="G264"/>
  <c r="G132"/>
  <c r="G242"/>
  <c r="G293"/>
  <c r="G120"/>
  <c r="G95"/>
  <c r="F10" i="4"/>
  <c r="F49" i="37"/>
  <c r="F19"/>
  <c r="E19" s="1"/>
  <c r="F18" i="4"/>
  <c r="F53" i="37"/>
  <c r="F31" i="4"/>
  <c r="F26" i="37"/>
  <c r="F22" i="4"/>
  <c r="F10" i="37"/>
  <c r="F35"/>
  <c r="E35" s="1"/>
  <c r="F34"/>
  <c r="F8" i="10"/>
  <c r="E8" s="1"/>
  <c r="F15" i="4"/>
  <c r="E14" s="1"/>
  <c r="G14" s="1"/>
  <c r="F41"/>
  <c r="E40" s="1"/>
  <c r="G40" s="1"/>
  <c r="F13" i="10"/>
  <c r="E13" s="1"/>
  <c r="F40" i="37"/>
  <c r="F27"/>
  <c r="F28"/>
  <c r="E26" s="1"/>
  <c r="G26" s="1"/>
  <c r="F48"/>
  <c r="F28" i="4"/>
  <c r="E28" s="1"/>
  <c r="F7" i="10"/>
  <c r="F42" i="37"/>
  <c r="E40" s="1"/>
  <c r="G40" s="1"/>
  <c r="F19" i="4"/>
  <c r="E19" s="1"/>
  <c r="F33" i="37"/>
  <c r="F55"/>
  <c r="E55" s="1"/>
  <c r="F18" i="10"/>
  <c r="E18" s="1"/>
  <c r="F41" i="37"/>
  <c r="F14" i="4"/>
  <c r="F17" i="37"/>
  <c r="F6" i="10"/>
  <c r="F36" i="4"/>
  <c r="F44"/>
  <c r="F16" i="10"/>
  <c r="F50" i="37"/>
  <c r="E47" s="1"/>
  <c r="G47" s="1"/>
  <c r="F11" i="10"/>
  <c r="F18" i="37"/>
  <c r="F45" i="4"/>
  <c r="E45" s="1"/>
  <c r="F32"/>
  <c r="E31" s="1"/>
  <c r="G31" s="1"/>
  <c r="F23"/>
  <c r="E23" s="1"/>
  <c r="F37"/>
  <c r="E36" s="1"/>
  <c r="G36" s="1"/>
  <c r="F27"/>
  <c r="F17" i="10"/>
  <c r="F12" i="37"/>
  <c r="E12" s="1"/>
  <c r="F11" i="4"/>
  <c r="E10" s="1"/>
  <c r="G10" s="1"/>
  <c r="F12" i="10"/>
  <c r="F54" i="37"/>
  <c r="F11"/>
  <c r="F17" i="12"/>
  <c r="F18"/>
  <c r="E18" s="1"/>
  <c r="E4"/>
  <c r="G4" s="1"/>
  <c r="F4"/>
  <c r="G35" i="8"/>
  <c r="G126" i="2"/>
  <c r="G125"/>
  <c r="G36" i="8"/>
  <c r="L6" i="46"/>
  <c r="M6" s="1"/>
  <c r="N6" s="1"/>
  <c r="B9" i="29" s="1"/>
  <c r="G20" i="36"/>
  <c r="G342" i="2"/>
  <c r="G63" i="38"/>
  <c r="G452" i="2"/>
  <c r="F8" i="7"/>
  <c r="G124" i="2"/>
  <c r="G59" i="38"/>
  <c r="G56"/>
  <c r="G62"/>
  <c r="G57"/>
  <c r="G26" i="36"/>
  <c r="G60" i="38"/>
  <c r="G61"/>
  <c r="L333" i="46"/>
  <c r="M333" s="1"/>
  <c r="N333" s="1"/>
  <c r="H210" i="29" s="1"/>
  <c r="G24" i="36"/>
  <c r="G23"/>
  <c r="G25"/>
  <c r="F13" i="7"/>
  <c r="E12" s="1"/>
  <c r="G299" i="2"/>
  <c r="F42" i="38"/>
  <c r="E41" s="1"/>
  <c r="G41" s="1"/>
  <c r="F41"/>
  <c r="F28"/>
  <c r="E27" s="1"/>
  <c r="G27" s="1"/>
  <c r="F27"/>
  <c r="F20"/>
  <c r="E20" s="1"/>
  <c r="F19"/>
  <c r="F12"/>
  <c r="E11" s="1"/>
  <c r="G11" s="1"/>
  <c r="F11"/>
  <c r="E4"/>
  <c r="G4" s="1"/>
  <c r="F4"/>
  <c r="F5" i="7"/>
  <c r="F9"/>
  <c r="E8" s="1"/>
  <c r="G301" i="2"/>
  <c r="G60"/>
  <c r="G62"/>
  <c r="G70"/>
  <c r="G236"/>
  <c r="G138"/>
  <c r="G53"/>
  <c r="G52"/>
  <c r="G102"/>
  <c r="G228"/>
  <c r="G237"/>
  <c r="G287"/>
  <c r="G229"/>
  <c r="G286"/>
  <c r="G450"/>
  <c r="L431" i="46"/>
  <c r="M431" s="1"/>
  <c r="N431" s="1"/>
  <c r="G101" i="2"/>
  <c r="G279"/>
  <c r="O878" i="46"/>
  <c r="Q878" s="1"/>
  <c r="R878" s="1"/>
  <c r="J256" i="32" s="1"/>
  <c r="L268" i="46"/>
  <c r="M268" s="1"/>
  <c r="N268" s="1"/>
  <c r="H169" i="29" s="1"/>
  <c r="L292" i="46"/>
  <c r="M292" s="1"/>
  <c r="N292" s="1"/>
  <c r="B189" i="29" s="1"/>
  <c r="O796" i="46"/>
  <c r="Q796" s="1"/>
  <c r="R796" s="1"/>
  <c r="J206" i="32" s="1"/>
  <c r="O667" i="46"/>
  <c r="Q667" s="1"/>
  <c r="R667" s="1"/>
  <c r="J125" i="32" s="1"/>
  <c r="L146" i="46"/>
  <c r="M146" s="1"/>
  <c r="N146" s="1"/>
  <c r="B96" i="29" s="1"/>
  <c r="O739" i="46"/>
  <c r="Q739" s="1"/>
  <c r="R739" s="1"/>
  <c r="B175" i="32" s="1"/>
  <c r="L407" i="46"/>
  <c r="M407" s="1"/>
  <c r="N407" s="1"/>
  <c r="B264" i="29" s="1"/>
  <c r="O643" i="46"/>
  <c r="Q643" s="1"/>
  <c r="R643" s="1"/>
  <c r="B115" i="32" s="1"/>
  <c r="O699" i="46"/>
  <c r="Q699" s="1"/>
  <c r="R699" s="1"/>
  <c r="J145" i="32" s="1"/>
  <c r="L455" i="46"/>
  <c r="M455" s="1"/>
  <c r="N455" s="1"/>
  <c r="B302" i="29" s="1"/>
  <c r="O828" i="46"/>
  <c r="Q828" s="1"/>
  <c r="R828" s="1"/>
  <c r="J227" i="32" s="1"/>
  <c r="L82" i="46"/>
  <c r="M82" s="1"/>
  <c r="N82" s="1"/>
  <c r="B56" i="29" s="1"/>
  <c r="L171" i="46"/>
  <c r="M171" s="1"/>
  <c r="N171" s="1"/>
  <c r="H106" i="29" s="1"/>
  <c r="L284" i="46"/>
  <c r="M284" s="1"/>
  <c r="N284" s="1"/>
  <c r="H179" i="29" s="1"/>
  <c r="O691" i="46"/>
  <c r="Q691" s="1"/>
  <c r="R691" s="1"/>
  <c r="B145" i="32" s="1"/>
  <c r="O715" i="46"/>
  <c r="Q715" s="1"/>
  <c r="R715" s="1"/>
  <c r="J155" i="32" s="1"/>
  <c r="L90" i="46"/>
  <c r="M90" s="1"/>
  <c r="N90" s="1"/>
  <c r="H54" i="29" s="1"/>
  <c r="L42" i="46"/>
  <c r="M42" s="1"/>
  <c r="N42" s="1"/>
  <c r="H20" i="29" s="1"/>
  <c r="L98" i="46"/>
  <c r="M98" s="1"/>
  <c r="N98" s="1"/>
  <c r="B66" i="29" s="1"/>
  <c r="L439" i="46"/>
  <c r="M439" s="1"/>
  <c r="N439" s="1"/>
  <c r="B286" i="29" s="1"/>
  <c r="L204" i="46"/>
  <c r="M204" s="1"/>
  <c r="N204" s="1"/>
  <c r="H128" i="29" s="1"/>
  <c r="O528" i="46"/>
  <c r="Q528" s="1"/>
  <c r="R528" s="1"/>
  <c r="B42" i="32" s="1"/>
  <c r="L415" i="46"/>
  <c r="M415" s="1"/>
  <c r="N415" s="1"/>
  <c r="H264" i="29" s="1"/>
  <c r="L106" i="46"/>
  <c r="M106" s="1"/>
  <c r="N106" s="1"/>
  <c r="H66" i="29" s="1"/>
  <c r="L228" i="46"/>
  <c r="M228" s="1"/>
  <c r="N228" s="1"/>
  <c r="B149" i="29" s="1"/>
  <c r="O902" i="46"/>
  <c r="Q902" s="1"/>
  <c r="R902" s="1"/>
  <c r="B278" i="32" s="1"/>
  <c r="O747" i="46"/>
  <c r="Q747" s="1"/>
  <c r="R747" s="1"/>
  <c r="J175" i="32" s="1"/>
  <c r="L162" i="46"/>
  <c r="M162" s="1"/>
  <c r="N162" s="1"/>
  <c r="B106" i="29" s="1"/>
  <c r="O579" i="46"/>
  <c r="Q579" s="1"/>
  <c r="R579" s="1"/>
  <c r="B75" i="32" s="1"/>
  <c r="O563" i="46"/>
  <c r="Q563" s="1"/>
  <c r="R563" s="1"/>
  <c r="B65" i="32" s="1"/>
  <c r="L188" i="46"/>
  <c r="M188" s="1"/>
  <c r="N188" s="1"/>
  <c r="H117" i="29" s="1"/>
  <c r="O838" i="46"/>
  <c r="Q838" s="1"/>
  <c r="R838" s="1"/>
  <c r="B237" i="32" s="1"/>
  <c r="O571" i="46"/>
  <c r="Q571" s="1"/>
  <c r="R571" s="1"/>
  <c r="J65" i="32" s="1"/>
  <c r="L375" i="46"/>
  <c r="M375" s="1"/>
  <c r="N375" s="1"/>
  <c r="B245" i="29" s="1"/>
  <c r="L196" i="46"/>
  <c r="M196" s="1"/>
  <c r="N196" s="1"/>
  <c r="B128" i="29" s="1"/>
  <c r="O487" i="46"/>
  <c r="Q487" s="1"/>
  <c r="R487" s="1"/>
  <c r="J9" i="32" s="1"/>
  <c r="O611" i="46"/>
  <c r="Q611" s="1"/>
  <c r="R611" s="1"/>
  <c r="B95" i="32" s="1"/>
  <c r="O862" i="46"/>
  <c r="Q862" s="1"/>
  <c r="R862" s="1"/>
  <c r="J246" i="32" s="1"/>
  <c r="L66" i="46"/>
  <c r="M66" s="1"/>
  <c r="N66" s="1"/>
  <c r="B43" i="29" s="1"/>
  <c r="L212" i="46"/>
  <c r="M212" s="1"/>
  <c r="N212" s="1"/>
  <c r="B139" i="29" s="1"/>
  <c r="O587" i="46"/>
  <c r="Q587" s="1"/>
  <c r="R587" s="1"/>
  <c r="J75" i="32" s="1"/>
  <c r="O675" i="46"/>
  <c r="Q675" s="1"/>
  <c r="R675" s="1"/>
  <c r="B135" i="32" s="1"/>
  <c r="L58" i="46"/>
  <c r="M58" s="1"/>
  <c r="N58" s="1"/>
  <c r="H31" i="29" s="1"/>
  <c r="L236" i="46"/>
  <c r="M236" s="1"/>
  <c r="N236" s="1"/>
  <c r="H149" i="29" s="1"/>
  <c r="O820" i="46"/>
  <c r="Q820" s="1"/>
  <c r="R820" s="1"/>
  <c r="B225" i="32" s="1"/>
  <c r="L252" i="46"/>
  <c r="M252" s="1"/>
  <c r="N252" s="1"/>
  <c r="H159" i="29" s="1"/>
  <c r="O504" i="46"/>
  <c r="Q504" s="1"/>
  <c r="R504" s="1"/>
  <c r="J19" i="32" s="1"/>
  <c r="L154" i="46"/>
  <c r="M154" s="1"/>
  <c r="N154" s="1"/>
  <c r="H96" i="29" s="1"/>
  <c r="O659" i="46"/>
  <c r="Q659" s="1"/>
  <c r="R659" s="1"/>
  <c r="B125" i="32" s="1"/>
  <c r="L50" i="46"/>
  <c r="M50" s="1"/>
  <c r="N50" s="1"/>
  <c r="B31" i="29" s="1"/>
  <c r="L349" i="46"/>
  <c r="M349" s="1"/>
  <c r="N349" s="1"/>
  <c r="H221" i="29" s="1"/>
  <c r="O520" i="46"/>
  <c r="Q520" s="1"/>
  <c r="R520" s="1"/>
  <c r="J31" i="32" s="1"/>
  <c r="L447" i="46"/>
  <c r="M447" s="1"/>
  <c r="N447" s="1"/>
  <c r="H287" i="29" s="1"/>
  <c r="O595" i="46"/>
  <c r="Q595" s="1"/>
  <c r="R595" s="1"/>
  <c r="B85" i="32" s="1"/>
  <c r="O731" i="46"/>
  <c r="Q731" s="1"/>
  <c r="R731" s="1"/>
  <c r="J165" i="32" s="1"/>
  <c r="O635" i="46"/>
  <c r="Q635" s="1"/>
  <c r="R635" s="1"/>
  <c r="J105" i="32" s="1"/>
  <c r="O755" i="46"/>
  <c r="Q755" s="1"/>
  <c r="R755" s="1"/>
  <c r="B185" i="32" s="1"/>
  <c r="L25" i="46"/>
  <c r="M25" s="1"/>
  <c r="N25" s="1"/>
  <c r="H9" i="29" s="1"/>
  <c r="L383" i="46"/>
  <c r="M383" s="1"/>
  <c r="N383" s="1"/>
  <c r="H245" i="29" s="1"/>
  <c r="L74" i="46"/>
  <c r="M74" s="1"/>
  <c r="N74" s="1"/>
  <c r="H43" i="29" s="1"/>
  <c r="L399" i="46"/>
  <c r="M399" s="1"/>
  <c r="N399" s="1"/>
  <c r="H254" i="29" s="1"/>
  <c r="L114" i="46"/>
  <c r="M114" s="1"/>
  <c r="N114" s="1"/>
  <c r="B76" i="29" s="1"/>
  <c r="O804" i="46"/>
  <c r="Q804" s="1"/>
  <c r="R804" s="1"/>
  <c r="B215" i="32" s="1"/>
  <c r="O651" i="46"/>
  <c r="Q651" s="1"/>
  <c r="R651" s="1"/>
  <c r="J115" i="32" s="1"/>
  <c r="O536" i="46"/>
  <c r="Q536" s="1"/>
  <c r="R536" s="1"/>
  <c r="J42" i="32" s="1"/>
  <c r="O619" i="46"/>
  <c r="Q619" s="1"/>
  <c r="R619" s="1"/>
  <c r="J95" i="32" s="1"/>
  <c r="O555" i="46"/>
  <c r="Q555" s="1"/>
  <c r="R555" s="1"/>
  <c r="J52" i="32" s="1"/>
  <c r="L260" i="46"/>
  <c r="M260" s="1"/>
  <c r="N260" s="1"/>
  <c r="B169" i="29" s="1"/>
  <c r="L423" i="46"/>
  <c r="M423" s="1"/>
  <c r="N423" s="1"/>
  <c r="L391"/>
  <c r="M391" s="1"/>
  <c r="N391" s="1"/>
  <c r="B254" i="29" s="1"/>
  <c r="O763" i="46"/>
  <c r="Q763" s="1"/>
  <c r="R763" s="1"/>
  <c r="J185" i="32" s="1"/>
  <c r="O544" i="46"/>
  <c r="Q544" s="1"/>
  <c r="R544" s="1"/>
  <c r="B55" i="32" s="1"/>
  <c r="O886" i="46"/>
  <c r="Q886" s="1"/>
  <c r="R886" s="1"/>
  <c r="B267" i="32" s="1"/>
  <c r="O683" i="46"/>
  <c r="Q683" s="1"/>
  <c r="R683" s="1"/>
  <c r="J135" i="32" s="1"/>
  <c r="O788" i="46"/>
  <c r="Q788" s="1"/>
  <c r="R788" s="1"/>
  <c r="B206" i="32" s="1"/>
  <c r="L122" i="46"/>
  <c r="M122" s="1"/>
  <c r="N122" s="1"/>
  <c r="H76" i="29" s="1"/>
  <c r="L276" i="46"/>
  <c r="M276" s="1"/>
  <c r="N276" s="1"/>
  <c r="B179" i="29" s="1"/>
  <c r="O771" i="46"/>
  <c r="Q771" s="1"/>
  <c r="R771" s="1"/>
  <c r="B195" i="32" s="1"/>
  <c r="L300" i="46"/>
  <c r="M300" s="1"/>
  <c r="N300" s="1"/>
  <c r="H189" i="29" s="1"/>
  <c r="L33" i="46"/>
  <c r="M33" s="1"/>
  <c r="N33" s="1"/>
  <c r="B20" i="29" s="1"/>
  <c r="L325" i="46"/>
  <c r="M325" s="1"/>
  <c r="N325" s="1"/>
  <c r="B210" i="29" s="1"/>
  <c r="O495" i="46"/>
  <c r="Q495" s="1"/>
  <c r="R495" s="1"/>
  <c r="B20" i="32" s="1"/>
  <c r="O812" i="46"/>
  <c r="Q812" s="1"/>
  <c r="R812" s="1"/>
  <c r="J215" i="32" s="1"/>
  <c r="O854" i="46"/>
  <c r="Q854" s="1"/>
  <c r="R854" s="1"/>
  <c r="B246" i="32" s="1"/>
  <c r="O870" i="46"/>
  <c r="Q870" s="1"/>
  <c r="R870" s="1"/>
  <c r="B256" i="32" s="1"/>
  <c r="L220" i="46"/>
  <c r="M220" s="1"/>
  <c r="N220" s="1"/>
  <c r="H139" i="29" s="1"/>
  <c r="O894" i="46"/>
  <c r="Q894" s="1"/>
  <c r="R894" s="1"/>
  <c r="J267" i="32" s="1"/>
  <c r="L308" i="46"/>
  <c r="M308" s="1"/>
  <c r="N308" s="1"/>
  <c r="B199" i="29" s="1"/>
  <c r="O707" i="46"/>
  <c r="Q707" s="1"/>
  <c r="R707" s="1"/>
  <c r="L180"/>
  <c r="M180" s="1"/>
  <c r="N180" s="1"/>
  <c r="B117" i="29" s="1"/>
  <c r="O512" i="46"/>
  <c r="Q512" s="1"/>
  <c r="R512" s="1"/>
  <c r="B31" i="32" s="1"/>
  <c r="O846" i="46"/>
  <c r="Q846" s="1"/>
  <c r="R846" s="1"/>
  <c r="J237" i="32" s="1"/>
  <c r="L130" i="46"/>
  <c r="M130" s="1"/>
  <c r="N130" s="1"/>
  <c r="B86" i="29" s="1"/>
  <c r="O910" i="46"/>
  <c r="Q910" s="1"/>
  <c r="R910" s="1"/>
  <c r="J278" i="32" s="1"/>
  <c r="L244" i="46"/>
  <c r="M244" s="1"/>
  <c r="N244" s="1"/>
  <c r="B159" i="29" s="1"/>
  <c r="O603" i="46"/>
  <c r="Q603" s="1"/>
  <c r="R603" s="1"/>
  <c r="J85" i="32" s="1"/>
  <c r="O723" i="46"/>
  <c r="Q723" s="1"/>
  <c r="R723" s="1"/>
  <c r="B165" i="32" s="1"/>
  <c r="L341" i="46"/>
  <c r="M341" s="1"/>
  <c r="N341" s="1"/>
  <c r="B221" i="29" s="1"/>
  <c r="L365" i="46"/>
  <c r="M365" s="1"/>
  <c r="N365" s="1"/>
  <c r="H234" i="29" s="1"/>
  <c r="L138" i="46"/>
  <c r="M138" s="1"/>
  <c r="N138" s="1"/>
  <c r="H86" i="29" s="1"/>
  <c r="L357" i="46"/>
  <c r="M357" s="1"/>
  <c r="N357" s="1"/>
  <c r="B232" i="29" s="1"/>
  <c r="O468" i="46"/>
  <c r="Q468" s="1"/>
  <c r="R468" s="1"/>
  <c r="B9" i="32" s="1"/>
  <c r="O627" i="46"/>
  <c r="Q627" s="1"/>
  <c r="R627" s="1"/>
  <c r="B105" i="32" s="1"/>
  <c r="O918" i="46"/>
  <c r="Q918" s="1"/>
  <c r="R918" s="1"/>
  <c r="B292" i="32" s="1"/>
  <c r="G278" i="2"/>
  <c r="G257"/>
  <c r="G256"/>
  <c r="G137"/>
  <c r="G68"/>
  <c r="G44"/>
  <c r="G164"/>
  <c r="G456"/>
  <c r="G459"/>
  <c r="G414"/>
  <c r="G413"/>
  <c r="G162"/>
  <c r="G158"/>
  <c r="G163"/>
  <c r="G161"/>
  <c r="G159"/>
  <c r="G165"/>
  <c r="E6" i="10" l="1"/>
  <c r="G6" s="1"/>
  <c r="E54" i="37"/>
  <c r="E18"/>
  <c r="E33"/>
  <c r="G33" s="1"/>
  <c r="E7" i="10"/>
  <c r="E12"/>
  <c r="E11"/>
  <c r="G11" s="1"/>
  <c r="E17" i="37"/>
  <c r="G17" s="1"/>
  <c r="E15" i="4"/>
  <c r="G15" s="1"/>
  <c r="E41" i="37"/>
  <c r="G41" s="1"/>
  <c r="E17" i="10"/>
  <c r="E27" i="4"/>
  <c r="G27" s="1"/>
  <c r="E32"/>
  <c r="G32" s="1"/>
  <c r="E16" i="10"/>
  <c r="G16" s="1"/>
  <c r="E11" i="4"/>
  <c r="G11" s="1"/>
  <c r="E50" i="37"/>
  <c r="E28"/>
  <c r="E34"/>
  <c r="E27"/>
  <c r="G27" s="1"/>
  <c r="H275" i="29"/>
  <c r="B275"/>
  <c r="E48" i="37"/>
  <c r="G48" s="1"/>
  <c r="E44" i="4"/>
  <c r="G44" s="1"/>
  <c r="E10" i="37"/>
  <c r="G10" s="1"/>
  <c r="E53"/>
  <c r="G53" s="1"/>
  <c r="E17" i="12"/>
  <c r="G17" s="1"/>
  <c r="E37" i="4"/>
  <c r="G37" s="1"/>
  <c r="E42" i="37"/>
  <c r="E41" i="4"/>
  <c r="G41" s="1"/>
  <c r="E22"/>
  <c r="G22" s="1"/>
  <c r="E18"/>
  <c r="G18" s="1"/>
  <c r="E11" i="37"/>
  <c r="E49"/>
  <c r="G5" i="12"/>
  <c r="G12" i="7"/>
  <c r="E13"/>
  <c r="E42" i="38"/>
  <c r="G42" s="1"/>
  <c r="E28"/>
  <c r="G28" s="1"/>
  <c r="E19"/>
  <c r="G19" s="1"/>
  <c r="E12"/>
  <c r="G12" s="1"/>
  <c r="G5"/>
  <c r="E4" i="7"/>
  <c r="G4" s="1"/>
  <c r="E5"/>
  <c r="G8"/>
  <c r="E9"/>
  <c r="G11" i="37" l="1"/>
  <c r="G7" i="10"/>
  <c r="G28" i="4"/>
  <c r="G8" i="10"/>
  <c r="G35" i="37"/>
  <c r="G42"/>
  <c r="G19"/>
  <c r="G18"/>
  <c r="G12" i="10"/>
  <c r="G49" i="37"/>
  <c r="G13" i="10"/>
  <c r="G28" i="37"/>
  <c r="G17" i="10"/>
  <c r="G18"/>
  <c r="G34" i="37"/>
  <c r="G54"/>
  <c r="G45" i="4"/>
  <c r="G12" i="37"/>
  <c r="G19" i="4"/>
  <c r="G23"/>
  <c r="G18" i="12"/>
  <c r="G50" i="37"/>
  <c r="G55"/>
  <c r="G5" i="7"/>
  <c r="G13"/>
  <c r="G20" i="38"/>
  <c r="G9" i="7"/>
</calcChain>
</file>

<file path=xl/comments1.xml><?xml version="1.0" encoding="utf-8"?>
<comments xmlns="http://schemas.openxmlformats.org/spreadsheetml/2006/main">
  <authors>
    <author>Mélanie Tessier</author>
  </authors>
  <commentList>
    <comment ref="AA2" authorId="0">
      <text>
        <r>
          <rPr>
            <b/>
            <sz val="9"/>
            <color indexed="81"/>
            <rFont val="Tahoma"/>
            <family val="2"/>
          </rPr>
          <t>Indiquez 1 : si la réponse est cochée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2" authorId="0">
      <text>
        <r>
          <rPr>
            <b/>
            <sz val="9"/>
            <color indexed="81"/>
            <rFont val="Tahoma"/>
            <family val="2"/>
          </rPr>
          <t>Indiquez 1 : si la réponse est cochée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2" authorId="0">
      <text>
        <r>
          <rPr>
            <b/>
            <sz val="9"/>
            <color indexed="81"/>
            <rFont val="Tahoma"/>
            <family val="2"/>
          </rPr>
          <t>Indiquez 1 : si la réponse est cochée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2" authorId="0">
      <text>
        <r>
          <rPr>
            <b/>
            <sz val="9"/>
            <color indexed="81"/>
            <rFont val="Tahoma"/>
            <family val="2"/>
          </rPr>
          <t>Indiquez 1 : si la réponse est cochée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2" authorId="0">
      <text>
        <r>
          <rPr>
            <b/>
            <sz val="9"/>
            <color indexed="81"/>
            <rFont val="Tahoma"/>
            <family val="2"/>
          </rPr>
          <t>Indiquez 1 : si la réponse est cochée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F2" authorId="0">
      <text>
        <r>
          <rPr>
            <b/>
            <sz val="9"/>
            <color indexed="81"/>
            <rFont val="Tahoma"/>
            <family val="2"/>
          </rPr>
          <t>Indiquez 1 : si la réponse est cochée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2" authorId="0">
      <text>
        <r>
          <rPr>
            <b/>
            <sz val="9"/>
            <color indexed="81"/>
            <rFont val="Tahoma"/>
            <family val="2"/>
          </rPr>
          <t>Indiquez 1 : si la réponse est cochée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H2" authorId="0">
      <text>
        <r>
          <rPr>
            <b/>
            <sz val="9"/>
            <color indexed="81"/>
            <rFont val="Tahoma"/>
            <family val="2"/>
          </rPr>
          <t>Indiquez 1 : si la réponse est cochée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I2" authorId="0">
      <text>
        <r>
          <rPr>
            <b/>
            <sz val="9"/>
            <color indexed="81"/>
            <rFont val="Tahoma"/>
            <family val="2"/>
          </rPr>
          <t>Indiquez 1 : si la réponse est cochée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<sst xmlns="http://schemas.openxmlformats.org/spreadsheetml/2006/main" count="6100" uniqueCount="969">
  <si>
    <t>demeurez-vous à cette adresse ?</t>
  </si>
  <si>
    <t>Moins de 2 ans</t>
  </si>
  <si>
    <t>5 ans et plus</t>
  </si>
  <si>
    <t>Plus en sécurité</t>
  </si>
  <si>
    <t>Moins en sécurité</t>
  </si>
  <si>
    <t>Peu ou pas de changement</t>
  </si>
  <si>
    <t>RÉPONSES</t>
  </si>
  <si>
    <t>QUESTIONS</t>
  </si>
  <si>
    <t>Très sécuritaire</t>
  </si>
  <si>
    <t>Assez sécuritaire</t>
  </si>
  <si>
    <t>Peu sécuritaire</t>
  </si>
  <si>
    <t>Pas du tout sécuritaire</t>
  </si>
  <si>
    <t>Souvent</t>
  </si>
  <si>
    <t>Quelquefois</t>
  </si>
  <si>
    <t>Rarement</t>
  </si>
  <si>
    <t>Jamais</t>
  </si>
  <si>
    <t>FRÉQUENCE</t>
  </si>
  <si>
    <t>POURCENTAGE</t>
  </si>
  <si>
    <t>FREQ.CUMULÉ</t>
  </si>
  <si>
    <t>POURC.CUMULÉ</t>
  </si>
  <si>
    <t>CODE</t>
  </si>
  <si>
    <t>Très élevé</t>
  </si>
  <si>
    <t>Plutôt élevé</t>
  </si>
  <si>
    <t>Plutôt faible</t>
  </si>
  <si>
    <t>Très faible</t>
  </si>
  <si>
    <t>le risque d'être personnellement</t>
  </si>
  <si>
    <t xml:space="preserve">Au cours des deux dernières années, </t>
  </si>
  <si>
    <t>discrimination ?</t>
  </si>
  <si>
    <t>Très fréquents</t>
  </si>
  <si>
    <t>Peu fréquents</t>
  </si>
  <si>
    <t>Assez fréquents</t>
  </si>
  <si>
    <t>Pas du tout fréquents</t>
  </si>
  <si>
    <t>Assez élevé</t>
  </si>
  <si>
    <t>Faible</t>
  </si>
  <si>
    <t>Inexistant</t>
  </si>
  <si>
    <t>Oui</t>
  </si>
  <si>
    <t>Non</t>
  </si>
  <si>
    <t xml:space="preserve">Y a-t-il d'autres individus ou des </t>
  </si>
  <si>
    <t xml:space="preserve">groupes d'individus dont les </t>
  </si>
  <si>
    <t>sécurité.</t>
  </si>
  <si>
    <t>des douze (12) derniers mois ?</t>
  </si>
  <si>
    <t>Ne s'applique pas</t>
  </si>
  <si>
    <t xml:space="preserve">appareil(s) a-t-il été vérifié, au cours </t>
  </si>
  <si>
    <t xml:space="preserve">ou sportives organisées par les gens </t>
  </si>
  <si>
    <t>domicile.</t>
  </si>
  <si>
    <t>vérifié, au cours des douze (12) derniers mois ?</t>
  </si>
  <si>
    <t>est …</t>
  </si>
  <si>
    <t>Aucune</t>
  </si>
  <si>
    <t>1 fois</t>
  </si>
  <si>
    <t>2 fois</t>
  </si>
  <si>
    <t>3 fois ou plus</t>
  </si>
  <si>
    <t xml:space="preserve">En vous référant à l'événement le plus </t>
  </si>
  <si>
    <t>Une seule fois</t>
  </si>
  <si>
    <t>était-ce … ?</t>
  </si>
  <si>
    <t>Question 30</t>
  </si>
  <si>
    <t>Femme</t>
  </si>
  <si>
    <t xml:space="preserve">Marié(e) </t>
  </si>
  <si>
    <t>Célibataire</t>
  </si>
  <si>
    <t>En union de fait</t>
  </si>
  <si>
    <t>Veuf / veuve</t>
  </si>
  <si>
    <t xml:space="preserve">Séparé(e) </t>
  </si>
  <si>
    <t xml:space="preserve">Divorcé(e) </t>
  </si>
  <si>
    <t>Autre</t>
  </si>
  <si>
    <t>Toxicomanes ou revendeur de drogue</t>
  </si>
  <si>
    <t xml:space="preserve">De quel type ou groupe d'individus </t>
  </si>
  <si>
    <t>s'agit-il ?</t>
  </si>
  <si>
    <t>Gangs de motards / milieu criminel</t>
  </si>
  <si>
    <t>Sollicitation (vendeurs, mouvements religieux, ex-détenus, etc.)</t>
  </si>
  <si>
    <t>Itinérants</t>
  </si>
  <si>
    <t>Individus ou groupes d'individus en état d'ébriété</t>
  </si>
  <si>
    <t>Voisins</t>
  </si>
  <si>
    <t>Très ou assez sécuritaire</t>
  </si>
  <si>
    <t>Peu ou pas du tout sécuritaire</t>
  </si>
  <si>
    <t>1 ou 2</t>
  </si>
  <si>
    <t>3 ou 4</t>
  </si>
  <si>
    <t>Souvent ou quelquefois</t>
  </si>
  <si>
    <t>Rarement ou jamais</t>
  </si>
  <si>
    <t>Très ou assez fréquents</t>
  </si>
  <si>
    <t>Peu ou pas du tout fréquents</t>
  </si>
  <si>
    <t>Très ou assez élevé</t>
  </si>
  <si>
    <t>Faible ou inexistant</t>
  </si>
  <si>
    <t>Très ou assez satisfait</t>
  </si>
  <si>
    <t>Peu ou pas du tout satisfait</t>
  </si>
  <si>
    <t>Quel est votre âge ?</t>
  </si>
  <si>
    <t>Entre 18 et 39 ans</t>
  </si>
  <si>
    <t>Entre 40 et 64 ans</t>
  </si>
  <si>
    <t xml:space="preserve">18 et 39 ans </t>
  </si>
  <si>
    <t>40 et 64 ans</t>
  </si>
  <si>
    <t xml:space="preserve"> dans les lieux publics sont …</t>
  </si>
  <si>
    <t xml:space="preserve"> jeunes sont-ils pour vous une source de menace ou d'insécurité ?</t>
  </si>
  <si>
    <t>65 ans et plus</t>
  </si>
  <si>
    <t xml:space="preserve">Variable ME  </t>
  </si>
  <si>
    <t>Vivre avec ou sans enfant  dans le</t>
  </si>
  <si>
    <t>ménage</t>
  </si>
  <si>
    <t>Variable MS</t>
  </si>
  <si>
    <t>Personne vivant seule ou avec d'autres</t>
  </si>
  <si>
    <t>Vivre seul</t>
  </si>
  <si>
    <t>Vivre avec un enfant</t>
  </si>
  <si>
    <t>Vivre sans enfant</t>
  </si>
  <si>
    <t>Variable M</t>
  </si>
  <si>
    <t xml:space="preserve">Nombre de personnes dans le </t>
  </si>
  <si>
    <t>Calcul de l'âge</t>
  </si>
  <si>
    <t xml:space="preserve">Homme </t>
  </si>
  <si>
    <t>N</t>
  </si>
  <si>
    <t>%</t>
  </si>
  <si>
    <t>Vivre avec une personne</t>
  </si>
  <si>
    <t>Vivre avec deux personnes</t>
  </si>
  <si>
    <t>Vivre avec trois personnes</t>
  </si>
  <si>
    <t>Vivre avec quatre personnes et plus</t>
  </si>
  <si>
    <t>Répondant</t>
  </si>
  <si>
    <t>Nombre de Répondant</t>
  </si>
  <si>
    <t>Calcul vivre seul (MS)</t>
  </si>
  <si>
    <t>Calcul ménage (M)</t>
  </si>
  <si>
    <t>Calcul enfant (ME)</t>
  </si>
  <si>
    <t>consommation d'alcool dans les lieux publics sont …</t>
  </si>
  <si>
    <t>personnes est …</t>
  </si>
  <si>
    <t>entre la plupart des personnes est …</t>
  </si>
  <si>
    <t xml:space="preserve">dans un comité ou un organisme </t>
  </si>
  <si>
    <t xml:space="preserve">préoccupé par les problèmes de </t>
  </si>
  <si>
    <t xml:space="preserve">dans des assemblées du conseil </t>
  </si>
  <si>
    <t>municipal ?</t>
  </si>
  <si>
    <t xml:space="preserve">dans des activités communautaires, </t>
  </si>
  <si>
    <t>d'entraide ou de bénévolat.</t>
  </si>
  <si>
    <t>vos activités ?</t>
  </si>
  <si>
    <t xml:space="preserve">professionnel de la santé ou limiter </t>
  </si>
  <si>
    <t xml:space="preserve">dans des activités sociales, culturelles </t>
  </si>
  <si>
    <t>Depuis combien de temps demeurez-vous à cette adresse ?</t>
  </si>
  <si>
    <t>Question 1</t>
  </si>
  <si>
    <t>Question 3</t>
  </si>
  <si>
    <t>Question 4</t>
  </si>
  <si>
    <t>Question 7</t>
  </si>
  <si>
    <t>Question 8</t>
  </si>
  <si>
    <t>Question 12</t>
  </si>
  <si>
    <t>Y a-t-il d'autres individus ou des groupes d'individus dont les comportements sont pour vous une source de menace ou d'insécurité ?</t>
  </si>
  <si>
    <t>Question 13</t>
  </si>
  <si>
    <t>Question 15A</t>
  </si>
  <si>
    <t>Question 18</t>
  </si>
  <si>
    <t>Question 19</t>
  </si>
  <si>
    <t>Question 20</t>
  </si>
  <si>
    <t>Question 21</t>
  </si>
  <si>
    <t>Question 21A</t>
  </si>
  <si>
    <t>Question 22</t>
  </si>
  <si>
    <t>Question 23</t>
  </si>
  <si>
    <t>Question 15</t>
  </si>
  <si>
    <t>Le bon fonctionnement de cet/ces</t>
  </si>
  <si>
    <t>de menace ou d'insécurité ?</t>
  </si>
  <si>
    <t>protection.</t>
  </si>
  <si>
    <t>Question 24</t>
  </si>
  <si>
    <t>Question 25</t>
  </si>
  <si>
    <t>Question 26A</t>
  </si>
  <si>
    <t>Question 26B</t>
  </si>
  <si>
    <t>Question 27</t>
  </si>
  <si>
    <t>Question 28</t>
  </si>
  <si>
    <t>Question 29</t>
  </si>
  <si>
    <t>Combien de fois cela s'est-il produit ?</t>
  </si>
  <si>
    <t>En se référant au dernier événement, était-ce … ?</t>
  </si>
  <si>
    <t>Question 31</t>
  </si>
  <si>
    <t>Question 32</t>
  </si>
  <si>
    <t>Quel est votre état civil ?</t>
  </si>
  <si>
    <t>Question 33</t>
  </si>
  <si>
    <t>Question 34</t>
  </si>
  <si>
    <t>Total général</t>
  </si>
  <si>
    <t>Question 13A</t>
  </si>
  <si>
    <t>Question 14</t>
  </si>
  <si>
    <t>Question 16</t>
  </si>
  <si>
    <t>Question 17</t>
  </si>
  <si>
    <t>Question 26</t>
  </si>
  <si>
    <t>Êtes-vous propriétaire ou locataire du logement que vous habitez ?</t>
  </si>
  <si>
    <t>De quel type ou groupe d'individus s'agit-il ?  Toxicomanes ou revendeur de drogue</t>
  </si>
  <si>
    <t>De quel type ou groupe d'individus s'agit-il ? Gangs de motards / milieu criminel</t>
  </si>
  <si>
    <t>De quel type ou groupe d'individus s'agit-il ? Sollicitation (vendeurs, mouvements religieux, ex-détenus, etc.)</t>
  </si>
  <si>
    <t>De quel type ou groupe d'individus s'agit-il ? Itinérants</t>
  </si>
  <si>
    <t>De quel type ou groupe d'individus s'agit-il ? Individus ou groupes d'individus en état d'ébriété</t>
  </si>
  <si>
    <t>De quel type ou groupe d'individus s'agit-il ? Voisins</t>
  </si>
  <si>
    <t>De quel type ou groupe d'individus s'agit-il ? Autre</t>
  </si>
  <si>
    <t>Une personne</t>
  </si>
  <si>
    <t>Deux personnes</t>
  </si>
  <si>
    <t>Trois personnes</t>
  </si>
  <si>
    <t>Quatre personnes et plus</t>
  </si>
  <si>
    <t xml:space="preserve">personnellement en sécurité dans </t>
  </si>
  <si>
    <t xml:space="preserve"> risque est …</t>
  </si>
  <si>
    <t xml:space="preserve">ou prenez le transport en commun, </t>
  </si>
  <si>
    <t xml:space="preserve">Habituellement, combien de fois </t>
  </si>
  <si>
    <t xml:space="preserve"> Est-ce…</t>
  </si>
  <si>
    <t>Au moins 4 fois par mois</t>
  </si>
  <si>
    <t>2-3 fois par mois</t>
  </si>
  <si>
    <t>1 fois par mois</t>
  </si>
  <si>
    <t>Moins de 1 fois par mois</t>
  </si>
  <si>
    <t>bruyants sont … ?</t>
  </si>
  <si>
    <t>d'alcool dans les lieux publics sont …?</t>
  </si>
  <si>
    <t>sont … ?</t>
  </si>
  <si>
    <t>d'individus sont … ?</t>
  </si>
  <si>
    <t>Très nombreux</t>
  </si>
  <si>
    <t>Nombreux</t>
  </si>
  <si>
    <t>Rares</t>
  </si>
  <si>
    <t>personnes est … ?</t>
  </si>
  <si>
    <t>la plupart des personnes est … ?</t>
  </si>
  <si>
    <t xml:space="preserve">comportements des jeunes ou des </t>
  </si>
  <si>
    <t xml:space="preserve">groupes de jeunes sont-ils pour vous </t>
  </si>
  <si>
    <t>une source de menace ou d'insécurité?</t>
  </si>
  <si>
    <t xml:space="preserve">comportements sont pour vous une </t>
  </si>
  <si>
    <t>source de menace ou d'insécurité ?</t>
  </si>
  <si>
    <t>pour des raisons de sécurité ?</t>
  </si>
  <si>
    <t xml:space="preserve">quelque chose pour assurer ma </t>
  </si>
  <si>
    <t xml:space="preserve">l'intérieur de ma voiture avant d'y </t>
  </si>
  <si>
    <t>monter.</t>
  </si>
  <si>
    <t xml:space="preserve">À mon domicile, j'évite d'ouvrir la porte </t>
  </si>
  <si>
    <t xml:space="preserve">Je garde les portes extérieures de </t>
  </si>
  <si>
    <t xml:space="preserve">mon domicile constamment </t>
  </si>
  <si>
    <t xml:space="preserve">verrouillées, même lorsque je suis </t>
  </si>
  <si>
    <t>chez moi.</t>
  </si>
  <si>
    <t xml:space="preserve">J'ai un système d'alarme que j'active </t>
  </si>
  <si>
    <t xml:space="preserve">régulièrement pour protéger mon </t>
  </si>
  <si>
    <t>domicile contre le vol.</t>
  </si>
  <si>
    <t xml:space="preserve">Spécialement par mesure de </t>
  </si>
  <si>
    <t xml:space="preserve">protection, il y a une arme à feu à mon </t>
  </si>
  <si>
    <t xml:space="preserve">Les problèmes causés par des gens </t>
  </si>
  <si>
    <t xml:space="preserve">Les désordres liés à la consommation </t>
  </si>
  <si>
    <t>Les désordres liés à la vente ou à la</t>
  </si>
  <si>
    <t>consommation de drogue sont … ?</t>
  </si>
  <si>
    <t xml:space="preserve">Les problèmes liés à la criminalité </t>
  </si>
  <si>
    <t xml:space="preserve">qui traînent dans les lieux publics </t>
  </si>
  <si>
    <t>Les actes de vandalisme sont … ?</t>
  </si>
  <si>
    <t xml:space="preserve">Les conflits entre les groupes </t>
  </si>
  <si>
    <t xml:space="preserve">d'origines ethniques différentes </t>
  </si>
  <si>
    <t>sont...?</t>
  </si>
  <si>
    <t xml:space="preserve">Les conflits entre d'autres groupes </t>
  </si>
  <si>
    <t>Les graffiti sont … ?</t>
  </si>
  <si>
    <t xml:space="preserve">Les immeubles ou bâtiments </t>
  </si>
  <si>
    <t xml:space="preserve">abandonnés ou mal entretenus </t>
  </si>
  <si>
    <t xml:space="preserve">Le niveau d'entraide entre les </t>
  </si>
  <si>
    <t xml:space="preserve">Le niveau de confiance qui règne entre </t>
  </si>
  <si>
    <t xml:space="preserve">… du déneigement et du déglaçage </t>
  </si>
  <si>
    <t xml:space="preserve">des rues et des trottoirs de votre </t>
  </si>
  <si>
    <t xml:space="preserve">… de la propreté et de l'entretien des </t>
  </si>
  <si>
    <t>… auprès des jeunes dans votre</t>
  </si>
  <si>
    <t xml:space="preserve">… pour assurer la sécurité routière </t>
  </si>
  <si>
    <t xml:space="preserve">… pour régler des problèmes de </t>
  </si>
  <si>
    <t xml:space="preserve">délinquance ou de désordre qui </t>
  </si>
  <si>
    <t>que vous avez reçue ?</t>
  </si>
  <si>
    <t xml:space="preserve"> UNE BASE RÉGULIÈRE dans les </t>
  </si>
  <si>
    <t xml:space="preserve">avez-vous été victime de vol, de </t>
  </si>
  <si>
    <t xml:space="preserve">vandalisme ou de tout autre crime </t>
  </si>
  <si>
    <t>En se référant au dernier événement,</t>
  </si>
  <si>
    <t>Chute en marchant sur la voie publique</t>
  </si>
  <si>
    <t>Chute en glissant sur la chaussée glacée</t>
  </si>
  <si>
    <t>Morsure par un animal</t>
  </si>
  <si>
    <t>Accident de travail</t>
  </si>
  <si>
    <t>Blessure sportive</t>
  </si>
  <si>
    <t>Autres (précisez)</t>
  </si>
  <si>
    <t xml:space="preserve">Maintenant, comparativement à </t>
  </si>
  <si>
    <t xml:space="preserve">d'autres personnes de votre âge, </t>
  </si>
  <si>
    <t xml:space="preserve">diriez-vous que votre santé est en </t>
  </si>
  <si>
    <t>général …</t>
  </si>
  <si>
    <t>Excellente</t>
  </si>
  <si>
    <t>Très bonne</t>
  </si>
  <si>
    <t>Bonne</t>
  </si>
  <si>
    <t>Moyenne</t>
  </si>
  <si>
    <t>Mauvaise</t>
  </si>
  <si>
    <t>Êtes-vous propriétaire ou locataire</t>
  </si>
  <si>
    <t>du logement que vous habitez ?</t>
  </si>
  <si>
    <t>Propriétaire</t>
  </si>
  <si>
    <t>Locataire</t>
  </si>
  <si>
    <t>Quelqu'un du foyer est propriétaire ou locataire</t>
  </si>
  <si>
    <t>Autre (spécifiez)</t>
  </si>
  <si>
    <t>Maison individuelle</t>
  </si>
  <si>
    <t>Jumelé</t>
  </si>
  <si>
    <t>Maison en rangée</t>
  </si>
  <si>
    <t>Duplex</t>
  </si>
  <si>
    <t>8 logements ou moins</t>
  </si>
  <si>
    <t xml:space="preserve">Plus de 8 logement </t>
  </si>
  <si>
    <t>Maison mobile</t>
  </si>
  <si>
    <t xml:space="preserve">Où est situé votre lieu de travail </t>
  </si>
  <si>
    <t>À votre domicile</t>
  </si>
  <si>
    <t>Autre, préciser</t>
  </si>
  <si>
    <t xml:space="preserve">Quel est le plus haut niveau de </t>
  </si>
  <si>
    <t>scolarité que vous avez complété ?</t>
  </si>
  <si>
    <t>Aucun diplôme</t>
  </si>
  <si>
    <t xml:space="preserve">Comparativement à il y a 5 ans, les </t>
  </si>
  <si>
    <t>Très ou plutôt élevé</t>
  </si>
  <si>
    <t>Plutôt ou très faible</t>
  </si>
  <si>
    <t>Étiquettes de lignes</t>
  </si>
  <si>
    <t>Étiquettes de colonnes</t>
  </si>
  <si>
    <t>CROISEMENT SELON LE SEXE</t>
  </si>
  <si>
    <t>Q1 * sexe</t>
  </si>
  <si>
    <t>Q7 * sexe</t>
  </si>
  <si>
    <t>gens bruyants sont … ?</t>
  </si>
  <si>
    <t xml:space="preserve">ou à la consommation de drogue sont …  </t>
  </si>
  <si>
    <t>criminalité sont …</t>
  </si>
  <si>
    <t>gens qui traînent dans les lieux publics sont …</t>
  </si>
  <si>
    <t>d'origine ethniques différentes sont … ?</t>
  </si>
  <si>
    <t>abandonnés ou mal entretenus sont … ?</t>
  </si>
  <si>
    <t>les comportements sont pour vous une source de menace</t>
  </si>
  <si>
    <t>ou d'insécurité ?</t>
  </si>
  <si>
    <t>évitez de fréquenter pour des raisons de sécurtié ?</t>
  </si>
  <si>
    <t xml:space="preserve">habituellement quelque chose pour assurer ma </t>
  </si>
  <si>
    <t>trouve à l'intérieur de ma voiture avant d'y monter.</t>
  </si>
  <si>
    <t>pour des raisons de sécurité.</t>
  </si>
  <si>
    <t>protéger mon domicile contre le vol.</t>
  </si>
  <si>
    <t>d'autodéfense.</t>
  </si>
  <si>
    <t>à feu à mon domicile.</t>
  </si>
  <si>
    <t xml:space="preserve"> </t>
  </si>
  <si>
    <t>Q12 * sexe</t>
  </si>
  <si>
    <t>fois avez-vous fait appel au service de police qui dessert</t>
  </si>
  <si>
    <t>été très, assez, peu ou pas du tout satisfait de la réponse</t>
  </si>
  <si>
    <t>bénévolat ?</t>
  </si>
  <si>
    <t>Q15A * sexe</t>
  </si>
  <si>
    <t xml:space="preserve">Aucune </t>
  </si>
  <si>
    <t>Q21A * sexe</t>
  </si>
  <si>
    <t>Q23 * sexe</t>
  </si>
  <si>
    <t>Q24 * sexe</t>
  </si>
  <si>
    <t>limiter vos activités ?</t>
  </si>
  <si>
    <t>votre âge, diriez-vous que votre santé en général ...</t>
  </si>
  <si>
    <t>Q25 * sexe</t>
  </si>
  <si>
    <t>Q26 * sexe</t>
  </si>
  <si>
    <t>Q27 * sexe</t>
  </si>
  <si>
    <t>PENDANT LE JOUR, le risque est …</t>
  </si>
  <si>
    <t>APRÈS LA TOMBÉE DU JOUR, le risque est …</t>
  </si>
  <si>
    <t>le transport en commun, le risque est …</t>
  </si>
  <si>
    <t>APRÈS LA TOMBÉE DU JOUR ? Est-ce …</t>
  </si>
  <si>
    <t xml:space="preserve"> consommation de drogue sont …  </t>
  </si>
  <si>
    <t>différentes sont … ?</t>
  </si>
  <si>
    <t>entretenus sont … ?</t>
  </si>
  <si>
    <t>Très nombreux ou nombreux</t>
  </si>
  <si>
    <t>Rares ou inexistants</t>
  </si>
  <si>
    <t>des personnes est …</t>
  </si>
  <si>
    <t>comportements sont pour vous une source de menace ou d'insécurité ?</t>
  </si>
  <si>
    <t>quelque chose pour assurer ma protection.</t>
  </si>
  <si>
    <t>de sécurité.</t>
  </si>
  <si>
    <t>verrouillées, même lorsque je suis chez moi.</t>
  </si>
  <si>
    <t>douze (12) derniers mois ?</t>
  </si>
  <si>
    <t>professionnel de la santé ou limiter vos activités ?</t>
  </si>
  <si>
    <t>diriez-vous que votre santé est en général …</t>
  </si>
  <si>
    <t>CROISEMENT SELON L'ÂGE</t>
  </si>
  <si>
    <t>Q1 * l'âge</t>
  </si>
  <si>
    <t>Q7 * l'âge</t>
  </si>
  <si>
    <t>Q12 * l'âge</t>
  </si>
  <si>
    <t>Q15A * l'âge</t>
  </si>
  <si>
    <t>Q18 * l'âge</t>
  </si>
  <si>
    <t>Q21A * l'âge</t>
  </si>
  <si>
    <t>Q23 * l'âge</t>
  </si>
  <si>
    <t>Q24 * l'âge</t>
  </si>
  <si>
    <t>Q25 * l'âge</t>
  </si>
  <si>
    <t>Q26 * l'âge</t>
  </si>
  <si>
    <t>Q27 * l'âge</t>
  </si>
  <si>
    <t>Total</t>
  </si>
  <si>
    <t>KHI-CARRÉ</t>
  </si>
  <si>
    <t>CROISEMENTS AVEC LE SEXE</t>
  </si>
  <si>
    <t>CROISEMENTS AVEC L'ÂGE</t>
  </si>
  <si>
    <t xml:space="preserve">Khi-carré </t>
  </si>
  <si>
    <t>Significatif</t>
  </si>
  <si>
    <t>Question 2</t>
  </si>
  <si>
    <t>Quel est le problème de sécurité qui vous préoccupe le plus dans votre quartier ?</t>
  </si>
  <si>
    <t>Vous arrive-t-il de ne pas vous sentir personnellement en sécurité dans votre quartier ?</t>
  </si>
  <si>
    <t>Dites-nous à combien vous évaluez le risque que les jeunes de moins de 18 ans qui vivent avec vous (à temps plein ou à temps partiel) soient intimidés ou agressés lorqu'ils vont dehors dans votre quartier. Ce risque est …</t>
  </si>
  <si>
    <t xml:space="preserve">Habituellement, combien de fois sortez-vous seul(e) dans votre quartier APRÈS LA TOMBÉE DU JOUR ? Est-ce ... </t>
  </si>
  <si>
    <t>Dans votre quartier, les comportements des jeunes ou des groupes de jeunes sont-ils pour vous une source de menace ou d'insécurité ?</t>
  </si>
  <si>
    <t>De quel type ou groupe d'individus s'agit-il ? Personnes d'une communauté culturelle différente de la mienne</t>
  </si>
  <si>
    <t>Y a-t-il dans votre quartier des endroits que vous évitez de fréquenter pour des raisons de sécurité ?</t>
  </si>
  <si>
    <t>Le bon fonctionnement de cet/ces appareil(s) a-t-il été vérifié, au cours des douze (12) derniers mois ?</t>
  </si>
  <si>
    <t>Quel est votre niveau de satisfaction à l'égard de la présence des policiers dans votre quartier ?</t>
  </si>
  <si>
    <t>Quel est votre niveau de satisfaction à l'égard du travail effectué par les policiers dans votre quartier ?</t>
  </si>
  <si>
    <t>Au cours des deux dernières années, combien de fois avez-vous fait appel au service de police qui dessert votre quartier ?</t>
  </si>
  <si>
    <t>Au cours des deux dernières années, vous êtes vous IMPLIQUÉ SUR UNE BASE RÉGULIÈRE dans les activités suivantes de votre quartier : Dans des assemblées du conseil municipal ?</t>
  </si>
  <si>
    <t>Au cours des deux dernières années, vous êtes vous IMPLIQUÉ SUR UNE BASE RÉGULIÈRE dans les activités suivantes de votre quartier : Dans des activités sociales, culturelles ou sportives organisées par les gens de votre quartier ou de votre municipalité ?</t>
  </si>
  <si>
    <t>Question 25A</t>
  </si>
  <si>
    <t>À votre avis, le motif de cette discrimination était lié …</t>
  </si>
  <si>
    <t>Au cours des deux dernières années, avez-vous subi un accident qui vous a occasionné une blessure pour laquelle vous avez dû consulter un professionnel de la santé ou limiter vos activités ?</t>
  </si>
  <si>
    <t>Maintenant, comparativement à d'autres personnes de votre âge, dirirez-vous que votre santé est en général …</t>
  </si>
  <si>
    <t xml:space="preserve">Êtes-vous : </t>
  </si>
  <si>
    <t>Quelle est votre année de naissance ?</t>
  </si>
  <si>
    <t>Quel est le plus haut niveau de scolarité que vous avez complété ?</t>
  </si>
  <si>
    <t>Question 25Autre</t>
  </si>
  <si>
    <t>Question 26Autre</t>
  </si>
  <si>
    <t>À votre avis, votre quartier est :</t>
  </si>
  <si>
    <t>Je ne sais pas</t>
  </si>
  <si>
    <t>J'habite le quartier depuis moins de 5 ans</t>
  </si>
  <si>
    <t xml:space="preserve">Vous arrive-t-il de ne pas vous sentir </t>
  </si>
  <si>
    <t>votre quartier ?</t>
  </si>
  <si>
    <t>Dites-nous à combien vous évaluez</t>
  </si>
  <si>
    <t>intimidé(e) ou agressé(e) dans votre</t>
  </si>
  <si>
    <r>
      <t xml:space="preserve">quartier : </t>
    </r>
    <r>
      <rPr>
        <b/>
        <sz val="10"/>
        <rFont val="Arial"/>
        <family val="2"/>
      </rPr>
      <t xml:space="preserve">lorsque vous sortez </t>
    </r>
  </si>
  <si>
    <r>
      <rPr>
        <sz val="10"/>
        <rFont val="Arial"/>
        <family val="2"/>
      </rPr>
      <t xml:space="preserve">quartier : </t>
    </r>
    <r>
      <rPr>
        <b/>
        <sz val="10"/>
        <rFont val="Arial"/>
        <family val="2"/>
      </rPr>
      <t xml:space="preserve">lorsque vous sortez </t>
    </r>
  </si>
  <si>
    <r>
      <rPr>
        <sz val="10"/>
        <rFont val="Arial"/>
        <family val="2"/>
      </rPr>
      <t xml:space="preserve">quartier : </t>
    </r>
    <r>
      <rPr>
        <b/>
        <sz val="10"/>
        <rFont val="Arial"/>
        <family val="2"/>
      </rPr>
      <t xml:space="preserve">lorsque vous attendez </t>
    </r>
  </si>
  <si>
    <t>Pas d'enfants de moins de 18 ans</t>
  </si>
  <si>
    <t xml:space="preserve">Le risque que les jeunes de moins de </t>
  </si>
  <si>
    <t xml:space="preserve">18 ans qui vivent avec vous soient </t>
  </si>
  <si>
    <t xml:space="preserve">intimidés ou agressés lorsqu'ils vont </t>
  </si>
  <si>
    <t xml:space="preserve">dehors dans votre quartier. Ce risque </t>
  </si>
  <si>
    <t>sortez-vous seul(e) dans votre quartier</t>
  </si>
  <si>
    <t>APRÈS LA TOMBÉE DU JOUR ?</t>
  </si>
  <si>
    <t>Dans votre quartier,</t>
  </si>
  <si>
    <t>Inexistants</t>
  </si>
  <si>
    <t xml:space="preserve">Dans votre quartier, les </t>
  </si>
  <si>
    <t>Y a-t-il des endroits dans votre quartier</t>
  </si>
  <si>
    <t>que vous évitez de fréquenter pour des</t>
  </si>
  <si>
    <t>raisons de sécurité ?</t>
  </si>
  <si>
    <t>Personnes d'une communauté culturelle différente de la mienne</t>
  </si>
  <si>
    <t xml:space="preserve">Quand je me déplace dans mon </t>
  </si>
  <si>
    <t xml:space="preserve">quartier , j'apporte habituellement </t>
  </si>
  <si>
    <t>Lorsque je suis dans mon quartier,</t>
  </si>
  <si>
    <t xml:space="preserve">je vérifie qu'aucun intrus ne se trouve à </t>
  </si>
  <si>
    <t xml:space="preserve">à des inconnus, pour des raisons de </t>
  </si>
  <si>
    <t xml:space="preserve">moins un détecteur de fumée </t>
  </si>
  <si>
    <t>fonctionnel par étage ?</t>
  </si>
  <si>
    <t>quartier ?</t>
  </si>
  <si>
    <t xml:space="preserve">Quel est votre niveau de satisfaction à </t>
  </si>
  <si>
    <t xml:space="preserve">l'égard de la présence des policiers </t>
  </si>
  <si>
    <t>dans votre quartier ?</t>
  </si>
  <si>
    <t xml:space="preserve">l'égard du travail effectué par les </t>
  </si>
  <si>
    <t>policiers dans votre quartier ?</t>
  </si>
  <si>
    <t>Très satisfait(e)</t>
  </si>
  <si>
    <t>Assez satisfait(e)</t>
  </si>
  <si>
    <t>Peu satisfait(e)</t>
  </si>
  <si>
    <t>Pas du tout satisfait(e)</t>
  </si>
  <si>
    <t xml:space="preserve"> quartier ?</t>
  </si>
  <si>
    <t>surviennent dans votre quartier ?</t>
  </si>
  <si>
    <t>combien de fois avez-vous fait appel</t>
  </si>
  <si>
    <t xml:space="preserve">au service de police qui dessert </t>
  </si>
  <si>
    <t xml:space="preserve">récent, quel est votre niveau de </t>
  </si>
  <si>
    <t xml:space="preserve">satisfaction à l'égard de la réponse </t>
  </si>
  <si>
    <t>que vous avez reçu ?</t>
  </si>
  <si>
    <t xml:space="preserve">Au cours des deux dernière années, </t>
  </si>
  <si>
    <t>vous êtes vous IMPLIQUÉ SUR</t>
  </si>
  <si>
    <t>activités suivantes de votre quartier ?</t>
  </si>
  <si>
    <t>sécurité de votre quartier ?</t>
  </si>
  <si>
    <t>de votre quartier ou municipalité?</t>
  </si>
  <si>
    <t>contre vos biens dans votre quartier ?</t>
  </si>
  <si>
    <t xml:space="preserve">avez-vous été victime d'une agression, </t>
  </si>
  <si>
    <t xml:space="preserve">d'intimidation ou de tout autre acte </t>
  </si>
  <si>
    <t>de violence dans votre quartier ?</t>
  </si>
  <si>
    <t xml:space="preserve">avez-vous été victime dans votre </t>
  </si>
  <si>
    <t xml:space="preserve">quartier d'une quelconque forme de </t>
  </si>
  <si>
    <t xml:space="preserve">À votre avis, le motif de cette </t>
  </si>
  <si>
    <t>discrimination était lié …</t>
  </si>
  <si>
    <t>À la pauvreté</t>
  </si>
  <si>
    <t xml:space="preserve">avez-vous subi un accident qui vous a </t>
  </si>
  <si>
    <t xml:space="preserve">occasionné une blessure pour </t>
  </si>
  <si>
    <t xml:space="preserve">laquelle vous avez dû consulter un </t>
  </si>
  <si>
    <t>De 2 à 5 fois</t>
  </si>
  <si>
    <t>Plus de 10 fois</t>
  </si>
  <si>
    <t>Un homme</t>
  </si>
  <si>
    <t>Une femme</t>
  </si>
  <si>
    <t>Dans un autre endroit de votre quartier</t>
  </si>
  <si>
    <t>À l'extérieur de votre quartier</t>
  </si>
  <si>
    <t>Question 25 (dichotomique)</t>
  </si>
  <si>
    <t xml:space="preserve">       quartier sont … ?</t>
  </si>
  <si>
    <t>personnellement intimidé ou agressé dans votre quartier</t>
  </si>
  <si>
    <t xml:space="preserve">: lorsque vous attendez ou prenez le transport en </t>
  </si>
  <si>
    <t>commun, ce risque est …</t>
  </si>
  <si>
    <t xml:space="preserve">jeunes de moins de 18 ans qui vivent avec vous soient </t>
  </si>
  <si>
    <t xml:space="preserve">intimidés ou agressés lorsqu'ils vont dehors dans votre </t>
  </si>
  <si>
    <t xml:space="preserve">        quartier. Ce risque est ... </t>
  </si>
  <si>
    <t>votre quartier après la tombée du jour ? Est-ce …</t>
  </si>
  <si>
    <t xml:space="preserve">des groupes de jeunes sont-ils pour vous une source </t>
  </si>
  <si>
    <t>constamment verrouillées, même lorsque je suis chez moi</t>
  </si>
  <si>
    <t>fumée fonctionnel par étage ?</t>
  </si>
  <si>
    <t>trottoirs de votre quartier ?</t>
  </si>
  <si>
    <t xml:space="preserve">Q18 : Quel est votre niveau de satisfaction à l'égard de la </t>
  </si>
  <si>
    <t xml:space="preserve">         présence des policiers dans votre quartier ?</t>
  </si>
  <si>
    <t>Très ou assez satisfait(e)</t>
  </si>
  <si>
    <t>Peu ou pas du tout satisfait(e)</t>
  </si>
  <si>
    <t xml:space="preserve">Q19 : Quel est votre niveau de satisfaction à l'égard du travail </t>
  </si>
  <si>
    <t>effectué par les policiers dans votre quartier ?</t>
  </si>
  <si>
    <t xml:space="preserve">effectué par les policiers : auprès des jeunes de votre </t>
  </si>
  <si>
    <t xml:space="preserve">quartier. </t>
  </si>
  <si>
    <t xml:space="preserve">effectué par les policiers : pour assurer la sécurité </t>
  </si>
  <si>
    <t>routière dans votre quartier</t>
  </si>
  <si>
    <t xml:space="preserve">effectué par les policiers : pour régler des problèmes de </t>
  </si>
  <si>
    <t>délinquance ou de désordres qui surviennent dans votre quartier</t>
  </si>
  <si>
    <t>Q21 : Au cours des deux dernières années, combien de</t>
  </si>
  <si>
    <t>Q21A : En vous référent à l'événement le plus récent, avez-vous</t>
  </si>
  <si>
    <t>problèmes de sécurité de votre quartier ?</t>
  </si>
  <si>
    <t xml:space="preserve">Q23 : Au cours des deux dernières années, avez-vous été </t>
  </si>
  <si>
    <t xml:space="preserve">victime de vol, de vandalisme ou de tout autre crime </t>
  </si>
  <si>
    <t xml:space="preserve">Q24 : Au cours des deux dernières années, avez-vous été </t>
  </si>
  <si>
    <t xml:space="preserve">victime d'une agression, d'intimidation ou de tout autre </t>
  </si>
  <si>
    <t>acte de violence dans votre quartier ?</t>
  </si>
  <si>
    <t xml:space="preserve">Q25 : Au cours des deux dernières années, avez-vous été </t>
  </si>
  <si>
    <t xml:space="preserve">victime dans votre quartier d'une quelconque forme de </t>
  </si>
  <si>
    <t xml:space="preserve">Q26 : Au cours des deux dernières années, avez-vous subi un </t>
  </si>
  <si>
    <t xml:space="preserve">accident qui vous a occasionné une blessure pour laquelle </t>
  </si>
  <si>
    <t xml:space="preserve">vous avez dû consulter un professionnel de la santé ou </t>
  </si>
  <si>
    <t xml:space="preserve">intimidé ou agressé dans votre quartier : lorsque vous sortez seul(e) </t>
  </si>
  <si>
    <t xml:space="preserve"> intimidé ou agressé dans votre quartier : lorsque vous attendez ou prenez </t>
  </si>
  <si>
    <t>lorsqu'ils vont dehors dans votre quartier. Ce risque est …</t>
  </si>
  <si>
    <t>à l'intérieur de ma voiture avant d'y monter.</t>
  </si>
  <si>
    <t>de votre quartier ?</t>
  </si>
  <si>
    <t xml:space="preserve">Q18 : Quel est votre niveau de satisfaction à l'égard de la présence des policiers </t>
  </si>
  <si>
    <t xml:space="preserve">Q19 : Quel est votre niveau de satisfaction à l'égard du travail effectué par les </t>
  </si>
  <si>
    <t xml:space="preserve">Q21 : Au cours des deux dernières années, combien de fois avez-vous fait </t>
  </si>
  <si>
    <t>appel au service de police qui dessert votre quartier ?</t>
  </si>
  <si>
    <t xml:space="preserve">Q21A : En vous référent à l'événement le plus récent, quel est votre niveau de </t>
  </si>
  <si>
    <t>satisfaction à l'égard de la réponse que vous avez reçu ?</t>
  </si>
  <si>
    <t xml:space="preserve">Q23 : Au cours des deux dernières années, avez-vous été victime de vol, de </t>
  </si>
  <si>
    <t>vandalisme ou de tout autre crime contre vos biens dans votre quartier ?</t>
  </si>
  <si>
    <t xml:space="preserve">Q24 : Au cours des deux dernières années, avez-vous été vicitime d'une </t>
  </si>
  <si>
    <t xml:space="preserve">agression, d'intimidation ou de tout autre acte de violence dans votre </t>
  </si>
  <si>
    <t xml:space="preserve">Q25 : Au cours des deux dernières années, avez-vous été victime dans votre </t>
  </si>
  <si>
    <t>quartier d'une quelconque forme de discrimination ?</t>
  </si>
  <si>
    <t xml:space="preserve">Q26 : Au crous des deux dernières années, avez-vous subi un accident qui vous </t>
  </si>
  <si>
    <t xml:space="preserve">a occasionné une blessure pour laquelle vous avez dû consulter un </t>
  </si>
  <si>
    <t>Q2 * sexe</t>
  </si>
  <si>
    <t>Q21*sexe</t>
  </si>
  <si>
    <t>Q18 : Quel est votre niveau de satisfaction à l'égard de la présence des policiers dans votre quartier ?</t>
  </si>
  <si>
    <t>Q19 : Quel est votre niveau de satisfaction à l'égard du travail effectué par les policiers dans votre quartier</t>
  </si>
  <si>
    <t>Q21 : Au cours des deux dernières années, combien de fois avez-vous fait appel au service de police qui dessert votre quartier ?</t>
  </si>
  <si>
    <t>Q21A : En vous référent à l'événement le plus récent, avez-vous été très, assez, peu ou pas du tout satisfait de la réponse que vous avez reçue ?</t>
  </si>
  <si>
    <t>Q23 : Au cours des deux dernières années, avez-vous été victime de vol, de vandalisme ou de tout autre crime contre vos biens dans votre quartier ?</t>
  </si>
  <si>
    <t>Q27 : Maintenant, comparativement à d'autres personnes de</t>
  </si>
  <si>
    <t>Q24 : Au cours des deux dernières années, avez-vous été victime d'une agression, d'intimidation ou de tout autre acte de violence dans votre quartier ?</t>
  </si>
  <si>
    <t>Q25 : Au cours des deux dernières années, avez-vous été victime dans votre quartier d'une quelconque forme de discrimination ?</t>
  </si>
  <si>
    <t>Q26 : Au cours des deux dernières années, avez-vous subi un accident qui vous a occasionné une blessure pour laquelle vous avez dû consulter un professionnel de la santé ou limiter vos activités ?</t>
  </si>
  <si>
    <t>Q27 : Maintenant, comparativement à d'autres personnes de votre âge, diriez-vous que votre santé en général …</t>
  </si>
  <si>
    <t>Q2 * l'âge</t>
  </si>
  <si>
    <t>Q19 * l'âge</t>
  </si>
  <si>
    <t>Q21 * l'âge</t>
  </si>
  <si>
    <t>Q29 : L'âge du répondant</t>
  </si>
  <si>
    <t>Q19 : Quel est votre niveau de satisfaction à l'égard du travail effectué par les policiers dans votre quartier ?</t>
  </si>
  <si>
    <t>Q27 : Maintenant, comparativement à d'autres personnes de votre âge, diriez-vous que votre santé est en général …</t>
  </si>
  <si>
    <t xml:space="preserve">Q27 : Maintenant, comparativement à d'autres personnes de votre âge, </t>
  </si>
  <si>
    <t>Question E1</t>
  </si>
  <si>
    <t>Question E2</t>
  </si>
  <si>
    <t>En vous incluant, combien y a-t-il de personnes de 18 ans ou plus qui habitent votre foyer ?</t>
  </si>
  <si>
    <t>Question 5.1</t>
  </si>
  <si>
    <t>Question 5.2</t>
  </si>
  <si>
    <t>Question 5.3</t>
  </si>
  <si>
    <t>Dites-nous à combien vous évaluez le risque d'être personnellement intimidé(e) ou agressé(e) dans votre quartier : Lorsque vous attendez ou prenez le transport en commun, ce risque est …</t>
  </si>
  <si>
    <t>Question 6</t>
  </si>
  <si>
    <t>Question 8.1</t>
  </si>
  <si>
    <t>Question 8.2</t>
  </si>
  <si>
    <t>Question 8.3</t>
  </si>
  <si>
    <t>Question 8.4</t>
  </si>
  <si>
    <t>Question 8.5</t>
  </si>
  <si>
    <t>Question 8.6</t>
  </si>
  <si>
    <t>Question 8.7</t>
  </si>
  <si>
    <t>Question 8.8</t>
  </si>
  <si>
    <t>Question 9.1</t>
  </si>
  <si>
    <t>Question 9.2</t>
  </si>
  <si>
    <t>Question 10.1</t>
  </si>
  <si>
    <t>Question 10.2</t>
  </si>
  <si>
    <t>Question 11</t>
  </si>
  <si>
    <t>Question 12A1</t>
  </si>
  <si>
    <t>Question 12A2</t>
  </si>
  <si>
    <t>Question 12A3</t>
  </si>
  <si>
    <t>Question 12A4</t>
  </si>
  <si>
    <t>Question 12A5</t>
  </si>
  <si>
    <t>Question 12A6</t>
  </si>
  <si>
    <t>Question 12A7</t>
  </si>
  <si>
    <t>Question 12A8</t>
  </si>
  <si>
    <t>Question 14.1</t>
  </si>
  <si>
    <t>Question 14.2</t>
  </si>
  <si>
    <t>Question 14.3</t>
  </si>
  <si>
    <t xml:space="preserve">Veuillez répondre à chacun des énoncés suivants. Quand je me déplace dans mon quartier, j'apporte habituellement quelque chose pour assurer ma protection. </t>
  </si>
  <si>
    <t>Veuillez répondre à chacun des énoncés suivants. Lorsque je suis dans mon quartier, je vérifie qu'aucun intrus ne se trouve à l'intérieur de ma voiture avant d'y monter.</t>
  </si>
  <si>
    <t>Question 14.4</t>
  </si>
  <si>
    <t xml:space="preserve">Veuillez répondre à chacun des énoncés suivants. À mon domicile, j'évite d'ouvrir la porte à des inconnus, pour des raisons de sécurité. </t>
  </si>
  <si>
    <t>Question 14.5</t>
  </si>
  <si>
    <t xml:space="preserve">Veuillez répondre à chacun des énoncés suivants. Je garde les portes extérieures de mon domicile constamment verrouillées, même lorsque je suis chez moi. </t>
  </si>
  <si>
    <t xml:space="preserve">Veuillez répondre à chacun des énoncés suivants. Spécialement par mesure de protection, il y a un chien à mon domicile. </t>
  </si>
  <si>
    <t>Question 14.6</t>
  </si>
  <si>
    <t>Question 14.7</t>
  </si>
  <si>
    <t>Veuillez répondre à chacun des énoncés suivants. J'ai un système d'alarme que j'active régulièrement pour protéger mon domicile contre le vol.</t>
  </si>
  <si>
    <t>Question 14.8</t>
  </si>
  <si>
    <t xml:space="preserve">Veuillez répondre à chacun des énoncés suivants. Spécialement par mesure de protection, il y a une arme à feu à mon domicile. </t>
  </si>
  <si>
    <t xml:space="preserve">Veuillez répondre à chacun des énoncés suivants. Spécialement par mesure de protection, j'ai suivi un cours d'autodéfense. </t>
  </si>
  <si>
    <t>Question 16.1</t>
  </si>
  <si>
    <t>Question 16.2</t>
  </si>
  <si>
    <t>Question 16.3</t>
  </si>
  <si>
    <t>Votre quartier est-il desservi par un service de police municipal, une régie intermunicipale ou par la Sûreté du Québec ?</t>
  </si>
  <si>
    <t>Question 20.1</t>
  </si>
  <si>
    <t>Question 20.2</t>
  </si>
  <si>
    <t>Question 20.3</t>
  </si>
  <si>
    <t>En vous référant à l'événement le plus récent, quel est votre niveau de satisfaction à l'égard de la réponse que vous avez reçue ?</t>
  </si>
  <si>
    <t>Question 22.1</t>
  </si>
  <si>
    <t>Question 22.2</t>
  </si>
  <si>
    <t>Question 22.3</t>
  </si>
  <si>
    <t>Question 22.4</t>
  </si>
  <si>
    <t>Question 22.5</t>
  </si>
  <si>
    <t>Au cours des deux dernières années, vous êtes vous IMPLIQUÉ SUR UNE BASE RÉGULIÈRE dans les activités suivantes de votre quartier : Dans un comité ou un organisme préoccupé par les problèmes de sécurité de votre quartier ?</t>
  </si>
  <si>
    <t>Au cours des deux dernières années, avez-vous été victime de vol, de vandalisme ou de tout autre crime contre vos biens, chez vous ou dans votre quartier ?</t>
  </si>
  <si>
    <t>Au cours des deux dernières années, avez-vous été victime d'une agression, d'intimidation ou de tout autre acte de violence, chez vous ou dans votre quartier ?</t>
  </si>
  <si>
    <t>Dans quel quartier habitez-vous ?</t>
  </si>
  <si>
    <t>Êtes-vous :</t>
  </si>
  <si>
    <t>Habitez-vous dans …</t>
  </si>
  <si>
    <t>Question 32 Autre</t>
  </si>
  <si>
    <t>Question 33 Autre</t>
  </si>
  <si>
    <t>Question 34 Autre</t>
  </si>
  <si>
    <t>Question 35</t>
  </si>
  <si>
    <t>Question 35 Autre</t>
  </si>
  <si>
    <t>Question 36</t>
  </si>
  <si>
    <t>Depuis combien de temps</t>
  </si>
  <si>
    <t>En vous incluant, combien y a-t-il de</t>
  </si>
  <si>
    <t>personnes de 18 ans ou plus qui</t>
  </si>
  <si>
    <t>habitent votre foyer ?</t>
  </si>
  <si>
    <t>le risque que les jeunes de moins de</t>
  </si>
  <si>
    <t xml:space="preserve">18 ans qui vivent avec vous (à temps </t>
  </si>
  <si>
    <t>plein ou à temps partiel) soient</t>
  </si>
  <si>
    <t>intimidés ou agressés lorsqu'ils vont</t>
  </si>
  <si>
    <t>dehors dans votre quartier. Ce risque</t>
  </si>
  <si>
    <t>Question 12A</t>
  </si>
  <si>
    <t>Y a-t-il dans votre quartier des endroits</t>
  </si>
  <si>
    <t xml:space="preserve">Veuillez répondre à chacun des énoncés suivants. </t>
  </si>
  <si>
    <t xml:space="preserve">protection, il y a un chien à mon </t>
  </si>
  <si>
    <t xml:space="preserve">Spécialement par mesure de  </t>
  </si>
  <si>
    <t xml:space="preserve">protection, j'ai suivi un cours </t>
  </si>
  <si>
    <t>Veuillez nous dire votre degré de satisfaction à l'égard :</t>
  </si>
  <si>
    <t xml:space="preserve">Votre quartier est-il desservi par un </t>
  </si>
  <si>
    <t xml:space="preserve">service de police municipal, une régie </t>
  </si>
  <si>
    <t xml:space="preserve">intermunicipale ou par la Sûreté </t>
  </si>
  <si>
    <t>du Québec ?</t>
  </si>
  <si>
    <t>Police municipale</t>
  </si>
  <si>
    <t>Régie intermunicipale</t>
  </si>
  <si>
    <t>Sûreté du Québec</t>
  </si>
  <si>
    <t>De façon plus spécifique, quel est votre niveau de satisfaction à l'égard du travail effectué par les policiers :</t>
  </si>
  <si>
    <t>Au cours des deux dernière années, vous êtes vous IMPLIQUÉ SUR UNE BASE RÉGULIÈRE dans les activités suivantes de votre quartier ?</t>
  </si>
  <si>
    <t xml:space="preserve">Dans un comité ou un organisme </t>
  </si>
  <si>
    <t xml:space="preserve">Dans des assemblées du conseil </t>
  </si>
  <si>
    <t xml:space="preserve">Dans des activités communautaires, </t>
  </si>
  <si>
    <t xml:space="preserve">Dans des activités sociales, culturelles </t>
  </si>
  <si>
    <t xml:space="preserve">contre vos biens, chez vous ou dans </t>
  </si>
  <si>
    <t xml:space="preserve">de violence, chez vous ou dans votre </t>
  </si>
  <si>
    <t>De 6 à 10 fois</t>
  </si>
  <si>
    <t>Quartier 1</t>
  </si>
  <si>
    <t>Quartier 2</t>
  </si>
  <si>
    <t>Quartier 3</t>
  </si>
  <si>
    <t>Quartier 4</t>
  </si>
  <si>
    <t xml:space="preserve">Combien de personne de moins de  </t>
  </si>
  <si>
    <t>Habitez-vous dans</t>
  </si>
  <si>
    <t>Diplôme d'études sec. ou métier (DES/DEP)</t>
  </si>
  <si>
    <t xml:space="preserve">Diplôme d'études collégiales </t>
  </si>
  <si>
    <t>Diplôme d'études universitaire complété</t>
  </si>
  <si>
    <t>Question 10.1 (dichotomique)</t>
  </si>
  <si>
    <t>Question 10.2 (dichotomique)</t>
  </si>
  <si>
    <t>résidants de votre quartier sont :</t>
  </si>
  <si>
    <t xml:space="preserve">E1 : Depuis combien de temps demeurez-vous à cette adresse? </t>
  </si>
  <si>
    <t>Q30 : Sexe du répondant</t>
  </si>
  <si>
    <t>Q31 : L'âge du répondant</t>
  </si>
  <si>
    <t>E1 * sexe</t>
  </si>
  <si>
    <t>E2 * sexe</t>
  </si>
  <si>
    <t>E1 * l'âge</t>
  </si>
  <si>
    <t>E2 * l'âge</t>
  </si>
  <si>
    <t>Q4 * sexe</t>
  </si>
  <si>
    <t>Q4 * l'âge</t>
  </si>
  <si>
    <t>Q5.1 * sexe</t>
  </si>
  <si>
    <t>Q5.1 * l'âge</t>
  </si>
  <si>
    <t>Q5.2 * sexe</t>
  </si>
  <si>
    <t>Q5.2 * l'âge</t>
  </si>
  <si>
    <t>Q5.3 * sexe</t>
  </si>
  <si>
    <t>Q5.3 * l'âge</t>
  </si>
  <si>
    <t>Q6 * sexe</t>
  </si>
  <si>
    <t>Q6 * l'âge</t>
  </si>
  <si>
    <t>Q8.1 * sexe</t>
  </si>
  <si>
    <t>Q8.1 * l'âge</t>
  </si>
  <si>
    <t>Q8.2 * sexe</t>
  </si>
  <si>
    <t>Q8.2 * l'âge</t>
  </si>
  <si>
    <t>Q8.3 * sexe</t>
  </si>
  <si>
    <t>Q8.3 * l'âge</t>
  </si>
  <si>
    <t>Q8.4 * sexe</t>
  </si>
  <si>
    <t>Q8.4 * l'âge</t>
  </si>
  <si>
    <t>Q8.5 * sexe</t>
  </si>
  <si>
    <t>Q8.6 * sexe</t>
  </si>
  <si>
    <t>Q8.6 * l'âge</t>
  </si>
  <si>
    <t>Q8.7 * sexe</t>
  </si>
  <si>
    <t>Q8.7 * l'âge</t>
  </si>
  <si>
    <t>Q8.8 * sexe</t>
  </si>
  <si>
    <t>Q8.8* l'âge</t>
  </si>
  <si>
    <t>Q9.1 * sexe</t>
  </si>
  <si>
    <t>Q9.1 * l'âge</t>
  </si>
  <si>
    <t>Q9.2 * sexe</t>
  </si>
  <si>
    <t>Q9.2 * l'âge</t>
  </si>
  <si>
    <t>Q10.1* sexe</t>
  </si>
  <si>
    <t>Q10.1 * l'âge</t>
  </si>
  <si>
    <t>Q10.2* sexe</t>
  </si>
  <si>
    <t>Q10.2 * l'âge</t>
  </si>
  <si>
    <t>Q11 *sexe</t>
  </si>
  <si>
    <t>Q11 * l'âge</t>
  </si>
  <si>
    <t>Q13 * sexe</t>
  </si>
  <si>
    <t>Q13 * l'âge</t>
  </si>
  <si>
    <t>Q14.1 * sexe</t>
  </si>
  <si>
    <t>Q14.1 * l'âge</t>
  </si>
  <si>
    <t>Q14.2 * l'âge</t>
  </si>
  <si>
    <t>Q14.2 * sexe</t>
  </si>
  <si>
    <t>Q14.3 * sexe</t>
  </si>
  <si>
    <t>Q14.3 * l'âge</t>
  </si>
  <si>
    <t>Q14.4 * sexe</t>
  </si>
  <si>
    <t>Q14.4 * l'âge</t>
  </si>
  <si>
    <t>Q14.5 * sexe</t>
  </si>
  <si>
    <t>Q14.5 * l'âge</t>
  </si>
  <si>
    <t>Q14.6 * sexe</t>
  </si>
  <si>
    <t>Q14.6 * l'âge</t>
  </si>
  <si>
    <t>Q14.7 * sexe</t>
  </si>
  <si>
    <t>Q14.7 * l'âge</t>
  </si>
  <si>
    <t>Q14.8 * sexe</t>
  </si>
  <si>
    <t>Q14.8 * l'âge</t>
  </si>
  <si>
    <t>Q15* sexe</t>
  </si>
  <si>
    <t>Q15 * l'âge</t>
  </si>
  <si>
    <t>Q16.1 * sexe</t>
  </si>
  <si>
    <t>Q16.1 * l'âge</t>
  </si>
  <si>
    <t>Q16.2 * sexe</t>
  </si>
  <si>
    <t>Q16.2 * l'âge</t>
  </si>
  <si>
    <t>Q16.3 * sexe</t>
  </si>
  <si>
    <t>Q16.3 * l'âge</t>
  </si>
  <si>
    <t>Q17.*sexe</t>
  </si>
  <si>
    <t>Q17 * l'âge</t>
  </si>
  <si>
    <t>Q18 *sexe</t>
  </si>
  <si>
    <t>Q19 *sexe</t>
  </si>
  <si>
    <t>Q20.1 *sexe</t>
  </si>
  <si>
    <t>Q20.1 * l'âge</t>
  </si>
  <si>
    <t>Q20.2 *sexe</t>
  </si>
  <si>
    <t>Q20.2 * l'âge</t>
  </si>
  <si>
    <t>Q20.3 * sexe</t>
  </si>
  <si>
    <t>Q20.3 * l'âge</t>
  </si>
  <si>
    <t>Q22.1 * sexe</t>
  </si>
  <si>
    <t>Q22.1 * l'âge</t>
  </si>
  <si>
    <t>Q22.2* sexe</t>
  </si>
  <si>
    <t>Q22.2 * l'âge</t>
  </si>
  <si>
    <t>Q22.3 * sexe</t>
  </si>
  <si>
    <t>Q22.3 * l'âge</t>
  </si>
  <si>
    <t>Question 21Peu</t>
  </si>
  <si>
    <t>Question 21Pas</t>
  </si>
  <si>
    <t>Q22.5 * sexe</t>
  </si>
  <si>
    <t>Q22.5 * l'âge</t>
  </si>
  <si>
    <t>Q22.6 * sexe</t>
  </si>
  <si>
    <t>Q22.6 * l'âge</t>
  </si>
  <si>
    <t xml:space="preserve">Q1 : À votre avis, votre quartier est : </t>
  </si>
  <si>
    <t xml:space="preserve">Q2 : Comparativement à il y a 5 ans, les résidants de votre </t>
  </si>
  <si>
    <t xml:space="preserve">Q5.1 : Dites-nous à combien vous évaluez le risque d'être </t>
  </si>
  <si>
    <t xml:space="preserve">Q5.2 : Dites-nous à combien vous évaluez le risque d'être </t>
  </si>
  <si>
    <t xml:space="preserve">Q5.3 : Dites-nous à combien vous évaluez le risque d'être </t>
  </si>
  <si>
    <t xml:space="preserve">Q6 : Dites-vous à combien vous évaluez le risque que les </t>
  </si>
  <si>
    <t>Q7 : Habituellement, combien de fois sortez-vous seul(e) dans</t>
  </si>
  <si>
    <t xml:space="preserve">Q8.1 : Dans votre quartier, les problèmes causés par des </t>
  </si>
  <si>
    <t xml:space="preserve">Q8.2 : Dans votre quartier, les désordres liés à la </t>
  </si>
  <si>
    <t xml:space="preserve">Q8.3 : Dans votre quartier,  les désordres liés à la vente </t>
  </si>
  <si>
    <t xml:space="preserve">Q8.4 : Dans votre quartier, les problèmes liés à la </t>
  </si>
  <si>
    <t xml:space="preserve">Q8.5 : Dans votre quartier, les problèmes causés par les </t>
  </si>
  <si>
    <t>Q8.6 : Dans votre quartier, les actes de vandalisme sont …</t>
  </si>
  <si>
    <t xml:space="preserve">Q8.7 : Dans votre quartier, les conflits entre les groupes </t>
  </si>
  <si>
    <t xml:space="preserve">Q8.8 : Dans votre quartier, les conflits entre d'autres groupes </t>
  </si>
  <si>
    <t>Q9.1 : Dans votre quartier, les graffiti sont … ?</t>
  </si>
  <si>
    <t xml:space="preserve">Q9.2 : Dans votre quartier, les immeubles ou bâtiments </t>
  </si>
  <si>
    <t xml:space="preserve">Q10.1 : Dans votre quartier, le niveau d'entraide entre les </t>
  </si>
  <si>
    <t xml:space="preserve">Q10.2 : Dans votre quartier, le niveau de confiance qui règne </t>
  </si>
  <si>
    <t>Q11 : Dans votre quartier, les comportements des jeunes ou</t>
  </si>
  <si>
    <t>Q12 : Y a-t-il d'autres individus ou des groupes d'individus dont</t>
  </si>
  <si>
    <t>Q13 : Y a-t-il des endroits dans votre quartier que vous</t>
  </si>
  <si>
    <t xml:space="preserve">Q14.1 : Quand je me déplace dans mon quartier, j'apporte </t>
  </si>
  <si>
    <t>Q14.2 : Dans mon quartier, je vérifie qu'aucun intrus ne se</t>
  </si>
  <si>
    <t>Q14.3 : À mon domicile, j'évite d'ouvrir la porte à des inconnus</t>
  </si>
  <si>
    <t>Q14.4 : Je garde les portes extérieures de mon domicile</t>
  </si>
  <si>
    <t xml:space="preserve">Q14.6 : J'ai un système d'alarme que j'active régulièrement pour </t>
  </si>
  <si>
    <t xml:space="preserve">Q14.8 : Spécialement par mesure de protection, il y a une arme </t>
  </si>
  <si>
    <t xml:space="preserve">Q15A : Le bon fonctionnement de cet/ces appareil(s) a -t-il été </t>
  </si>
  <si>
    <t xml:space="preserve">Q16.1 : … du déneigement et du déglaçage des rues et des </t>
  </si>
  <si>
    <t>Q16.2 : … de la propreté et de l'entretien des parcs et terrains</t>
  </si>
  <si>
    <t xml:space="preserve">Q17 : Votre quartier est-il desservi par un service de police </t>
  </si>
  <si>
    <t xml:space="preserve">Q20.1 : Quel est votre niveau de satisfaction à l'égard du travail </t>
  </si>
  <si>
    <t xml:space="preserve">Q20.2 : Quel est votre niveau de satisfaction à l'égard du travail </t>
  </si>
  <si>
    <t xml:space="preserve">Q20.3 : Quel est votre niveau de satisfaction à l'égard du travail </t>
  </si>
  <si>
    <t>Q22.1 : Dans un comité ou un organisme préoccupé par les</t>
  </si>
  <si>
    <t>Q22.2 : Dans des assemblées du conseil municipal ?</t>
  </si>
  <si>
    <t>Q22.3 : Dans un conseil de quartier ou d'arrondissement ?</t>
  </si>
  <si>
    <t>E2 : En vousi ncluant, combien y a-t-il de personnes de 18 ans ou plus qui habitent votre foyer ?</t>
  </si>
  <si>
    <t>Q1 : À votre avis, votre quartier est : … ?</t>
  </si>
  <si>
    <t>Q2 : Comparativement à il y a 5 ans, les résidants de votre quartier sont … ?</t>
  </si>
  <si>
    <t>Q4 : Vous arrive-t-il de ne pas vous sentir personnellement en sécurité dans votre quartier ?</t>
  </si>
  <si>
    <t>Q5.1 : Dites-nous à combien vous évaluez le risque d'être personnellement intimidé ou agressé dans votre quartier: lorsque vous sortez seul(e) pendant le jour, le risque est …</t>
  </si>
  <si>
    <t>Q5.2 : Dites-nous à combien vous évaluez le risque d'être personnellement intimidé ou agressé dans votre quartier : losque vous sortez seul(e) après la tombée du jour, le risque est …</t>
  </si>
  <si>
    <t>Q5.3 : Dites-nous à combien vous évaluez le risque d'être personnellement intimidé ou agressé dans votre quartier : lorsque vous attendez ou prenez le transport en commun, le risque est …</t>
  </si>
  <si>
    <t>Q6 : Le risque que les enfants qui vivent avec vous soient intimidés ou agressés lorsqu'ils vont dehors dans votre quartier est …</t>
  </si>
  <si>
    <t>Q7 : Habituellement, combien de fois sortez-vous seul(e) dans votre quartier après la tombée du jour ? Est-ce …</t>
  </si>
  <si>
    <t>Q8.1 : Dans votre quartier, les problèmes causés par des gens bruyants sont … ?</t>
  </si>
  <si>
    <t>Q8.2 : Dans votre quartier, les désordres liés à la consommation d'alcool dans les lieux publics sont …</t>
  </si>
  <si>
    <t xml:space="preserve">Q8.3 : Dans votre quartier, les désordres liés à la vente ou à la consommation de drogue sont …  </t>
  </si>
  <si>
    <t>Q8.4 : Dans votre quartier,  les problèmes liés à la criminalité sont …</t>
  </si>
  <si>
    <t>Q8.5 : Dans votre quartier, les problèmes causés par les gens qui traînent dans les lieux publics sont …</t>
  </si>
  <si>
    <t>Q8.7 : Dans votre quartier,les conflits entre les groupes d'origine ethniques différentes sont … ?</t>
  </si>
  <si>
    <t>Q8.8 : Dans votre quartier, les conflits entre d'autres groupes d'individus sont … ?</t>
  </si>
  <si>
    <t>Q9.2 : Dans votre quartier, les immeubles ou bâtiments abandonnés ou mal entretenus sont … ?</t>
  </si>
  <si>
    <t>Q10.1 : Dans votre quartier, le niveau d'entraide entre les personnes est …</t>
  </si>
  <si>
    <t>Q10.2 : Dans votre quartier, le niveau de confiance qui règne entre la plupart des personnes est …</t>
  </si>
  <si>
    <t>Q11 : Dans votre quartier, les comportements des jeunes ou des groupes de jeunes sont-ils pour vous une source de menace ou d'insécurité ?</t>
  </si>
  <si>
    <t>Q12 : Y a-t-il d'autres individus ou des groupes d'individus dont les comportements sont pour vous une source de menace ou d'insécurité ?</t>
  </si>
  <si>
    <t>Q13 : Y a-t-il des endroits dans votre quartier que vous évitez de fréquenter pour des raisons de sécurtié ?</t>
  </si>
  <si>
    <t>Q14.1 : Quand je me déplace dans mon quartier, j'apporte habituellement quelque chose pour assurer ma protection.</t>
  </si>
  <si>
    <t>Q14.2 : Dans mon quartier, je vérifie qu'aucun intrus ne se trouve à l'intérieur de ma voiture avant d'y monter.</t>
  </si>
  <si>
    <t>Q14.3 : À mon domicile, j'évite d'ouvrir la porte à des inconnus pour des raisons de sécurité.</t>
  </si>
  <si>
    <t>Q14.4 : Je garde les portes extérieures de mon domicile constamment verrouillées, même lorsque je suis chez moi.</t>
  </si>
  <si>
    <t>Q14.5 : Par mesure de protection, il y a un chien à mon domicile.</t>
  </si>
  <si>
    <t>Q14.6 : J'ai un système d'alarme que j'active régulièrement pour protéger mon domicile contre le vol.</t>
  </si>
  <si>
    <t>Q14.7 : Par mesure de protection, j'ai suivi un cours d'autodéfense.</t>
  </si>
  <si>
    <t>Q14.8 : Spécialement par mesure de protection, il y a une arme à feu à mon domicile.</t>
  </si>
  <si>
    <t>Q15A : Le bon fonctionnement de cet/ces appareil(s) a -t-il été vérifié, au cours des douze (12) derniers mois ?</t>
  </si>
  <si>
    <t>Q16.1 : … du déneigement et du déglaçage des rues et des trottoirs de votre quartier ?</t>
  </si>
  <si>
    <t>Q17 : Votre quartier est-il desservi par un service de police municipal, une régie intermunicipale ou par la Sûreté du Québec ?</t>
  </si>
  <si>
    <t>Q20.1 : ...auprès des jeunes de votre quartier</t>
  </si>
  <si>
    <t>Q20.2 : … pour assurer la sécurité routière dans votre quartier</t>
  </si>
  <si>
    <t>Q20.3 : … pour régler des problèmes de délinquance ou de désordres qui surviennent dans votre quartier</t>
  </si>
  <si>
    <t>Q22.1 : Dans un comité ou un organisme préoccupé par les problèmes de sécurité de votre quartier ?</t>
  </si>
  <si>
    <t>E2 : En vous incluant, combien y a-t-il de personnes de 18 ans ou plus qui habitent votre foyer ?</t>
  </si>
  <si>
    <t>Quatre personne et plus</t>
  </si>
  <si>
    <t>Q2 : Comparativement à il y a 5 ans, les résidants de votre quartier sont ?</t>
  </si>
  <si>
    <t>Q5.1 : Dites-nous à combien vous évaluez le risque d'être personnellement intimidé ou agressé dans votre quartier : lorsque vous sortez seul(e) PENDANT LE JOUR, le risque est …</t>
  </si>
  <si>
    <t>Q5.2 : Dites-nous à combien vous évaluez le risque d'être personnellement intimidé ou agressé dans votre quartier : lorsque vous sortez seul(e) APRÈS LA TOMBÉE DU JOUR, le risque est …</t>
  </si>
  <si>
    <t>Q2 : Comparativement à il y a 5 ans, les résidants de votre quartier sont :</t>
  </si>
  <si>
    <t xml:space="preserve">Q4 : Vous arrive-t-il de ne pas vous sentir personnellement en sécurité dans </t>
  </si>
  <si>
    <t xml:space="preserve">Q5.1 : Dites-nous à combien vous évaluez le risque d'être personnellement </t>
  </si>
  <si>
    <t xml:space="preserve">Q5.2 : Dites-nous à combien vous évaluez le risque d'être personnellement </t>
  </si>
  <si>
    <t>Q5.3 : Dites-nous à combien vous évaluez le risque d'être personnellement</t>
  </si>
  <si>
    <t>Q6 : Le risque que les enfants qui vivent avec vous soient intimidés ou agressés</t>
  </si>
  <si>
    <t>Q7 : Habituellement, combien de fois sortez-vous seul(e) dans votre quartier</t>
  </si>
  <si>
    <t>Q8.1 : Dans votre quartier, les problèmes causés par des gens bruyants</t>
  </si>
  <si>
    <t>Q8.2 : Dans votre quartier : les désordres liés à la consommation d'alcool</t>
  </si>
  <si>
    <t xml:space="preserve">Q8.3 : Dans votre quartier : les désordres liés à la vente ou à la </t>
  </si>
  <si>
    <t>Q8.4 : Dans votre quartier : les problèmes liés à la criminalité sont …</t>
  </si>
  <si>
    <t>Q7 : Habituellement, combien de fois sortez-vous seul€ dans votre quartier APRÈS LA TOMBÉE DU JOUR ? Est-ce …</t>
  </si>
  <si>
    <t>Q8.2 : Dans votre quartier : les désordres liés à la consommation d'alcool  dans les lieux publics sont …</t>
  </si>
  <si>
    <t xml:space="preserve">Q8.3 : Dans votre quartier : les désordres liés à la vente ou à la consommation de drogue sont …  </t>
  </si>
  <si>
    <t>Q8.5 : Dans votre quartier : les problèmes causés par les gens qui traînent  dans les lieux publics sont …</t>
  </si>
  <si>
    <t>Q8.6 : Dans votre quartier : les actes de vandalisme sont …</t>
  </si>
  <si>
    <t>Q8.7 : Dans votre quartier : les conflits entre les groupes d'origines ethniques différentes sont … ?</t>
  </si>
  <si>
    <t>Q8.8 : Dans votre quartier : les conflits entre d'autres groupes d'individus sont … ?</t>
  </si>
  <si>
    <t>Q9.1 : Dans votre quartier : les graffiti sont … ?</t>
  </si>
  <si>
    <t>Q9.2 : Dans votre quartier : les immeubles ou bâtiments abandonnés ou mal entretenus sont … ?</t>
  </si>
  <si>
    <t>Q10.1 : Dans votre quartier : le niveau d'entraide entre les personnes est …</t>
  </si>
  <si>
    <t>Q10.2 : Dans votre quartier : le niveau de confiance qui règne entre la plupart des personnes est …</t>
  </si>
  <si>
    <t>Q11 : Dans votre quartier, les comportements des jeunes ou des groupes de  jeunes sont-ils pour vous une source de menace ou d'insécurité ?</t>
  </si>
  <si>
    <t>Q13 : Y a-t-il des endroits dans votre quartier que vous évitez de fréquenter pour des raisons de sécurité ?</t>
  </si>
  <si>
    <t>Q8.5 : Dans votre quartier : les problèmes causés par les gens qui traînent</t>
  </si>
  <si>
    <t>Q8.7 : Dans votre quartier : les conflits entre les groupes d'origines ethniques</t>
  </si>
  <si>
    <t>Q8.8 : Dans votre quartier : les conflits entre d'autres groupes d'individus</t>
  </si>
  <si>
    <t>Q9.2 : Dans votre quartier: les immeubles ou bâtiments abandonnés ou mal</t>
  </si>
  <si>
    <t xml:space="preserve">Q10.2 : Dans votre quartier : le niveau de confiance qui règne entre la plupart </t>
  </si>
  <si>
    <t>Q11 : Dans votre quartier, les comportements des jeunes ou des groupes de</t>
  </si>
  <si>
    <t xml:space="preserve">Q12 : Y a-t-il d'autres individus ou des groupes d'individus dont les </t>
  </si>
  <si>
    <t xml:space="preserve">Q13 : Y a-t-il des endroits dans votre milieu de vie que vous évitez de fréquenter </t>
  </si>
  <si>
    <t>Q14.1 : Quand je me déplace dans mon quartier, j'apporte habituellement</t>
  </si>
  <si>
    <t xml:space="preserve">Q14.2 : Lorsque je suis dans mon quartier, je vérifie qu'aucun intrus ne se trouve </t>
  </si>
  <si>
    <t>Q14.3 : À mon domicile, j'évite d'ouvrir la porte à des inconnus pour des raisons</t>
  </si>
  <si>
    <t xml:space="preserve">Q14.4 : Je garde les portes extérieures de mon domicile constamment </t>
  </si>
  <si>
    <t xml:space="preserve">Q14.6 : J'ai un système d'alarme que j'active régulièrement pour protéger mon </t>
  </si>
  <si>
    <t xml:space="preserve">Q14.8 : Spécialement par mesure de protection, il y a une arme à feu à mon </t>
  </si>
  <si>
    <t>Q15A : Le bon fonctionnement de cet/ces appareil(s) a-t-il vérifié, au cours des douze (12) derniers mois ?</t>
  </si>
  <si>
    <t>Q20.1 : … auprès des jeunes de votre quartier</t>
  </si>
  <si>
    <t>Q20.2 : … pour assurer la sécurité routière dans votre quartier ?</t>
  </si>
  <si>
    <t>Q20.3 : … pour régler des problèmes de délinquance ou de désordre qui surviennent dans votre quartier ?</t>
  </si>
  <si>
    <t xml:space="preserve">          fonctionnel par étage ?</t>
  </si>
  <si>
    <t>Q14.7 : Spécialement par mesure de protection, j'ai suivi un cours d'autodéfense.</t>
  </si>
  <si>
    <t>Q14.5 : Spécialement par mesure de protection, il y a un chien à mon domicile.</t>
  </si>
  <si>
    <t xml:space="preserve">Q14.5 : Spécialement par mesure de protection, il y a un chien  </t>
  </si>
  <si>
    <t>à mon domicile.</t>
  </si>
  <si>
    <t xml:space="preserve">Q14.7 : Spécialement par mesure de protection, j'ai suivi un  </t>
  </si>
  <si>
    <t>cours d'autodéfense.</t>
  </si>
  <si>
    <t>Q15A : Le bon fonctionnement de cet/ces appareil(s) a-t-il vérifié, au cours des</t>
  </si>
  <si>
    <t xml:space="preserve">Q16.1 : … du déneigement et du déglaçage des rues et des trottoirs de votre </t>
  </si>
  <si>
    <t xml:space="preserve">Q17 : Votre quartier est-il desservi par un service de police municipal, une régie </t>
  </si>
  <si>
    <t xml:space="preserve">          intermunicipale ou par la Sûreté du Québec ?</t>
  </si>
  <si>
    <t>Q20.1 : … auprès des jeunes dans votre quartier ?</t>
  </si>
  <si>
    <t>Q20.3 : … pour régler des problèmes de délinquance ou de désordre qui</t>
  </si>
  <si>
    <t>Q22.1 : Dans un comité ou un organisme préoccupé par les problèmes de</t>
  </si>
  <si>
    <t>IDENTIFIANT</t>
  </si>
  <si>
    <t>(vide)</t>
  </si>
  <si>
    <t>: lorsque vous sortez seul(e) pendant le jour, ce risque est …</t>
  </si>
  <si>
    <t xml:space="preserve">Total </t>
  </si>
  <si>
    <t xml:space="preserve">Q4 : Vous arrive-t-il de ne pas vous sentir personnellement en sécurité </t>
  </si>
  <si>
    <t xml:space="preserve">       dans votre quartier ?</t>
  </si>
  <si>
    <t>: losque vous sortez seul(e) après la tombée du jour, ce risque est …</t>
  </si>
  <si>
    <t xml:space="preserve">         municipal, une régie intermunicipale ou par la Sûreté du Québec ?</t>
  </si>
  <si>
    <t>Question 28 Autre</t>
  </si>
  <si>
    <t>Combien de personne de moins de 18 ans habitent avec vous ?</t>
  </si>
  <si>
    <t>Où est situé votre lieu de travail habituel ou votre établissement scolaire ?</t>
  </si>
  <si>
    <t>seul(e) pendant le jour, ce risque est …</t>
  </si>
  <si>
    <t>seul(e) après la tombée du jour, ce</t>
  </si>
  <si>
    <t>ce risque est …</t>
  </si>
  <si>
    <t xml:space="preserve">quartier, j'apporte habituellement </t>
  </si>
  <si>
    <t xml:space="preserve">Dans un conseil de quartier, </t>
  </si>
  <si>
    <t xml:space="preserve">d'arrondissement ou un comité de </t>
  </si>
  <si>
    <t>citoyens ?</t>
  </si>
  <si>
    <t>À une appartenance ou pratique(s) religieuse(s)</t>
  </si>
  <si>
    <t>À une origine ethnique</t>
  </si>
  <si>
    <t>À la différence linguistique (langue parlée)</t>
  </si>
  <si>
    <t>À l'orientation sexuelle</t>
  </si>
  <si>
    <t>À un handicap (mental ou physique)</t>
  </si>
  <si>
    <t>À l'apparence physique (poids, vêtements)</t>
  </si>
  <si>
    <t>À l'âge (jeune, personnes âgées)</t>
  </si>
  <si>
    <t>Un accident impliquant un vélo, VTT, etc.</t>
  </si>
  <si>
    <t xml:space="preserve">habituel ou votre établissement scolaire ? </t>
  </si>
  <si>
    <t>Diplôme d'études collégiales (DEC)</t>
  </si>
  <si>
    <t>dans un conseil de quartier,</t>
  </si>
  <si>
    <t>citoyens</t>
  </si>
  <si>
    <t>Ne travaille pas / n'étudie pas / retraité(e)</t>
  </si>
  <si>
    <t>habituel ou votre établissement</t>
  </si>
  <si>
    <t>scolaire ?</t>
  </si>
  <si>
    <t>Q22.4 : Dans des activités communautaires, d'entraide ou de</t>
  </si>
  <si>
    <t>Q22.3 : Dans un conseil de quartier ou d'arrondissement ou un comité de citoyens</t>
  </si>
  <si>
    <t>Q22.5 : Dans des activités sociales, culturelles ou sportives organisées</t>
  </si>
  <si>
    <t>par les gens de votre quartier ou de votre municipalité</t>
  </si>
  <si>
    <t>Q22.3 : Dans un conseil de quartier, d'arrondissement ou un comité de citoyens</t>
  </si>
  <si>
    <t>Q22.4 : Dans des activités communautaires, d'entraide ou de bénévolat ?</t>
  </si>
  <si>
    <t>Q22.5 : Dans des activités sociales, culturelles ou sportives organisées par les</t>
  </si>
  <si>
    <t>gens de votre quartier ou de votre municipalité</t>
  </si>
  <si>
    <t>Q22.5 : Dans des activités sociales, culturelles ou sportives organisées par les gens de votre quartier ?</t>
  </si>
  <si>
    <t xml:space="preserve">Dans votre quartier, les problèmes causés par des gens bruyants sont … </t>
  </si>
  <si>
    <t xml:space="preserve">Dans votre quartier, les désordres liés à la consommation d'alcool dans les lieux publics sont … </t>
  </si>
  <si>
    <t xml:space="preserve">Dans votre quartier, les désordres liés à la vente ou à la consommation de drogue sont … </t>
  </si>
  <si>
    <t xml:space="preserve">Dans votre quartier, les problèmes liés à la criminalité sont … </t>
  </si>
  <si>
    <t xml:space="preserve">Dans votre quartier, les problèmes causés par les gens qui traînent dans les lieux publics sont … </t>
  </si>
  <si>
    <t>Dans votre quartier, les actes de vandalisme sont …</t>
  </si>
  <si>
    <t>Dans votre quartier, les conflits entre les groupes d'origines ethniques différentes sont …</t>
  </si>
  <si>
    <t>Dans votre quartier, les conflits entre d'autres groupes d'individus sont …</t>
  </si>
  <si>
    <t xml:space="preserve">Dans votre quartier, les graffitis sont … </t>
  </si>
  <si>
    <t>Si oui, lesquels ?</t>
  </si>
  <si>
    <t>Veuillez nous dire votre degré de satisfaction à l'égard : du déneigement et du déglaçage des rues et des trottoirs de votre quartier .</t>
  </si>
  <si>
    <t>De façon plus spécifique, quel est votre niveau de satisfaction à l'égard du travail effectué par les policiers : auprès des jeunes de votre quartier ?</t>
  </si>
  <si>
    <t>De façon plus spécifique, quel est votre niveau de satisfaction à l'égard du travail effectué par les policiers : pour assurer la sécurité routière dans votre quartier ?</t>
  </si>
  <si>
    <t xml:space="preserve">Peu satisfait(e), pourquoi ? </t>
  </si>
  <si>
    <t>Pas du tout satisfait(e), pourquoi ?</t>
  </si>
  <si>
    <t>Au cours des deux dernières années, vous êtes vous IMPLIQUÉ SUR UNE BASE RÉGULIÈRE dans les activités suivantes de votre quartier : Dans un conseil de quartier, d'arrondissement ou un comité de citoyens ?</t>
  </si>
  <si>
    <t>Au cours des deux dernières années, vous êtes vous IMPLIQUÉ SUR UNE BASE RÉGULIÈRE dans les activités suivantes de votre quartier : Dans des activités communautaires, d'entraide ou de bénévolat (cuisine communautaire, bazar, etc.) ?</t>
  </si>
  <si>
    <t>Au cours des deux dernières années avez-vous été victime dans votre quartier d'une quelconque forme de discrimination ?</t>
  </si>
  <si>
    <t xml:space="preserve">Y a-t-il à votre domicile au moins un détecteur de fumée fonctionnel par étage ? </t>
  </si>
  <si>
    <t>Veuillez nous dire votre degré de satisfaction à l'égard :  de la propreté et de l'entretien des parcs et terrains de jeu de votre quartier.</t>
  </si>
  <si>
    <t>Veuillez nous dire votre degré de satisfaction à l'égard :  de la sécurité des appareils de jeu dans les parcs et terrains de jeu de votre quartier.</t>
  </si>
  <si>
    <t>De façon plus spécifique, quel est votre niveau de satisfaction à l'égard du travail effectué par les policiers : pour régler des problèmes de délinquance ou de désordre qui surviennent dans votre quartier ?</t>
  </si>
  <si>
    <t>Dites-nous à combien vous évaluez le risque d'être personnellement intimidé(e) ou agressé(e) dans votre quartier : Lorsque vous sortez seul(e) PENDANT LE JOUR, ce risque est …</t>
  </si>
  <si>
    <t>Dites-nous à combien vous évaluez le risque d'être personnellement intimidé(e) ou agressé(e) dans votre quartier : Lorsque vous sortez seul(e) APRÈS LA TOMBÉE DU JOUR, ce risque est …</t>
  </si>
  <si>
    <t xml:space="preserve">Dans votre quartier, les immeubles ou bâtiments abandonnés ou mal entretenus sont ... </t>
  </si>
  <si>
    <t xml:space="preserve">Dans votre quartier, le niveau d'entraide entre les personnes est ... </t>
  </si>
  <si>
    <t xml:space="preserve">Dans votre quartier, le niveau de confiance qui règne entre la plupart des personnes est ... </t>
  </si>
  <si>
    <t>De quel type ou groupe d'individus s'agit-il ? Autre, préciser.</t>
  </si>
  <si>
    <t>Autre, préciser.</t>
  </si>
  <si>
    <t>À votre avis, votre quartier est …</t>
  </si>
  <si>
    <t>Comparativement à il y a 5 ans, les résidants de votre quartier sont …</t>
  </si>
  <si>
    <t>L'âge regroupé</t>
  </si>
  <si>
    <t>Entre 2 et 4 ans</t>
  </si>
  <si>
    <t xml:space="preserve">Y a-t-il à votre domicile au </t>
  </si>
  <si>
    <t xml:space="preserve">parcs et terrains de jeu de votre </t>
  </si>
  <si>
    <t xml:space="preserve">dans les parcs et terrains de jeu de </t>
  </si>
  <si>
    <t>Quasi noyade: piscine privé/publique/autre plan d'eau</t>
  </si>
  <si>
    <t xml:space="preserve">En se référant au dernier </t>
  </si>
  <si>
    <t>événement, était-ce … ?</t>
  </si>
  <si>
    <t xml:space="preserve">Combien de fois cela s'est-il </t>
  </si>
  <si>
    <t>produit ?</t>
  </si>
  <si>
    <t xml:space="preserve">Au cours des deux dernières </t>
  </si>
  <si>
    <t xml:space="preserve">années, avez-vous subi un </t>
  </si>
  <si>
    <t xml:space="preserve">accident qui vous a occasionné   </t>
  </si>
  <si>
    <t xml:space="preserve">une blessure pour laquelle vous  </t>
  </si>
  <si>
    <t xml:space="preserve">avez dû consulter un professionnel  </t>
  </si>
  <si>
    <t>de la santé ou limiter vos activités ?</t>
  </si>
  <si>
    <t>Quartier 5</t>
  </si>
  <si>
    <t>Quartier 6</t>
  </si>
  <si>
    <t>Quartier 7</t>
  </si>
  <si>
    <t>Quartier 8</t>
  </si>
  <si>
    <t>Refus</t>
  </si>
  <si>
    <t>18 ans habitent avec vous ?</t>
  </si>
  <si>
    <t>Vivre avec d'autres</t>
  </si>
  <si>
    <t xml:space="preserve">Q15 : Y a-t-il à votre domicile au moins un détecteur de </t>
  </si>
  <si>
    <t>de jeu de votre quartier ?</t>
  </si>
  <si>
    <t>et terrains de jeu de votre quartier ?</t>
  </si>
  <si>
    <t>Q15 : Y a-t-il à votre domicile au moins un détecteur de fumée fonctionnel par étage ?</t>
  </si>
  <si>
    <t xml:space="preserve">Q16.2 : … de la propreté et de l'entretien des parcs et terrains de jeu de votre </t>
  </si>
  <si>
    <t>Q16.2 : … de la propreté et de l'entretien des parcs et terrains de jeu de votre quartier ?</t>
  </si>
  <si>
    <t>Q16.3 : … de la sécurité des appareils de jeux dans les parcs et terrains de jeu de votre quartier ?</t>
  </si>
  <si>
    <t>dans les parcs et terrains de jeu de</t>
  </si>
  <si>
    <t>… de la sécurité des appareils de jeu</t>
  </si>
  <si>
    <t xml:space="preserve">Q16.3 : … de la sécurité des appareils de jeu dans les parcs </t>
  </si>
  <si>
    <t>Q16.3 : … de la sécurité des appareils de jeu dans les parcs et terrains de jeu</t>
  </si>
  <si>
    <t>Q16.3 : … de la sécurité des appareils de jeu dans les parcs et terrains de jeu de votre quartier ?</t>
  </si>
</sst>
</file>

<file path=xl/styles.xml><?xml version="1.0" encoding="utf-8"?>
<styleSheet xmlns="http://schemas.openxmlformats.org/spreadsheetml/2006/main">
  <numFmts count="7">
    <numFmt numFmtId="164" formatCode="00"/>
    <numFmt numFmtId="165" formatCode="000"/>
    <numFmt numFmtId="166" formatCode="0.0%"/>
    <numFmt numFmtId="167" formatCode="0.00000"/>
    <numFmt numFmtId="168" formatCode="0.0000"/>
    <numFmt numFmtId="169" formatCode="0.000"/>
    <numFmt numFmtId="170" formatCode="0.0"/>
  </numFmts>
  <fonts count="2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1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b/>
      <sz val="11"/>
      <name val="Arial"/>
      <family val="2"/>
    </font>
    <font>
      <b/>
      <sz val="11"/>
      <color theme="0"/>
      <name val="Calibri"/>
      <family val="2"/>
      <scheme val="minor"/>
    </font>
    <font>
      <sz val="10"/>
      <name val="MS Sans Serif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34"/>
      </patternFill>
    </fill>
    <fill>
      <patternFill patternType="solid">
        <fgColor theme="0"/>
        <bgColor indexed="64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theme="6" tint="0.59999389629810485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D0D7E5"/>
      </left>
      <right/>
      <top style="thin">
        <color rgb="FFD0D7E5"/>
      </top>
      <bottom/>
      <diagonal/>
    </border>
    <border>
      <left style="thin">
        <color rgb="FFD0D7E5"/>
      </left>
      <right/>
      <top style="thin">
        <color indexed="64"/>
      </top>
      <bottom style="thin">
        <color indexed="64"/>
      </bottom>
      <diagonal/>
    </border>
    <border>
      <left style="thin">
        <color rgb="FFD0D7E5"/>
      </left>
      <right/>
      <top/>
      <bottom style="thin">
        <color rgb="FFD0D7E5"/>
      </bottom>
      <diagonal/>
    </border>
    <border>
      <left style="thin">
        <color auto="1"/>
      </left>
      <right style="thin">
        <color auto="1"/>
      </right>
      <top/>
      <bottom style="thin">
        <color rgb="FFD0D7E5"/>
      </bottom>
      <diagonal/>
    </border>
    <border>
      <left style="thin">
        <color rgb="FFD0D7E5"/>
      </left>
      <right style="thin">
        <color auto="1"/>
      </right>
      <top style="thin">
        <color rgb="FFD0D7E5"/>
      </top>
      <bottom style="thin">
        <color rgb="FFD0D7E5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rgb="FFD0D7E5"/>
      </top>
      <bottom style="thin">
        <color rgb="FFD0D7E5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14" fillId="5" borderId="0" applyNumberFormat="0" applyBorder="0" applyAlignment="0" applyProtection="0"/>
    <xf numFmtId="0" fontId="7" fillId="6" borderId="0" applyNumberFormat="0" applyBorder="0" applyAlignment="0" applyProtection="0"/>
    <xf numFmtId="9" fontId="16" fillId="0" borderId="0" applyFont="0" applyFill="0" applyBorder="0" applyAlignment="0" applyProtection="0"/>
    <xf numFmtId="0" fontId="20" fillId="0" borderId="0"/>
  </cellStyleXfs>
  <cellXfs count="672">
    <xf numFmtId="0" fontId="0" fillId="0" borderId="0" xfId="0"/>
    <xf numFmtId="0" fontId="0" fillId="2" borderId="0" xfId="0" applyFill="1"/>
    <xf numFmtId="0" fontId="0" fillId="2" borderId="3" xfId="0" applyFill="1" applyBorder="1"/>
    <xf numFmtId="0" fontId="0" fillId="2" borderId="7" xfId="0" applyFill="1" applyBorder="1"/>
    <xf numFmtId="0" fontId="0" fillId="2" borderId="0" xfId="0" applyFill="1" applyBorder="1"/>
    <xf numFmtId="0" fontId="0" fillId="2" borderId="9" xfId="0" applyFill="1" applyBorder="1"/>
    <xf numFmtId="166" fontId="0" fillId="2" borderId="0" xfId="0" applyNumberFormat="1" applyFill="1" applyAlignment="1">
      <alignment horizontal="center"/>
    </xf>
    <xf numFmtId="0" fontId="0" fillId="2" borderId="0" xfId="0" applyFill="1" applyAlignment="1">
      <alignment horizontal="center"/>
    </xf>
    <xf numFmtId="0" fontId="13" fillId="2" borderId="0" xfId="0" applyFont="1" applyFill="1" applyAlignment="1">
      <alignment horizontal="left" vertical="center"/>
    </xf>
    <xf numFmtId="0" fontId="13" fillId="0" borderId="0" xfId="0" applyFont="1"/>
    <xf numFmtId="0" fontId="13" fillId="0" borderId="15" xfId="0" applyFont="1" applyBorder="1" applyAlignment="1">
      <alignment horizontal="center"/>
    </xf>
    <xf numFmtId="0" fontId="13" fillId="2" borderId="0" xfId="0" applyFont="1" applyFill="1"/>
    <xf numFmtId="0" fontId="13" fillId="0" borderId="3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3" fillId="0" borderId="2" xfId="0" applyFont="1" applyBorder="1" applyAlignment="1">
      <alignment horizontal="center"/>
    </xf>
    <xf numFmtId="0" fontId="13" fillId="0" borderId="2" xfId="0" applyFont="1" applyBorder="1"/>
    <xf numFmtId="166" fontId="13" fillId="0" borderId="2" xfId="0" applyNumberFormat="1" applyFont="1" applyBorder="1" applyAlignment="1">
      <alignment horizontal="center"/>
    </xf>
    <xf numFmtId="0" fontId="13" fillId="2" borderId="0" xfId="0" applyFont="1" applyFill="1" applyBorder="1"/>
    <xf numFmtId="0" fontId="0" fillId="2" borderId="2" xfId="0" applyFill="1" applyBorder="1"/>
    <xf numFmtId="0" fontId="13" fillId="0" borderId="2" xfId="0" applyFont="1" applyFill="1" applyBorder="1"/>
    <xf numFmtId="0" fontId="13" fillId="2" borderId="9" xfId="0" applyFont="1" applyFill="1" applyBorder="1" applyAlignment="1">
      <alignment horizontal="left" vertical="center" wrapText="1" readingOrder="1"/>
    </xf>
    <xf numFmtId="0" fontId="13" fillId="2" borderId="0" xfId="0" applyFont="1" applyFill="1" applyBorder="1" applyAlignment="1">
      <alignment horizontal="left" vertical="center" wrapText="1" readingOrder="1"/>
    </xf>
    <xf numFmtId="166" fontId="13" fillId="0" borderId="0" xfId="0" applyNumberFormat="1" applyFont="1"/>
    <xf numFmtId="0" fontId="10" fillId="0" borderId="0" xfId="0" applyFont="1"/>
    <xf numFmtId="0" fontId="0" fillId="2" borderId="3" xfId="0" applyNumberFormat="1" applyFill="1" applyBorder="1" applyAlignment="1">
      <alignment horizontal="center" vertical="center"/>
    </xf>
    <xf numFmtId="0" fontId="0" fillId="0" borderId="0" xfId="0" applyNumberFormat="1"/>
    <xf numFmtId="0" fontId="0" fillId="2" borderId="3" xfId="0" applyFill="1" applyBorder="1" applyAlignment="1">
      <alignment horizontal="center"/>
    </xf>
    <xf numFmtId="0" fontId="8" fillId="2" borderId="3" xfId="0" applyFont="1" applyFill="1" applyBorder="1"/>
    <xf numFmtId="0" fontId="8" fillId="2" borderId="5" xfId="0" applyFont="1" applyFill="1" applyBorder="1"/>
    <xf numFmtId="0" fontId="10" fillId="0" borderId="0" xfId="0" applyFont="1" applyFill="1" applyBorder="1"/>
    <xf numFmtId="0" fontId="0" fillId="0" borderId="0" xfId="0" applyFill="1" applyBorder="1"/>
    <xf numFmtId="0" fontId="0" fillId="0" borderId="0" xfId="0" applyNumberFormat="1" applyFill="1" applyBorder="1"/>
    <xf numFmtId="0" fontId="12" fillId="0" borderId="2" xfId="0" applyFont="1" applyBorder="1"/>
    <xf numFmtId="0" fontId="13" fillId="4" borderId="0" xfId="0" applyFont="1" applyFill="1" applyBorder="1"/>
    <xf numFmtId="0" fontId="13" fillId="4" borderId="0" xfId="0" applyFont="1" applyFill="1" applyBorder="1" applyAlignment="1">
      <alignment horizontal="center"/>
    </xf>
    <xf numFmtId="166" fontId="13" fillId="4" borderId="0" xfId="0" applyNumberFormat="1" applyFont="1" applyFill="1" applyBorder="1" applyAlignment="1">
      <alignment horizontal="center"/>
    </xf>
    <xf numFmtId="0" fontId="13" fillId="2" borderId="2" xfId="0" applyFont="1" applyFill="1" applyBorder="1"/>
    <xf numFmtId="0" fontId="0" fillId="0" borderId="0" xfId="0" pivotButton="1"/>
    <xf numFmtId="0" fontId="0" fillId="0" borderId="0" xfId="0" applyAlignment="1">
      <alignment horizontal="left"/>
    </xf>
    <xf numFmtId="0" fontId="8" fillId="0" borderId="0" xfId="0" applyFont="1"/>
    <xf numFmtId="0" fontId="12" fillId="0" borderId="2" xfId="0" applyFont="1" applyFill="1" applyBorder="1"/>
    <xf numFmtId="0" fontId="12" fillId="2" borderId="5" xfId="0" applyFont="1" applyFill="1" applyBorder="1"/>
    <xf numFmtId="0" fontId="12" fillId="2" borderId="2" xfId="0" applyFont="1" applyFill="1" applyBorder="1"/>
    <xf numFmtId="0" fontId="12" fillId="2" borderId="0" xfId="0" applyFont="1" applyFill="1"/>
    <xf numFmtId="0" fontId="13" fillId="0" borderId="15" xfId="0" applyFont="1" applyBorder="1" applyAlignment="1">
      <alignment horizontal="center"/>
    </xf>
    <xf numFmtId="0" fontId="13" fillId="4" borderId="0" xfId="0" applyFont="1" applyFill="1"/>
    <xf numFmtId="0" fontId="12" fillId="4" borderId="2" xfId="0" applyFont="1" applyFill="1" applyBorder="1"/>
    <xf numFmtId="0" fontId="13" fillId="4" borderId="2" xfId="0" applyFont="1" applyFill="1" applyBorder="1" applyAlignment="1">
      <alignment horizontal="center"/>
    </xf>
    <xf numFmtId="0" fontId="12" fillId="2" borderId="2" xfId="0" applyFont="1" applyFill="1" applyBorder="1" applyAlignment="1"/>
    <xf numFmtId="0" fontId="8" fillId="2" borderId="2" xfId="0" applyFont="1" applyFill="1" applyBorder="1"/>
    <xf numFmtId="0" fontId="12" fillId="4" borderId="2" xfId="0" applyFont="1" applyFill="1" applyBorder="1" applyAlignment="1"/>
    <xf numFmtId="0" fontId="8" fillId="0" borderId="0" xfId="0" applyFont="1" applyAlignment="1">
      <alignment horizontal="left"/>
    </xf>
    <xf numFmtId="0" fontId="12" fillId="4" borderId="0" xfId="0" applyFont="1" applyFill="1" applyBorder="1"/>
    <xf numFmtId="0" fontId="12" fillId="0" borderId="6" xfId="0" applyFont="1" applyBorder="1"/>
    <xf numFmtId="0" fontId="12" fillId="4" borderId="0" xfId="0" applyFont="1" applyFill="1" applyAlignment="1">
      <alignment horizontal="left"/>
    </xf>
    <xf numFmtId="0" fontId="12" fillId="2" borderId="0" xfId="0" applyFont="1" applyFill="1" applyAlignment="1">
      <alignment horizontal="left"/>
    </xf>
    <xf numFmtId="0" fontId="12" fillId="2" borderId="0" xfId="0" applyFont="1" applyFill="1" applyAlignment="1"/>
    <xf numFmtId="0" fontId="12" fillId="4" borderId="2" xfId="0" applyFont="1" applyFill="1" applyBorder="1" applyAlignment="1">
      <alignment horizontal="center"/>
    </xf>
    <xf numFmtId="0" fontId="18" fillId="4" borderId="0" xfId="0" applyFont="1" applyFill="1"/>
    <xf numFmtId="0" fontId="12" fillId="4" borderId="0" xfId="0" applyFont="1" applyFill="1"/>
    <xf numFmtId="0" fontId="18" fillId="4" borderId="0" xfId="0" applyFont="1" applyFill="1" applyAlignment="1">
      <alignment horizontal="center"/>
    </xf>
    <xf numFmtId="0" fontId="12" fillId="4" borderId="16" xfId="0" applyFont="1" applyFill="1" applyBorder="1" applyAlignment="1">
      <alignment horizontal="center"/>
    </xf>
    <xf numFmtId="0" fontId="12" fillId="4" borderId="0" xfId="0" applyFont="1" applyFill="1" applyBorder="1" applyAlignment="1">
      <alignment horizontal="center"/>
    </xf>
    <xf numFmtId="0" fontId="12" fillId="4" borderId="3" xfId="0" applyFont="1" applyFill="1" applyBorder="1" applyAlignment="1">
      <alignment horizontal="center"/>
    </xf>
    <xf numFmtId="0" fontId="12" fillId="4" borderId="5" xfId="0" applyFont="1" applyFill="1" applyBorder="1" applyAlignment="1">
      <alignment horizontal="center"/>
    </xf>
    <xf numFmtId="170" fontId="12" fillId="4" borderId="2" xfId="0" applyNumberFormat="1" applyFont="1" applyFill="1" applyBorder="1" applyAlignment="1">
      <alignment horizontal="center"/>
    </xf>
    <xf numFmtId="168" fontId="12" fillId="4" borderId="0" xfId="0" applyNumberFormat="1" applyFont="1" applyFill="1"/>
    <xf numFmtId="0" fontId="12" fillId="4" borderId="6" xfId="0" applyFont="1" applyFill="1" applyBorder="1"/>
    <xf numFmtId="0" fontId="12" fillId="4" borderId="6" xfId="0" applyFont="1" applyFill="1" applyBorder="1" applyAlignment="1">
      <alignment horizontal="center"/>
    </xf>
    <xf numFmtId="0" fontId="12" fillId="0" borderId="16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170" fontId="12" fillId="4" borderId="6" xfId="0" applyNumberFormat="1" applyFont="1" applyFill="1" applyBorder="1" applyAlignment="1">
      <alignment horizontal="center"/>
    </xf>
    <xf numFmtId="170" fontId="12" fillId="4" borderId="10" xfId="0" applyNumberFormat="1" applyFont="1" applyFill="1" applyBorder="1" applyAlignment="1">
      <alignment horizontal="center"/>
    </xf>
    <xf numFmtId="170" fontId="12" fillId="4" borderId="0" xfId="0" applyNumberFormat="1" applyFont="1" applyFill="1" applyBorder="1" applyAlignment="1">
      <alignment horizontal="center"/>
    </xf>
    <xf numFmtId="0" fontId="12" fillId="0" borderId="1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167" fontId="12" fillId="4" borderId="0" xfId="0" applyNumberFormat="1" applyFont="1" applyFill="1"/>
    <xf numFmtId="0" fontId="12" fillId="0" borderId="16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170" fontId="12" fillId="4" borderId="0" xfId="0" applyNumberFormat="1" applyFont="1" applyFill="1"/>
    <xf numFmtId="166" fontId="12" fillId="4" borderId="0" xfId="0" applyNumberFormat="1" applyFont="1" applyFill="1" applyBorder="1" applyAlignment="1">
      <alignment horizontal="center"/>
    </xf>
    <xf numFmtId="0" fontId="12" fillId="0" borderId="16" xfId="0" applyFont="1" applyBorder="1" applyAlignment="1"/>
    <xf numFmtId="0" fontId="12" fillId="2" borderId="9" xfId="0" applyFont="1" applyFill="1" applyBorder="1" applyAlignment="1">
      <alignment vertical="center" wrapText="1"/>
    </xf>
    <xf numFmtId="0" fontId="12" fillId="2" borderId="0" xfId="0" applyFont="1" applyFill="1" applyBorder="1" applyAlignment="1">
      <alignment vertical="center" wrapText="1"/>
    </xf>
    <xf numFmtId="0" fontId="12" fillId="0" borderId="2" xfId="0" applyFont="1" applyBorder="1" applyAlignment="1"/>
    <xf numFmtId="166" fontId="12" fillId="0" borderId="0" xfId="0" applyNumberFormat="1" applyFont="1" applyBorder="1" applyAlignment="1">
      <alignment horizontal="center"/>
    </xf>
    <xf numFmtId="0" fontId="12" fillId="2" borderId="9" xfId="0" applyFont="1" applyFill="1" applyBorder="1" applyAlignment="1">
      <alignment horizontal="left" vertical="center" wrapText="1" readingOrder="1"/>
    </xf>
    <xf numFmtId="0" fontId="12" fillId="2" borderId="0" xfId="0" applyFont="1" applyFill="1" applyBorder="1" applyAlignment="1">
      <alignment horizontal="left" vertical="center" wrapText="1" readingOrder="1"/>
    </xf>
    <xf numFmtId="0" fontId="12" fillId="0" borderId="0" xfId="0" applyFont="1" applyBorder="1" applyAlignment="1">
      <alignment horizontal="center"/>
    </xf>
    <xf numFmtId="0" fontId="12" fillId="2" borderId="0" xfId="0" applyFont="1" applyFill="1" applyBorder="1" applyAlignment="1">
      <alignment vertical="center" wrapText="1" readingOrder="1"/>
    </xf>
    <xf numFmtId="0" fontId="13" fillId="4" borderId="0" xfId="0" applyFont="1" applyFill="1" applyBorder="1" applyAlignment="1">
      <alignment horizontal="center"/>
    </xf>
    <xf numFmtId="169" fontId="13" fillId="2" borderId="0" xfId="0" applyNumberFormat="1" applyFont="1" applyFill="1"/>
    <xf numFmtId="0" fontId="13" fillId="4" borderId="0" xfId="0" applyFont="1" applyFill="1" applyBorder="1" applyAlignment="1">
      <alignment horizontal="center"/>
    </xf>
    <xf numFmtId="0" fontId="12" fillId="4" borderId="0" xfId="0" applyFont="1" applyFill="1" applyAlignment="1">
      <alignment horizontal="center"/>
    </xf>
    <xf numFmtId="0" fontId="12" fillId="2" borderId="0" xfId="0" applyFont="1" applyFill="1" applyBorder="1"/>
    <xf numFmtId="0" fontId="14" fillId="5" borderId="10" xfId="1" applyBorder="1" applyAlignment="1" applyProtection="1">
      <alignment vertical="top"/>
    </xf>
    <xf numFmtId="0" fontId="14" fillId="5" borderId="6" xfId="1" applyBorder="1" applyAlignment="1" applyProtection="1">
      <alignment vertical="top"/>
    </xf>
    <xf numFmtId="164" fontId="14" fillId="5" borderId="10" xfId="1" applyNumberFormat="1" applyBorder="1" applyAlignment="1" applyProtection="1">
      <alignment vertical="top"/>
    </xf>
    <xf numFmtId="0" fontId="14" fillId="5" borderId="10" xfId="1" applyNumberFormat="1" applyBorder="1" applyAlignment="1" applyProtection="1">
      <alignment vertical="top"/>
    </xf>
    <xf numFmtId="0" fontId="14" fillId="5" borderId="6" xfId="1" applyBorder="1" applyAlignment="1" applyProtection="1">
      <alignment horizontal="left" vertical="top"/>
    </xf>
    <xf numFmtId="0" fontId="14" fillId="5" borderId="10" xfId="1" applyBorder="1" applyAlignment="1" applyProtection="1">
      <alignment horizontal="left" vertical="top"/>
    </xf>
    <xf numFmtId="0" fontId="14" fillId="5" borderId="6" xfId="1" applyNumberFormat="1" applyBorder="1" applyAlignment="1" applyProtection="1">
      <alignment horizontal="left" vertical="top"/>
    </xf>
    <xf numFmtId="0" fontId="14" fillId="5" borderId="10" xfId="1" applyNumberFormat="1" applyBorder="1" applyAlignment="1" applyProtection="1">
      <alignment horizontal="left" vertical="top"/>
    </xf>
    <xf numFmtId="164" fontId="14" fillId="5" borderId="10" xfId="1" applyNumberFormat="1" applyBorder="1" applyAlignment="1" applyProtection="1">
      <alignment horizontal="left" vertical="top"/>
    </xf>
    <xf numFmtId="164" fontId="14" fillId="5" borderId="6" xfId="1" applyNumberFormat="1" applyBorder="1" applyAlignment="1" applyProtection="1">
      <alignment horizontal="left" vertical="top"/>
    </xf>
    <xf numFmtId="0" fontId="14" fillId="7" borderId="12" xfId="1" applyFont="1" applyFill="1" applyBorder="1" applyProtection="1"/>
    <xf numFmtId="0" fontId="14" fillId="7" borderId="11" xfId="1" applyFont="1" applyFill="1" applyBorder="1" applyProtection="1"/>
    <xf numFmtId="164" fontId="14" fillId="7" borderId="11" xfId="1" applyNumberFormat="1" applyFont="1" applyFill="1" applyBorder="1" applyAlignment="1" applyProtection="1">
      <alignment horizontal="left" vertical="top"/>
    </xf>
    <xf numFmtId="0" fontId="14" fillId="7" borderId="3" xfId="1" applyFont="1" applyFill="1" applyBorder="1" applyProtection="1"/>
    <xf numFmtId="0" fontId="14" fillId="7" borderId="0" xfId="1" applyFont="1" applyFill="1" applyBorder="1" applyProtection="1"/>
    <xf numFmtId="0" fontId="15" fillId="4" borderId="0" xfId="1" applyFont="1" applyFill="1" applyBorder="1" applyProtection="1"/>
    <xf numFmtId="165" fontId="14" fillId="5" borderId="4" xfId="1" applyNumberFormat="1" applyBorder="1" applyAlignment="1" applyProtection="1">
      <alignment vertical="center"/>
    </xf>
    <xf numFmtId="0" fontId="14" fillId="5" borderId="1" xfId="1" applyBorder="1" applyAlignment="1" applyProtection="1">
      <alignment vertical="top" wrapText="1"/>
    </xf>
    <xf numFmtId="0" fontId="14" fillId="5" borderId="4" xfId="1" applyBorder="1" applyAlignment="1" applyProtection="1">
      <alignment vertical="top" wrapText="1"/>
    </xf>
    <xf numFmtId="164" fontId="14" fillId="5" borderId="4" xfId="1" applyNumberFormat="1" applyBorder="1" applyAlignment="1" applyProtection="1">
      <alignment vertical="top" wrapText="1"/>
    </xf>
    <xf numFmtId="0" fontId="14" fillId="5" borderId="4" xfId="1" applyNumberFormat="1" applyBorder="1" applyAlignment="1" applyProtection="1">
      <alignment vertical="top" wrapText="1"/>
    </xf>
    <xf numFmtId="164" fontId="14" fillId="5" borderId="1" xfId="1" applyNumberFormat="1" applyBorder="1" applyAlignment="1" applyProtection="1">
      <alignment vertical="top" wrapText="1"/>
    </xf>
    <xf numFmtId="0" fontId="14" fillId="5" borderId="4" xfId="1" applyBorder="1" applyAlignment="1" applyProtection="1">
      <alignment horizontal="left" vertical="top" wrapText="1"/>
    </xf>
    <xf numFmtId="0" fontId="14" fillId="5" borderId="1" xfId="1" applyNumberFormat="1" applyBorder="1" applyAlignment="1" applyProtection="1">
      <alignment vertical="top" wrapText="1"/>
    </xf>
    <xf numFmtId="0" fontId="14" fillId="7" borderId="18" xfId="1" applyFont="1" applyFill="1" applyBorder="1" applyProtection="1"/>
    <xf numFmtId="0" fontId="14" fillId="7" borderId="1" xfId="1" applyFont="1" applyFill="1" applyBorder="1" applyAlignment="1" applyProtection="1">
      <alignment vertical="top" wrapText="1"/>
    </xf>
    <xf numFmtId="0" fontId="14" fillId="7" borderId="1" xfId="1" applyFont="1" applyFill="1" applyBorder="1" applyProtection="1"/>
    <xf numFmtId="0" fontId="14" fillId="7" borderId="4" xfId="1" applyFont="1" applyFill="1" applyBorder="1" applyProtection="1"/>
    <xf numFmtId="165" fontId="8" fillId="4" borderId="0" xfId="0" applyNumberFormat="1" applyFont="1" applyFill="1" applyProtection="1"/>
    <xf numFmtId="0" fontId="14" fillId="5" borderId="14" xfId="1" applyBorder="1" applyAlignment="1" applyProtection="1">
      <alignment horizontal="left" vertical="top"/>
    </xf>
    <xf numFmtId="0" fontId="14" fillId="5" borderId="17" xfId="1" applyBorder="1" applyAlignment="1" applyProtection="1">
      <alignment vertical="top" wrapText="1"/>
    </xf>
    <xf numFmtId="0" fontId="14" fillId="5" borderId="17" xfId="1" applyNumberFormat="1" applyBorder="1" applyAlignment="1" applyProtection="1">
      <alignment vertical="top" wrapText="1"/>
    </xf>
    <xf numFmtId="0" fontId="0" fillId="2" borderId="0" xfId="0" applyFill="1" applyBorder="1" applyProtection="1"/>
    <xf numFmtId="0" fontId="10" fillId="2" borderId="7" xfId="0" applyFont="1" applyFill="1" applyBorder="1" applyProtection="1"/>
    <xf numFmtId="0" fontId="10" fillId="2" borderId="3" xfId="0" applyFont="1" applyFill="1" applyBorder="1" applyAlignment="1" applyProtection="1">
      <alignment horizontal="center" vertical="center"/>
    </xf>
    <xf numFmtId="0" fontId="10" fillId="2" borderId="7" xfId="0" applyFont="1" applyFill="1" applyBorder="1" applyAlignment="1" applyProtection="1">
      <alignment horizontal="center" vertical="center"/>
    </xf>
    <xf numFmtId="0" fontId="0" fillId="2" borderId="3" xfId="0" applyFill="1" applyBorder="1" applyAlignment="1" applyProtection="1">
      <alignment horizontal="center" vertical="center"/>
    </xf>
    <xf numFmtId="0" fontId="0" fillId="2" borderId="7" xfId="0" applyFill="1" applyBorder="1" applyAlignment="1" applyProtection="1">
      <alignment vertical="center"/>
    </xf>
    <xf numFmtId="0" fontId="11" fillId="2" borderId="3" xfId="0" applyFont="1" applyFill="1" applyBorder="1" applyAlignment="1" applyProtection="1">
      <alignment horizontal="left" vertical="center"/>
    </xf>
    <xf numFmtId="0" fontId="11" fillId="2" borderId="7" xfId="0" applyFont="1" applyFill="1" applyBorder="1" applyAlignment="1" applyProtection="1">
      <alignment horizontal="center" vertical="center"/>
    </xf>
    <xf numFmtId="0" fontId="8" fillId="2" borderId="3" xfId="0" applyFont="1" applyFill="1" applyBorder="1" applyAlignment="1" applyProtection="1">
      <alignment horizontal="center" vertical="center"/>
    </xf>
    <xf numFmtId="9" fontId="8" fillId="2" borderId="3" xfId="3" applyFont="1" applyFill="1" applyBorder="1" applyAlignment="1" applyProtection="1">
      <alignment horizontal="center" vertical="center"/>
    </xf>
    <xf numFmtId="0" fontId="0" fillId="2" borderId="8" xfId="0" applyFill="1" applyBorder="1" applyAlignment="1" applyProtection="1">
      <alignment vertical="center"/>
    </xf>
    <xf numFmtId="0" fontId="11" fillId="2" borderId="5" xfId="0" applyFont="1" applyFill="1" applyBorder="1" applyAlignment="1" applyProtection="1">
      <alignment horizontal="left" vertical="center"/>
    </xf>
    <xf numFmtId="0" fontId="11" fillId="2" borderId="8" xfId="0" applyFont="1" applyFill="1" applyBorder="1" applyAlignment="1" applyProtection="1">
      <alignment horizontal="center" vertical="center"/>
    </xf>
    <xf numFmtId="0" fontId="8" fillId="2" borderId="5" xfId="0" applyFont="1" applyFill="1" applyBorder="1" applyAlignment="1" applyProtection="1">
      <alignment horizontal="center" vertical="center"/>
    </xf>
    <xf numFmtId="9" fontId="8" fillId="2" borderId="5" xfId="3" applyFont="1" applyFill="1" applyBorder="1" applyAlignment="1" applyProtection="1">
      <alignment horizontal="center" vertical="center"/>
    </xf>
    <xf numFmtId="0" fontId="8" fillId="2" borderId="12" xfId="0" applyFont="1" applyFill="1" applyBorder="1" applyAlignment="1" applyProtection="1">
      <alignment horizontal="center" vertical="center"/>
    </xf>
    <xf numFmtId="0" fontId="11" fillId="2" borderId="7" xfId="0" applyFont="1" applyFill="1" applyBorder="1" applyAlignment="1" applyProtection="1">
      <alignment vertical="center"/>
    </xf>
    <xf numFmtId="9" fontId="8" fillId="2" borderId="12" xfId="0" applyNumberFormat="1" applyFont="1" applyFill="1" applyBorder="1" applyAlignment="1" applyProtection="1">
      <alignment horizontal="center" vertical="center"/>
    </xf>
    <xf numFmtId="9" fontId="8" fillId="2" borderId="13" xfId="0" applyNumberFormat="1" applyFont="1" applyFill="1" applyBorder="1" applyAlignment="1" applyProtection="1">
      <alignment horizontal="center" vertical="center"/>
    </xf>
    <xf numFmtId="0" fontId="0" fillId="2" borderId="3" xfId="0" applyFill="1" applyBorder="1" applyProtection="1"/>
    <xf numFmtId="0" fontId="0" fillId="2" borderId="7" xfId="0" applyFill="1" applyBorder="1" applyAlignment="1" applyProtection="1">
      <alignment horizontal="center" vertical="center"/>
    </xf>
    <xf numFmtId="0" fontId="0" fillId="2" borderId="3" xfId="0" applyFill="1" applyBorder="1" applyAlignment="1" applyProtection="1">
      <alignment horizontal="center"/>
    </xf>
    <xf numFmtId="0" fontId="0" fillId="2" borderId="6" xfId="0" applyFill="1" applyBorder="1" applyAlignment="1" applyProtection="1">
      <alignment horizontal="center"/>
    </xf>
    <xf numFmtId="0" fontId="0" fillId="2" borderId="0" xfId="0" applyFill="1" applyProtection="1"/>
    <xf numFmtId="0" fontId="0" fillId="2" borderId="7" xfId="0" applyFill="1" applyBorder="1" applyProtection="1"/>
    <xf numFmtId="9" fontId="0" fillId="2" borderId="3" xfId="0" applyNumberFormat="1" applyFill="1" applyBorder="1" applyAlignment="1" applyProtection="1">
      <alignment horizontal="center"/>
    </xf>
    <xf numFmtId="0" fontId="11" fillId="2" borderId="3" xfId="0" applyFont="1" applyFill="1" applyBorder="1" applyProtection="1"/>
    <xf numFmtId="0" fontId="0" fillId="2" borderId="8" xfId="0" applyFill="1" applyBorder="1" applyProtection="1"/>
    <xf numFmtId="0" fontId="11" fillId="2" borderId="5" xfId="0" applyFont="1" applyFill="1" applyBorder="1" applyProtection="1"/>
    <xf numFmtId="0" fontId="0" fillId="2" borderId="8" xfId="0" applyFill="1" applyBorder="1" applyAlignment="1" applyProtection="1">
      <alignment horizontal="center" vertical="center"/>
    </xf>
    <xf numFmtId="0" fontId="0" fillId="2" borderId="5" xfId="0" applyFill="1" applyBorder="1" applyAlignment="1" applyProtection="1">
      <alignment horizontal="center"/>
    </xf>
    <xf numFmtId="9" fontId="0" fillId="2" borderId="5" xfId="0" applyNumberFormat="1" applyFill="1" applyBorder="1" applyAlignment="1" applyProtection="1">
      <alignment horizontal="center"/>
    </xf>
    <xf numFmtId="0" fontId="10" fillId="3" borderId="7" xfId="0" applyFont="1" applyFill="1" applyBorder="1" applyProtection="1"/>
    <xf numFmtId="0" fontId="0" fillId="3" borderId="3" xfId="0" applyFill="1" applyBorder="1" applyProtection="1"/>
    <xf numFmtId="0" fontId="0" fillId="3" borderId="7" xfId="0" applyFill="1" applyBorder="1" applyAlignment="1" applyProtection="1">
      <alignment horizontal="center" vertical="center"/>
    </xf>
    <xf numFmtId="0" fontId="0" fillId="3" borderId="3" xfId="0" applyFill="1" applyBorder="1" applyAlignment="1" applyProtection="1">
      <alignment horizontal="center"/>
    </xf>
    <xf numFmtId="9" fontId="0" fillId="3" borderId="3" xfId="0" applyNumberFormat="1" applyFill="1" applyBorder="1" applyAlignment="1" applyProtection="1">
      <alignment horizontal="center"/>
    </xf>
    <xf numFmtId="0" fontId="0" fillId="3" borderId="7" xfId="0" applyFill="1" applyBorder="1" applyProtection="1"/>
    <xf numFmtId="0" fontId="0" fillId="3" borderId="8" xfId="0" applyFill="1" applyBorder="1" applyProtection="1"/>
    <xf numFmtId="0" fontId="11" fillId="3" borderId="5" xfId="0" applyFont="1" applyFill="1" applyBorder="1" applyProtection="1"/>
    <xf numFmtId="0" fontId="0" fillId="3" borderId="8" xfId="0" applyFill="1" applyBorder="1" applyAlignment="1" applyProtection="1">
      <alignment horizontal="center" vertical="center"/>
    </xf>
    <xf numFmtId="0" fontId="0" fillId="3" borderId="5" xfId="0" applyFill="1" applyBorder="1" applyAlignment="1" applyProtection="1">
      <alignment horizontal="center"/>
    </xf>
    <xf numFmtId="9" fontId="0" fillId="3" borderId="5" xfId="0" applyNumberFormat="1" applyFill="1" applyBorder="1" applyAlignment="1" applyProtection="1">
      <alignment horizontal="center"/>
    </xf>
    <xf numFmtId="0" fontId="0" fillId="2" borderId="6" xfId="0" applyFill="1" applyBorder="1" applyProtection="1"/>
    <xf numFmtId="0" fontId="0" fillId="2" borderId="11" xfId="0" applyFill="1" applyBorder="1" applyAlignment="1" applyProtection="1">
      <alignment horizontal="center"/>
    </xf>
    <xf numFmtId="0" fontId="8" fillId="2" borderId="7" xfId="0" applyFont="1" applyFill="1" applyBorder="1" applyProtection="1"/>
    <xf numFmtId="9" fontId="0" fillId="2" borderId="12" xfId="0" applyNumberFormat="1" applyFill="1" applyBorder="1" applyAlignment="1" applyProtection="1">
      <alignment horizontal="center"/>
    </xf>
    <xf numFmtId="0" fontId="10" fillId="2" borderId="14" xfId="0" applyFont="1" applyFill="1" applyBorder="1" applyProtection="1"/>
    <xf numFmtId="0" fontId="0" fillId="2" borderId="6" xfId="0" applyFill="1" applyBorder="1" applyAlignment="1" applyProtection="1">
      <alignment horizontal="center" vertical="center"/>
    </xf>
    <xf numFmtId="166" fontId="0" fillId="2" borderId="3" xfId="0" applyNumberFormat="1" applyFill="1" applyBorder="1" applyAlignment="1" applyProtection="1">
      <alignment horizontal="center"/>
    </xf>
    <xf numFmtId="0" fontId="11" fillId="2" borderId="12" xfId="0" applyFont="1" applyFill="1" applyBorder="1" applyProtection="1"/>
    <xf numFmtId="0" fontId="11" fillId="2" borderId="0" xfId="0" applyFont="1" applyFill="1" applyProtection="1"/>
    <xf numFmtId="0" fontId="11" fillId="2" borderId="13" xfId="0" applyFont="1" applyFill="1" applyBorder="1" applyProtection="1"/>
    <xf numFmtId="0" fontId="11" fillId="2" borderId="9" xfId="0" applyFont="1" applyFill="1" applyBorder="1" applyProtection="1"/>
    <xf numFmtId="0" fontId="0" fillId="2" borderId="5" xfId="0" applyFill="1" applyBorder="1" applyAlignment="1" applyProtection="1">
      <alignment horizontal="center" vertical="center"/>
    </xf>
    <xf numFmtId="166" fontId="0" fillId="2" borderId="5" xfId="0" applyNumberFormat="1" applyFill="1" applyBorder="1" applyAlignment="1" applyProtection="1">
      <alignment horizontal="center"/>
    </xf>
    <xf numFmtId="0" fontId="10" fillId="2" borderId="6" xfId="0" applyFont="1" applyFill="1" applyBorder="1" applyProtection="1"/>
    <xf numFmtId="0" fontId="0" fillId="2" borderId="0" xfId="0" applyFill="1" applyAlignment="1" applyProtection="1">
      <alignment horizontal="center"/>
    </xf>
    <xf numFmtId="0" fontId="10" fillId="2" borderId="3" xfId="0" applyFont="1" applyFill="1" applyBorder="1" applyProtection="1"/>
    <xf numFmtId="0" fontId="0" fillId="2" borderId="12" xfId="0" applyFill="1" applyBorder="1" applyProtection="1"/>
    <xf numFmtId="0" fontId="0" fillId="2" borderId="5" xfId="0" applyFill="1" applyBorder="1" applyProtection="1"/>
    <xf numFmtId="0" fontId="0" fillId="2" borderId="10" xfId="0" applyFill="1" applyBorder="1" applyAlignment="1" applyProtection="1">
      <alignment horizontal="center" vertical="center"/>
    </xf>
    <xf numFmtId="0" fontId="0" fillId="2" borderId="10" xfId="0" applyFill="1" applyBorder="1" applyAlignment="1" applyProtection="1">
      <alignment horizontal="center"/>
    </xf>
    <xf numFmtId="166" fontId="0" fillId="2" borderId="0" xfId="0" applyNumberFormat="1" applyFill="1" applyBorder="1" applyAlignment="1" applyProtection="1">
      <alignment horizontal="center"/>
    </xf>
    <xf numFmtId="0" fontId="0" fillId="2" borderId="13" xfId="0" applyFill="1" applyBorder="1" applyProtection="1"/>
    <xf numFmtId="0" fontId="0" fillId="2" borderId="0" xfId="0" applyFill="1" applyAlignment="1" applyProtection="1">
      <alignment horizontal="center" vertical="center"/>
    </xf>
    <xf numFmtId="9" fontId="0" fillId="2" borderId="7" xfId="0" applyNumberFormat="1" applyFill="1" applyBorder="1" applyAlignment="1" applyProtection="1">
      <alignment horizontal="center"/>
    </xf>
    <xf numFmtId="0" fontId="0" fillId="2" borderId="0" xfId="0" applyFill="1" applyBorder="1" applyAlignment="1" applyProtection="1">
      <alignment horizontal="center"/>
    </xf>
    <xf numFmtId="0" fontId="10" fillId="2" borderId="5" xfId="0" applyFont="1" applyFill="1" applyBorder="1" applyProtection="1"/>
    <xf numFmtId="0" fontId="0" fillId="2" borderId="9" xfId="0" applyFill="1" applyBorder="1" applyAlignment="1" applyProtection="1">
      <alignment horizontal="center"/>
    </xf>
    <xf numFmtId="9" fontId="0" fillId="2" borderId="8" xfId="0" applyNumberFormat="1" applyFill="1" applyBorder="1" applyAlignment="1" applyProtection="1">
      <alignment horizontal="center"/>
    </xf>
    <xf numFmtId="0" fontId="0" fillId="2" borderId="7" xfId="0" applyFill="1" applyBorder="1" applyAlignment="1" applyProtection="1">
      <alignment horizontal="center"/>
    </xf>
    <xf numFmtId="0" fontId="11" fillId="2" borderId="7" xfId="0" applyFont="1" applyFill="1" applyBorder="1" applyProtection="1"/>
    <xf numFmtId="0" fontId="0" fillId="2" borderId="13" xfId="0" applyFill="1" applyBorder="1" applyAlignment="1" applyProtection="1">
      <alignment horizontal="center"/>
    </xf>
    <xf numFmtId="0" fontId="11" fillId="2" borderId="0" xfId="0" applyFont="1" applyFill="1" applyBorder="1" applyProtection="1"/>
    <xf numFmtId="166" fontId="0" fillId="2" borderId="10" xfId="0" applyNumberFormat="1" applyFill="1" applyBorder="1" applyAlignment="1" applyProtection="1">
      <alignment horizontal="center"/>
    </xf>
    <xf numFmtId="166" fontId="0" fillId="2" borderId="11" xfId="0" applyNumberFormat="1" applyFill="1" applyBorder="1" applyAlignment="1" applyProtection="1">
      <alignment horizontal="center"/>
    </xf>
    <xf numFmtId="0" fontId="11" fillId="2" borderId="8" xfId="0" applyFont="1" applyFill="1" applyBorder="1" applyProtection="1"/>
    <xf numFmtId="0" fontId="0" fillId="2" borderId="9" xfId="0" applyFill="1" applyBorder="1" applyAlignment="1" applyProtection="1">
      <alignment horizontal="center" vertical="center"/>
    </xf>
    <xf numFmtId="166" fontId="0" fillId="2" borderId="9" xfId="0" applyNumberFormat="1" applyFill="1" applyBorder="1" applyAlignment="1" applyProtection="1">
      <alignment horizontal="center"/>
    </xf>
    <xf numFmtId="166" fontId="0" fillId="2" borderId="13" xfId="0" applyNumberFormat="1" applyFill="1" applyBorder="1" applyAlignment="1" applyProtection="1">
      <alignment horizontal="center"/>
    </xf>
    <xf numFmtId="0" fontId="0" fillId="2" borderId="3" xfId="0" applyNumberFormat="1" applyFill="1" applyBorder="1" applyAlignment="1" applyProtection="1">
      <alignment horizontal="center" vertical="center"/>
    </xf>
    <xf numFmtId="0" fontId="0" fillId="2" borderId="5" xfId="0" applyNumberFormat="1" applyFill="1" applyBorder="1" applyAlignment="1" applyProtection="1">
      <alignment horizontal="center" vertical="center"/>
    </xf>
    <xf numFmtId="0" fontId="0" fillId="2" borderId="0" xfId="0" applyFill="1" applyBorder="1" applyAlignment="1" applyProtection="1">
      <alignment horizontal="center" vertical="center"/>
    </xf>
    <xf numFmtId="166" fontId="0" fillId="2" borderId="0" xfId="0" applyNumberFormat="1" applyFill="1" applyAlignment="1" applyProtection="1">
      <alignment horizontal="center"/>
    </xf>
    <xf numFmtId="9" fontId="0" fillId="2" borderId="0" xfId="0" applyNumberFormat="1" applyFill="1" applyAlignment="1" applyProtection="1">
      <alignment horizontal="center"/>
    </xf>
    <xf numFmtId="9" fontId="0" fillId="2" borderId="0" xfId="0" applyNumberFormat="1" applyFill="1" applyBorder="1" applyAlignment="1" applyProtection="1">
      <alignment horizontal="center"/>
    </xf>
    <xf numFmtId="9" fontId="0" fillId="2" borderId="9" xfId="0" applyNumberFormat="1" applyFill="1" applyBorder="1" applyAlignment="1" applyProtection="1">
      <alignment horizontal="center"/>
    </xf>
    <xf numFmtId="164" fontId="0" fillId="2" borderId="3" xfId="0" applyNumberFormat="1" applyFill="1" applyBorder="1" applyAlignment="1" applyProtection="1">
      <alignment horizontal="center" vertical="center"/>
    </xf>
    <xf numFmtId="0" fontId="0" fillId="2" borderId="8" xfId="0" applyFill="1" applyBorder="1" applyAlignment="1" applyProtection="1">
      <alignment horizontal="center"/>
    </xf>
    <xf numFmtId="0" fontId="0" fillId="2" borderId="14" xfId="0" applyFill="1" applyBorder="1" applyAlignment="1" applyProtection="1">
      <alignment horizontal="center" vertical="center"/>
    </xf>
    <xf numFmtId="0" fontId="0" fillId="2" borderId="12" xfId="0" applyFill="1" applyBorder="1" applyAlignment="1" applyProtection="1">
      <alignment horizontal="center"/>
    </xf>
    <xf numFmtId="0" fontId="0" fillId="8" borderId="0" xfId="0" applyFill="1" applyProtection="1"/>
    <xf numFmtId="0" fontId="10" fillId="2" borderId="10" xfId="0" applyFont="1" applyFill="1" applyBorder="1" applyProtection="1"/>
    <xf numFmtId="0" fontId="11" fillId="2" borderId="10" xfId="0" applyFont="1" applyFill="1" applyBorder="1" applyProtection="1"/>
    <xf numFmtId="166" fontId="0" fillId="2" borderId="6" xfId="0" applyNumberFormat="1" applyFill="1" applyBorder="1" applyAlignment="1" applyProtection="1">
      <alignment horizontal="center"/>
    </xf>
    <xf numFmtId="0" fontId="0" fillId="2" borderId="9" xfId="0" applyFill="1" applyBorder="1" applyProtection="1"/>
    <xf numFmtId="166" fontId="0" fillId="2" borderId="12" xfId="0" applyNumberFormat="1" applyFill="1" applyBorder="1" applyAlignment="1" applyProtection="1">
      <alignment horizontal="center"/>
    </xf>
    <xf numFmtId="0" fontId="10" fillId="2" borderId="8" xfId="0" applyFont="1" applyFill="1" applyBorder="1" applyProtection="1"/>
    <xf numFmtId="166" fontId="0" fillId="2" borderId="8" xfId="0" applyNumberFormat="1" applyFill="1" applyBorder="1" applyAlignment="1" applyProtection="1">
      <alignment horizontal="center"/>
    </xf>
    <xf numFmtId="0" fontId="0" fillId="2" borderId="0" xfId="0" applyNumberFormat="1" applyFill="1" applyAlignment="1" applyProtection="1">
      <alignment horizontal="center" vertical="center"/>
    </xf>
    <xf numFmtId="0" fontId="0" fillId="2" borderId="9" xfId="0" applyNumberFormat="1" applyFill="1" applyBorder="1" applyAlignment="1" applyProtection="1">
      <alignment horizontal="center" vertical="center"/>
    </xf>
    <xf numFmtId="0" fontId="0" fillId="2" borderId="10" xfId="0" applyNumberFormat="1" applyFill="1" applyBorder="1" applyAlignment="1" applyProtection="1">
      <alignment horizontal="center" vertical="center"/>
    </xf>
    <xf numFmtId="0" fontId="0" fillId="2" borderId="0" xfId="0" applyNumberFormat="1" applyFill="1" applyBorder="1" applyAlignment="1" applyProtection="1">
      <alignment horizontal="center" vertical="center"/>
    </xf>
    <xf numFmtId="9" fontId="0" fillId="2" borderId="5" xfId="0" applyNumberFormat="1" applyFill="1" applyBorder="1" applyAlignment="1" applyProtection="1">
      <alignment horizontal="center" vertical="center"/>
    </xf>
    <xf numFmtId="164" fontId="0" fillId="2" borderId="9" xfId="0" applyNumberFormat="1" applyFill="1" applyBorder="1" applyAlignment="1" applyProtection="1">
      <alignment horizontal="center" vertical="center"/>
    </xf>
    <xf numFmtId="164" fontId="0" fillId="2" borderId="0" xfId="0" applyNumberFormat="1" applyFill="1" applyBorder="1" applyAlignment="1" applyProtection="1">
      <alignment horizontal="center" vertical="center"/>
    </xf>
    <xf numFmtId="0" fontId="7" fillId="4" borderId="3" xfId="2" applyNumberFormat="1" applyFill="1" applyBorder="1" applyProtection="1"/>
    <xf numFmtId="0" fontId="17" fillId="7" borderId="12" xfId="0" applyFont="1" applyFill="1" applyBorder="1" applyProtection="1"/>
    <xf numFmtId="0" fontId="17" fillId="7" borderId="5" xfId="0" applyFont="1" applyFill="1" applyBorder="1" applyProtection="1"/>
    <xf numFmtId="0" fontId="17" fillId="7" borderId="2" xfId="0" applyFont="1" applyFill="1" applyBorder="1" applyProtection="1"/>
    <xf numFmtId="0" fontId="8" fillId="4" borderId="0" xfId="0" applyFont="1" applyFill="1" applyBorder="1" applyProtection="1"/>
    <xf numFmtId="0" fontId="7" fillId="4" borderId="2" xfId="2" applyNumberFormat="1" applyFill="1" applyBorder="1" applyProtection="1"/>
    <xf numFmtId="0" fontId="7" fillId="4" borderId="2" xfId="2" applyFill="1" applyBorder="1" applyAlignment="1" applyProtection="1">
      <alignment vertical="top"/>
    </xf>
    <xf numFmtId="0" fontId="7" fillId="4" borderId="2" xfId="2" applyFill="1" applyBorder="1" applyProtection="1"/>
    <xf numFmtId="0" fontId="7" fillId="6" borderId="2" xfId="2" applyBorder="1" applyProtection="1"/>
    <xf numFmtId="0" fontId="7" fillId="6" borderId="2" xfId="2" applyNumberFormat="1" applyBorder="1" applyProtection="1"/>
    <xf numFmtId="0" fontId="17" fillId="7" borderId="15" xfId="0" applyFont="1" applyFill="1" applyBorder="1" applyProtection="1"/>
    <xf numFmtId="0" fontId="8" fillId="4" borderId="3" xfId="0" applyFont="1" applyFill="1" applyBorder="1" applyAlignment="1" applyProtection="1">
      <alignment vertical="top"/>
    </xf>
    <xf numFmtId="0" fontId="8" fillId="4" borderId="0" xfId="0" applyFont="1" applyFill="1" applyAlignment="1" applyProtection="1">
      <alignment vertical="top"/>
    </xf>
    <xf numFmtId="0" fontId="8" fillId="4" borderId="3" xfId="0" applyFont="1" applyFill="1" applyBorder="1" applyProtection="1"/>
    <xf numFmtId="0" fontId="8" fillId="4" borderId="0" xfId="0" applyFont="1" applyFill="1" applyProtection="1"/>
    <xf numFmtId="164" fontId="8" fillId="4" borderId="0" xfId="0" applyNumberFormat="1" applyFont="1" applyFill="1" applyProtection="1"/>
    <xf numFmtId="0" fontId="8" fillId="4" borderId="0" xfId="0" applyNumberFormat="1" applyFont="1" applyFill="1" applyProtection="1"/>
    <xf numFmtId="0" fontId="8" fillId="4" borderId="3" xfId="0" applyNumberFormat="1" applyFont="1" applyFill="1" applyBorder="1" applyProtection="1"/>
    <xf numFmtId="164" fontId="8" fillId="4" borderId="3" xfId="0" applyNumberFormat="1" applyFont="1" applyFill="1" applyBorder="1" applyProtection="1"/>
    <xf numFmtId="0" fontId="8" fillId="4" borderId="0" xfId="0" applyNumberFormat="1" applyFont="1" applyFill="1" applyBorder="1" applyProtection="1"/>
    <xf numFmtId="0" fontId="17" fillId="7" borderId="3" xfId="0" applyFont="1" applyFill="1" applyBorder="1" applyProtection="1"/>
    <xf numFmtId="0" fontId="17" fillId="7" borderId="0" xfId="0" applyFont="1" applyFill="1" applyBorder="1" applyProtection="1"/>
    <xf numFmtId="0" fontId="7" fillId="9" borderId="2" xfId="2" applyFill="1" applyBorder="1" applyProtection="1"/>
    <xf numFmtId="0" fontId="15" fillId="4" borderId="2" xfId="2" applyFont="1" applyFill="1" applyBorder="1" applyProtection="1"/>
    <xf numFmtId="0" fontId="6" fillId="9" borderId="5" xfId="2" applyFont="1" applyFill="1" applyBorder="1" applyProtection="1"/>
    <xf numFmtId="164" fontId="7" fillId="9" borderId="2" xfId="2" applyNumberFormat="1" applyFill="1" applyBorder="1" applyProtection="1"/>
    <xf numFmtId="0" fontId="7" fillId="9" borderId="2" xfId="2" applyNumberFormat="1" applyFill="1" applyBorder="1" applyProtection="1"/>
    <xf numFmtId="0" fontId="7" fillId="9" borderId="19" xfId="2" applyNumberFormat="1" applyFill="1" applyBorder="1" applyProtection="1"/>
    <xf numFmtId="0" fontId="8" fillId="4" borderId="7" xfId="0" applyFont="1" applyFill="1" applyBorder="1" applyAlignment="1" applyProtection="1">
      <alignment vertical="top"/>
    </xf>
    <xf numFmtId="0" fontId="8" fillId="4" borderId="0" xfId="0" applyFont="1" applyFill="1" applyBorder="1" applyAlignment="1" applyProtection="1">
      <alignment vertical="top"/>
    </xf>
    <xf numFmtId="0" fontId="14" fillId="5" borderId="14" xfId="1" applyBorder="1" applyAlignment="1" applyProtection="1">
      <alignment vertical="top"/>
    </xf>
    <xf numFmtId="0" fontId="7" fillId="4" borderId="16" xfId="2" applyFill="1" applyBorder="1" applyAlignment="1" applyProtection="1">
      <alignment vertical="top"/>
    </xf>
    <xf numFmtId="164" fontId="14" fillId="10" borderId="17" xfId="1" applyNumberFormat="1" applyFill="1" applyBorder="1" applyAlignment="1" applyProtection="1">
      <alignment vertical="top" wrapText="1"/>
    </xf>
    <xf numFmtId="9" fontId="0" fillId="2" borderId="3" xfId="0" applyNumberFormat="1" applyFill="1" applyBorder="1" applyAlignment="1" applyProtection="1">
      <alignment horizontal="center"/>
    </xf>
    <xf numFmtId="0" fontId="0" fillId="2" borderId="3" xfId="0" applyFill="1" applyBorder="1" applyAlignment="1" applyProtection="1">
      <alignment horizontal="center" vertical="center"/>
    </xf>
    <xf numFmtId="9" fontId="0" fillId="2" borderId="3" xfId="0" applyNumberFormat="1" applyFill="1" applyBorder="1" applyAlignment="1" applyProtection="1">
      <alignment horizontal="center" vertical="center"/>
    </xf>
    <xf numFmtId="0" fontId="0" fillId="2" borderId="5" xfId="0" applyFill="1" applyBorder="1" applyAlignment="1" applyProtection="1">
      <alignment horizontal="center" vertical="center"/>
    </xf>
    <xf numFmtId="0" fontId="0" fillId="2" borderId="3" xfId="0" applyFill="1" applyBorder="1" applyAlignment="1">
      <alignment horizontal="center" vertical="center"/>
    </xf>
    <xf numFmtId="165" fontId="19" fillId="5" borderId="10" xfId="1" applyNumberFormat="1" applyFont="1" applyBorder="1" applyAlignment="1" applyProtection="1">
      <alignment horizontal="center" vertical="center"/>
    </xf>
    <xf numFmtId="164" fontId="14" fillId="5" borderId="14" xfId="1" applyNumberFormat="1" applyBorder="1" applyAlignment="1" applyProtection="1">
      <alignment horizontal="left" vertical="top"/>
    </xf>
    <xf numFmtId="165" fontId="17" fillId="7" borderId="13" xfId="0" applyNumberFormat="1" applyFont="1" applyFill="1" applyBorder="1" applyProtection="1"/>
    <xf numFmtId="0" fontId="7" fillId="4" borderId="16" xfId="2" applyFill="1" applyBorder="1" applyProtection="1"/>
    <xf numFmtId="49" fontId="7" fillId="4" borderId="2" xfId="2" applyNumberFormat="1" applyFill="1" applyBorder="1" applyProtection="1"/>
    <xf numFmtId="49" fontId="14" fillId="5" borderId="6" xfId="1" applyNumberFormat="1" applyBorder="1" applyAlignment="1" applyProtection="1">
      <alignment horizontal="left" vertical="top"/>
    </xf>
    <xf numFmtId="49" fontId="14" fillId="5" borderId="1" xfId="1" applyNumberFormat="1" applyBorder="1" applyAlignment="1" applyProtection="1">
      <alignment vertical="top" wrapText="1"/>
    </xf>
    <xf numFmtId="49" fontId="8" fillId="4" borderId="3" xfId="0" applyNumberFormat="1" applyFont="1" applyFill="1" applyBorder="1" applyProtection="1"/>
    <xf numFmtId="0" fontId="8" fillId="3" borderId="7" xfId="0" applyFont="1" applyFill="1" applyBorder="1" applyProtection="1"/>
    <xf numFmtId="0" fontId="8" fillId="2" borderId="3" xfId="0" applyFont="1" applyFill="1" applyBorder="1" applyProtection="1"/>
    <xf numFmtId="0" fontId="8" fillId="2" borderId="5" xfId="0" applyFont="1" applyFill="1" applyBorder="1" applyProtection="1"/>
    <xf numFmtId="0" fontId="8" fillId="2" borderId="8" xfId="0" applyFont="1" applyFill="1" applyBorder="1" applyProtection="1"/>
    <xf numFmtId="0" fontId="13" fillId="4" borderId="0" xfId="0" applyFont="1" applyFill="1" applyBorder="1" applyAlignment="1">
      <alignment horizontal="center"/>
    </xf>
    <xf numFmtId="0" fontId="12" fillId="2" borderId="0" xfId="0" applyFont="1" applyFill="1" applyAlignment="1">
      <alignment horizontal="left" vertical="center" indent="4"/>
    </xf>
    <xf numFmtId="0" fontId="13" fillId="2" borderId="0" xfId="0" applyFont="1" applyFill="1" applyAlignment="1">
      <alignment horizontal="left" vertical="center" indent="4"/>
    </xf>
    <xf numFmtId="0" fontId="13" fillId="0" borderId="15" xfId="0" applyFont="1" applyBorder="1" applyAlignment="1">
      <alignment horizontal="center"/>
    </xf>
    <xf numFmtId="0" fontId="10" fillId="0" borderId="7" xfId="0" applyFont="1" applyFill="1" applyBorder="1" applyProtection="1"/>
    <xf numFmtId="0" fontId="0" fillId="0" borderId="6" xfId="0" applyFill="1" applyBorder="1" applyProtection="1"/>
    <xf numFmtId="0" fontId="0" fillId="0" borderId="0" xfId="0" applyFill="1" applyAlignment="1" applyProtection="1">
      <alignment horizontal="center" vertical="center"/>
    </xf>
    <xf numFmtId="0" fontId="0" fillId="0" borderId="6" xfId="0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1" xfId="0" applyFill="1" applyBorder="1" applyAlignment="1" applyProtection="1">
      <alignment horizontal="center"/>
    </xf>
    <xf numFmtId="0" fontId="0" fillId="0" borderId="8" xfId="0" applyFill="1" applyBorder="1" applyProtection="1"/>
    <xf numFmtId="0" fontId="11" fillId="0" borderId="5" xfId="0" applyFont="1" applyFill="1" applyBorder="1" applyProtection="1"/>
    <xf numFmtId="0" fontId="0" fillId="0" borderId="9" xfId="0" applyFill="1" applyBorder="1" applyAlignment="1" applyProtection="1">
      <alignment horizontal="center" vertical="center"/>
    </xf>
    <xf numFmtId="0" fontId="0" fillId="0" borderId="5" xfId="0" applyFill="1" applyBorder="1" applyAlignment="1" applyProtection="1">
      <alignment horizontal="center" vertical="center"/>
    </xf>
    <xf numFmtId="9" fontId="0" fillId="0" borderId="5" xfId="0" applyNumberFormat="1" applyFill="1" applyBorder="1" applyAlignment="1" applyProtection="1">
      <alignment horizontal="center"/>
    </xf>
    <xf numFmtId="0" fontId="0" fillId="0" borderId="5" xfId="0" applyFill="1" applyBorder="1" applyAlignment="1" applyProtection="1">
      <alignment horizontal="center"/>
    </xf>
    <xf numFmtId="9" fontId="0" fillId="0" borderId="13" xfId="0" applyNumberFormat="1" applyFill="1" applyBorder="1" applyAlignment="1" applyProtection="1">
      <alignment horizontal="center" vertical="center"/>
    </xf>
    <xf numFmtId="0" fontId="0" fillId="4" borderId="7" xfId="0" applyFill="1" applyBorder="1" applyProtection="1"/>
    <xf numFmtId="0" fontId="0" fillId="4" borderId="3" xfId="0" applyFill="1" applyBorder="1" applyProtection="1"/>
    <xf numFmtId="0" fontId="0" fillId="4" borderId="0" xfId="0" applyFill="1" applyAlignment="1" applyProtection="1">
      <alignment horizontal="center" vertical="center"/>
    </xf>
    <xf numFmtId="0" fontId="0" fillId="4" borderId="3" xfId="0" applyFill="1" applyBorder="1" applyAlignment="1" applyProtection="1">
      <alignment horizontal="center" vertical="center"/>
    </xf>
    <xf numFmtId="9" fontId="0" fillId="4" borderId="0" xfId="0" applyNumberFormat="1" applyFill="1" applyAlignment="1" applyProtection="1">
      <alignment horizontal="center"/>
    </xf>
    <xf numFmtId="0" fontId="0" fillId="4" borderId="3" xfId="0" applyFill="1" applyBorder="1" applyAlignment="1" applyProtection="1">
      <alignment horizontal="center"/>
    </xf>
    <xf numFmtId="9" fontId="0" fillId="4" borderId="12" xfId="0" applyNumberFormat="1" applyFill="1" applyBorder="1" applyAlignment="1" applyProtection="1">
      <alignment horizontal="center" vertical="center"/>
    </xf>
    <xf numFmtId="9" fontId="0" fillId="4" borderId="3" xfId="0" applyNumberFormat="1" applyFill="1" applyBorder="1" applyAlignment="1" applyProtection="1">
      <alignment horizontal="center" vertical="center"/>
    </xf>
    <xf numFmtId="0" fontId="0" fillId="4" borderId="3" xfId="0" applyFill="1" applyBorder="1" applyAlignment="1" applyProtection="1">
      <alignment vertical="center"/>
    </xf>
    <xf numFmtId="9" fontId="0" fillId="4" borderId="3" xfId="0" applyNumberFormat="1" applyFill="1" applyBorder="1" applyAlignment="1" applyProtection="1">
      <alignment vertical="center"/>
    </xf>
    <xf numFmtId="0" fontId="0" fillId="4" borderId="3" xfId="0" applyFill="1" applyBorder="1" applyAlignment="1" applyProtection="1">
      <alignment wrapText="1"/>
    </xf>
    <xf numFmtId="0" fontId="0" fillId="4" borderId="0" xfId="0" applyFill="1" applyBorder="1" applyAlignment="1" applyProtection="1">
      <alignment horizontal="center" vertical="center"/>
    </xf>
    <xf numFmtId="9" fontId="0" fillId="4" borderId="0" xfId="0" applyNumberFormat="1" applyFill="1" applyBorder="1" applyAlignment="1" applyProtection="1">
      <alignment horizontal="center"/>
    </xf>
    <xf numFmtId="0" fontId="0" fillId="4" borderId="3" xfId="0" applyFill="1" applyBorder="1" applyAlignment="1" applyProtection="1">
      <alignment vertical="center" wrapText="1"/>
    </xf>
    <xf numFmtId="0" fontId="11" fillId="4" borderId="3" xfId="0" applyFont="1" applyFill="1" applyBorder="1" applyAlignment="1" applyProtection="1">
      <alignment wrapText="1"/>
    </xf>
    <xf numFmtId="9" fontId="0" fillId="4" borderId="0" xfId="0" applyNumberFormat="1" applyFill="1" applyBorder="1" applyAlignment="1" applyProtection="1">
      <alignment horizontal="center" vertical="center"/>
    </xf>
    <xf numFmtId="0" fontId="8" fillId="4" borderId="7" xfId="0" applyFont="1" applyFill="1" applyBorder="1" applyProtection="1"/>
    <xf numFmtId="0" fontId="8" fillId="2" borderId="7" xfId="0" applyNumberFormat="1" applyFont="1" applyFill="1" applyBorder="1" applyProtection="1"/>
    <xf numFmtId="9" fontId="8" fillId="2" borderId="5" xfId="0" applyNumberFormat="1" applyFont="1" applyFill="1" applyBorder="1" applyAlignment="1" applyProtection="1">
      <alignment horizontal="center" vertical="center"/>
    </xf>
    <xf numFmtId="0" fontId="12" fillId="0" borderId="0" xfId="0" applyFont="1" applyAlignment="1">
      <alignment vertical="center"/>
    </xf>
    <xf numFmtId="0" fontId="13" fillId="4" borderId="0" xfId="0" applyFont="1" applyFill="1" applyAlignment="1">
      <alignment vertical="center"/>
    </xf>
    <xf numFmtId="0" fontId="12" fillId="0" borderId="2" xfId="0" applyFont="1" applyBorder="1" applyAlignment="1">
      <alignment horizontal="center"/>
    </xf>
    <xf numFmtId="0" fontId="12" fillId="2" borderId="0" xfId="0" applyFont="1" applyFill="1" applyAlignment="1"/>
    <xf numFmtId="0" fontId="12" fillId="4" borderId="0" xfId="0" applyFont="1" applyFill="1" applyAlignment="1">
      <alignment horizontal="left"/>
    </xf>
    <xf numFmtId="0" fontId="12" fillId="0" borderId="6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21" fillId="0" borderId="20" xfId="0" applyFont="1" applyFill="1" applyBorder="1" applyAlignment="1" applyProtection="1">
      <alignment horizontal="right" vertical="center" wrapText="1"/>
    </xf>
    <xf numFmtId="0" fontId="21" fillId="0" borderId="21" xfId="0" applyFont="1" applyFill="1" applyBorder="1" applyAlignment="1" applyProtection="1">
      <alignment horizontal="right" vertical="center" wrapText="1"/>
    </xf>
    <xf numFmtId="0" fontId="21" fillId="0" borderId="22" xfId="0" applyFont="1" applyFill="1" applyBorder="1" applyAlignment="1" applyProtection="1">
      <alignment horizontal="right" vertical="center" wrapText="1"/>
    </xf>
    <xf numFmtId="0" fontId="21" fillId="9" borderId="6" xfId="0" applyFont="1" applyFill="1" applyBorder="1" applyAlignment="1" applyProtection="1">
      <alignment horizontal="right" vertical="center" wrapText="1"/>
    </xf>
    <xf numFmtId="0" fontId="21" fillId="0" borderId="6" xfId="0" applyFont="1" applyFill="1" applyBorder="1" applyAlignment="1" applyProtection="1">
      <alignment vertical="center" wrapText="1"/>
    </xf>
    <xf numFmtId="0" fontId="0" fillId="9" borderId="6" xfId="0" applyFill="1" applyBorder="1"/>
    <xf numFmtId="0" fontId="0" fillId="0" borderId="6" xfId="0" applyBorder="1"/>
    <xf numFmtId="0" fontId="21" fillId="0" borderId="6" xfId="0" applyFont="1" applyFill="1" applyBorder="1" applyAlignment="1" applyProtection="1">
      <alignment horizontal="right" vertical="center" wrapText="1"/>
    </xf>
    <xf numFmtId="0" fontId="21" fillId="9" borderId="2" xfId="0" applyFont="1" applyFill="1" applyBorder="1" applyAlignment="1" applyProtection="1">
      <alignment horizontal="right" vertical="center" wrapText="1"/>
    </xf>
    <xf numFmtId="0" fontId="21" fillId="0" borderId="2" xfId="0" applyFont="1" applyFill="1" applyBorder="1" applyAlignment="1" applyProtection="1">
      <alignment vertical="center" wrapText="1"/>
    </xf>
    <xf numFmtId="0" fontId="21" fillId="0" borderId="2" xfId="0" applyFont="1" applyFill="1" applyBorder="1" applyAlignment="1" applyProtection="1">
      <alignment horizontal="right" vertical="center" wrapText="1"/>
    </xf>
    <xf numFmtId="0" fontId="21" fillId="9" borderId="23" xfId="0" applyFont="1" applyFill="1" applyBorder="1" applyAlignment="1" applyProtection="1">
      <alignment horizontal="right" vertical="center" wrapText="1"/>
    </xf>
    <xf numFmtId="0" fontId="21" fillId="0" borderId="23" xfId="0" applyFont="1" applyFill="1" applyBorder="1" applyAlignment="1" applyProtection="1">
      <alignment vertical="center" wrapText="1"/>
    </xf>
    <xf numFmtId="0" fontId="21" fillId="0" borderId="23" xfId="0" applyFont="1" applyFill="1" applyBorder="1" applyAlignment="1" applyProtection="1">
      <alignment horizontal="right" vertical="center" wrapText="1"/>
    </xf>
    <xf numFmtId="0" fontId="21" fillId="9" borderId="6" xfId="0" applyFont="1" applyFill="1" applyBorder="1" applyAlignment="1" applyProtection="1">
      <alignment vertical="center" wrapText="1"/>
    </xf>
    <xf numFmtId="0" fontId="21" fillId="9" borderId="2" xfId="0" applyFont="1" applyFill="1" applyBorder="1" applyAlignment="1" applyProtection="1">
      <alignment vertical="center" wrapText="1"/>
    </xf>
    <xf numFmtId="0" fontId="21" fillId="9" borderId="23" xfId="0" applyFont="1" applyFill="1" applyBorder="1" applyAlignment="1" applyProtection="1">
      <alignment vertical="center" wrapText="1"/>
    </xf>
    <xf numFmtId="0" fontId="14" fillId="5" borderId="3" xfId="1" applyBorder="1" applyAlignment="1" applyProtection="1">
      <alignment vertical="top" wrapText="1"/>
    </xf>
    <xf numFmtId="164" fontId="8" fillId="4" borderId="0" xfId="0" applyNumberFormat="1" applyFont="1" applyFill="1" applyBorder="1" applyProtection="1"/>
    <xf numFmtId="164" fontId="7" fillId="0" borderId="2" xfId="2" applyNumberFormat="1" applyFill="1" applyBorder="1" applyProtection="1"/>
    <xf numFmtId="0" fontId="8" fillId="2" borderId="7" xfId="0" applyFont="1" applyFill="1" applyBorder="1" applyAlignment="1" applyProtection="1">
      <alignment vertical="center"/>
    </xf>
    <xf numFmtId="0" fontId="8" fillId="2" borderId="9" xfId="0" applyFont="1" applyFill="1" applyBorder="1" applyProtection="1"/>
    <xf numFmtId="9" fontId="0" fillId="2" borderId="13" xfId="0" applyNumberFormat="1" applyFill="1" applyBorder="1" applyAlignment="1" applyProtection="1">
      <alignment horizontal="center"/>
    </xf>
    <xf numFmtId="0" fontId="0" fillId="2" borderId="5" xfId="0" applyFill="1" applyBorder="1" applyAlignment="1" applyProtection="1">
      <alignment horizontal="center" vertical="center"/>
    </xf>
    <xf numFmtId="0" fontId="12" fillId="2" borderId="9" xfId="0" applyFont="1" applyFill="1" applyBorder="1" applyAlignment="1">
      <alignment horizontal="left" vertical="center" wrapText="1" readingOrder="1"/>
    </xf>
    <xf numFmtId="0" fontId="13" fillId="4" borderId="0" xfId="0" applyFont="1" applyFill="1" applyBorder="1" applyAlignment="1">
      <alignment horizontal="center"/>
    </xf>
    <xf numFmtId="0" fontId="12" fillId="4" borderId="6" xfId="0" applyFont="1" applyFill="1" applyBorder="1" applyAlignment="1">
      <alignment horizontal="center"/>
    </xf>
    <xf numFmtId="0" fontId="12" fillId="4" borderId="5" xfId="0" applyFont="1" applyFill="1" applyBorder="1" applyAlignment="1">
      <alignment horizontal="center"/>
    </xf>
    <xf numFmtId="0" fontId="12" fillId="2" borderId="0" xfId="0" applyFont="1" applyFill="1" applyBorder="1" applyAlignment="1">
      <alignment vertical="center"/>
    </xf>
    <xf numFmtId="0" fontId="13" fillId="4" borderId="3" xfId="0" applyFont="1" applyFill="1" applyBorder="1" applyAlignment="1">
      <alignment horizontal="center"/>
    </xf>
    <xf numFmtId="0" fontId="13" fillId="4" borderId="5" xfId="0" applyFont="1" applyFill="1" applyBorder="1" applyAlignment="1">
      <alignment horizontal="center"/>
    </xf>
    <xf numFmtId="0" fontId="13" fillId="4" borderId="6" xfId="0" applyFont="1" applyFill="1" applyBorder="1" applyAlignment="1">
      <alignment horizontal="center"/>
    </xf>
    <xf numFmtId="170" fontId="12" fillId="4" borderId="2" xfId="0" applyNumberFormat="1" applyFont="1" applyFill="1" applyBorder="1" applyAlignment="1">
      <alignment horizontal="center" vertical="center"/>
    </xf>
    <xf numFmtId="0" fontId="12" fillId="4" borderId="2" xfId="0" applyFont="1" applyFill="1" applyBorder="1" applyAlignment="1">
      <alignment horizontal="center" vertical="center"/>
    </xf>
    <xf numFmtId="0" fontId="13" fillId="0" borderId="15" xfId="0" applyFont="1" applyBorder="1" applyAlignment="1">
      <alignment horizontal="center"/>
    </xf>
    <xf numFmtId="0" fontId="12" fillId="2" borderId="9" xfId="0" applyFont="1" applyFill="1" applyBorder="1" applyAlignment="1">
      <alignment horizontal="left" vertical="center" wrapText="1" readingOrder="1"/>
    </xf>
    <xf numFmtId="0" fontId="13" fillId="0" borderId="0" xfId="0" applyFont="1" applyBorder="1" applyAlignment="1">
      <alignment horizontal="center"/>
    </xf>
    <xf numFmtId="0" fontId="12" fillId="2" borderId="0" xfId="0" applyFont="1" applyFill="1" applyAlignment="1">
      <alignment horizontal="left"/>
    </xf>
    <xf numFmtId="0" fontId="12" fillId="2" borderId="0" xfId="0" applyFont="1" applyFill="1" applyAlignment="1"/>
    <xf numFmtId="0" fontId="12" fillId="2" borderId="9" xfId="0" applyFont="1" applyFill="1" applyBorder="1" applyAlignment="1">
      <alignment vertical="center" wrapText="1"/>
    </xf>
    <xf numFmtId="0" fontId="13" fillId="4" borderId="0" xfId="0" applyFont="1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3" fillId="4" borderId="2" xfId="0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166" fontId="13" fillId="0" borderId="2" xfId="0" applyNumberFormat="1" applyFont="1" applyBorder="1" applyAlignment="1">
      <alignment horizontal="center" vertical="center"/>
    </xf>
    <xf numFmtId="0" fontId="12" fillId="2" borderId="0" xfId="0" applyFont="1" applyFill="1" applyAlignment="1">
      <alignment horizontal="left"/>
    </xf>
    <xf numFmtId="0" fontId="12" fillId="2" borderId="0" xfId="0" applyFont="1" applyFill="1" applyBorder="1" applyAlignment="1">
      <alignment horizontal="center"/>
    </xf>
    <xf numFmtId="166" fontId="13" fillId="0" borderId="0" xfId="0" applyNumberFormat="1" applyFont="1" applyBorder="1" applyAlignment="1">
      <alignment horizontal="center"/>
    </xf>
    <xf numFmtId="0" fontId="0" fillId="2" borderId="5" xfId="0" applyFill="1" applyBorder="1" applyAlignment="1" applyProtection="1">
      <alignment horizontal="center" vertical="center"/>
    </xf>
    <xf numFmtId="0" fontId="12" fillId="2" borderId="9" xfId="0" applyFont="1" applyFill="1" applyBorder="1" applyAlignment="1">
      <alignment horizontal="left" vertical="center" wrapText="1" readingOrder="1"/>
    </xf>
    <xf numFmtId="0" fontId="13" fillId="2" borderId="9" xfId="0" applyFont="1" applyFill="1" applyBorder="1" applyAlignment="1">
      <alignment horizontal="left" vertical="center" wrapText="1" readingOrder="1"/>
    </xf>
    <xf numFmtId="0" fontId="12" fillId="2" borderId="0" xfId="0" applyFont="1" applyFill="1" applyAlignment="1">
      <alignment horizontal="left" vertical="center" indent="3"/>
    </xf>
    <xf numFmtId="0" fontId="13" fillId="2" borderId="0" xfId="0" applyFont="1" applyFill="1" applyAlignment="1">
      <alignment horizontal="left" vertical="center" indent="3"/>
    </xf>
    <xf numFmtId="0" fontId="13" fillId="0" borderId="15" xfId="0" applyFont="1" applyBorder="1" applyAlignment="1">
      <alignment horizontal="center"/>
    </xf>
    <xf numFmtId="0" fontId="12" fillId="2" borderId="0" xfId="0" applyFont="1" applyFill="1" applyAlignment="1">
      <alignment horizontal="left"/>
    </xf>
    <xf numFmtId="0" fontId="13" fillId="2" borderId="0" xfId="0" applyFont="1" applyFill="1" applyAlignment="1">
      <alignment horizontal="left"/>
    </xf>
    <xf numFmtId="0" fontId="13" fillId="4" borderId="0" xfId="0" applyFont="1" applyFill="1" applyBorder="1" applyAlignment="1">
      <alignment horizontal="center"/>
    </xf>
    <xf numFmtId="0" fontId="12" fillId="4" borderId="9" xfId="0" applyFont="1" applyFill="1" applyBorder="1" applyAlignment="1">
      <alignment horizontal="left" vertical="center" wrapText="1" readingOrder="1"/>
    </xf>
    <xf numFmtId="0" fontId="12" fillId="0" borderId="2" xfId="0" applyFont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10" fillId="2" borderId="12" xfId="0" applyFont="1" applyFill="1" applyBorder="1" applyProtection="1"/>
    <xf numFmtId="0" fontId="8" fillId="2" borderId="12" xfId="0" applyFont="1" applyFill="1" applyBorder="1" applyAlignment="1" applyProtection="1">
      <alignment vertical="center"/>
    </xf>
    <xf numFmtId="0" fontId="0" fillId="2" borderId="12" xfId="0" applyFill="1" applyBorder="1" applyAlignment="1" applyProtection="1">
      <alignment vertical="center"/>
    </xf>
    <xf numFmtId="0" fontId="0" fillId="2" borderId="13" xfId="0" applyFill="1" applyBorder="1" applyAlignment="1" applyProtection="1">
      <alignment vertical="center"/>
    </xf>
    <xf numFmtId="0" fontId="11" fillId="2" borderId="12" xfId="0" applyFont="1" applyFill="1" applyBorder="1" applyAlignment="1" applyProtection="1">
      <alignment vertical="center"/>
    </xf>
    <xf numFmtId="0" fontId="8" fillId="3" borderId="12" xfId="0" applyFont="1" applyFill="1" applyBorder="1" applyProtection="1"/>
    <xf numFmtId="0" fontId="10" fillId="3" borderId="12" xfId="0" applyFont="1" applyFill="1" applyBorder="1" applyProtection="1"/>
    <xf numFmtId="0" fontId="0" fillId="3" borderId="12" xfId="0" applyFill="1" applyBorder="1" applyProtection="1"/>
    <xf numFmtId="0" fontId="0" fillId="3" borderId="13" xfId="0" applyFill="1" applyBorder="1" applyProtection="1"/>
    <xf numFmtId="0" fontId="8" fillId="2" borderId="12" xfId="0" applyFont="1" applyFill="1" applyBorder="1" applyProtection="1"/>
    <xf numFmtId="0" fontId="10" fillId="2" borderId="11" xfId="0" applyFont="1" applyFill="1" applyBorder="1" applyProtection="1"/>
    <xf numFmtId="0" fontId="8" fillId="2" borderId="13" xfId="0" applyFont="1" applyFill="1" applyBorder="1" applyProtection="1"/>
    <xf numFmtId="0" fontId="10" fillId="2" borderId="0" xfId="0" applyFont="1" applyFill="1" applyBorder="1" applyProtection="1"/>
    <xf numFmtId="0" fontId="8" fillId="2" borderId="0" xfId="0" applyFont="1" applyFill="1" applyBorder="1" applyProtection="1"/>
    <xf numFmtId="0" fontId="10" fillId="0" borderId="12" xfId="0" applyFont="1" applyFill="1" applyBorder="1" applyProtection="1"/>
    <xf numFmtId="0" fontId="0" fillId="4" borderId="12" xfId="0" applyFill="1" applyBorder="1" applyProtection="1"/>
    <xf numFmtId="0" fontId="0" fillId="0" borderId="13" xfId="0" applyFill="1" applyBorder="1" applyProtection="1"/>
    <xf numFmtId="0" fontId="10" fillId="2" borderId="9" xfId="0" applyFont="1" applyFill="1" applyBorder="1" applyProtection="1"/>
    <xf numFmtId="0" fontId="8" fillId="2" borderId="0" xfId="0" applyNumberFormat="1" applyFont="1" applyFill="1" applyBorder="1" applyProtection="1"/>
    <xf numFmtId="0" fontId="8" fillId="2" borderId="0" xfId="0" applyFont="1" applyFill="1" applyBorder="1" applyAlignment="1" applyProtection="1">
      <alignment horizontal="center" vertical="center"/>
    </xf>
    <xf numFmtId="9" fontId="8" fillId="2" borderId="0" xfId="0" applyNumberFormat="1" applyFont="1" applyFill="1" applyBorder="1" applyAlignment="1" applyProtection="1">
      <alignment horizontal="center" vertical="center"/>
    </xf>
    <xf numFmtId="9" fontId="8" fillId="2" borderId="9" xfId="0" applyNumberFormat="1" applyFont="1" applyFill="1" applyBorder="1" applyAlignment="1" applyProtection="1">
      <alignment horizontal="center" vertical="center"/>
    </xf>
    <xf numFmtId="0" fontId="0" fillId="0" borderId="10" xfId="0" applyFill="1" applyBorder="1" applyAlignment="1" applyProtection="1">
      <alignment horizontal="center"/>
    </xf>
    <xf numFmtId="9" fontId="0" fillId="0" borderId="9" xfId="0" applyNumberFormat="1" applyFill="1" applyBorder="1" applyAlignment="1" applyProtection="1">
      <alignment horizontal="center" vertical="center"/>
    </xf>
    <xf numFmtId="0" fontId="0" fillId="3" borderId="0" xfId="0" applyFill="1" applyBorder="1" applyAlignment="1" applyProtection="1">
      <alignment horizontal="center"/>
    </xf>
    <xf numFmtId="9" fontId="0" fillId="3" borderId="0" xfId="0" applyNumberFormat="1" applyFill="1" applyBorder="1" applyAlignment="1" applyProtection="1">
      <alignment horizontal="center"/>
    </xf>
    <xf numFmtId="9" fontId="0" fillId="3" borderId="9" xfId="0" applyNumberFormat="1" applyFill="1" applyBorder="1" applyAlignment="1" applyProtection="1">
      <alignment horizontal="center"/>
    </xf>
    <xf numFmtId="9" fontId="0" fillId="4" borderId="0" xfId="0" applyNumberFormat="1" applyFill="1" applyBorder="1" applyAlignment="1" applyProtection="1">
      <alignment vertical="center"/>
    </xf>
    <xf numFmtId="9" fontId="0" fillId="2" borderId="0" xfId="0" applyNumberFormat="1" applyFill="1" applyBorder="1" applyAlignment="1" applyProtection="1">
      <alignment horizontal="center" vertical="center"/>
    </xf>
    <xf numFmtId="9" fontId="0" fillId="2" borderId="9" xfId="0" applyNumberFormat="1" applyFill="1" applyBorder="1" applyAlignment="1" applyProtection="1">
      <alignment horizontal="center" vertical="center"/>
    </xf>
    <xf numFmtId="0" fontId="10" fillId="2" borderId="0" xfId="0" applyFont="1" applyFill="1" applyBorder="1" applyAlignment="1" applyProtection="1">
      <alignment horizontal="center" vertical="center"/>
    </xf>
    <xf numFmtId="0" fontId="11" fillId="2" borderId="0" xfId="0" applyFont="1" applyFill="1" applyBorder="1" applyAlignment="1" applyProtection="1">
      <alignment horizontal="center" vertical="center"/>
    </xf>
    <xf numFmtId="0" fontId="11" fillId="2" borderId="9" xfId="0" applyFont="1" applyFill="1" applyBorder="1" applyAlignment="1" applyProtection="1">
      <alignment horizontal="center" vertical="center"/>
    </xf>
    <xf numFmtId="0" fontId="0" fillId="2" borderId="12" xfId="0" applyFill="1" applyBorder="1" applyAlignment="1" applyProtection="1">
      <alignment horizontal="center" vertical="center"/>
    </xf>
    <xf numFmtId="0" fontId="0" fillId="3" borderId="0" xfId="0" applyFill="1" applyBorder="1" applyAlignment="1" applyProtection="1">
      <alignment horizontal="center" vertical="center"/>
    </xf>
    <xf numFmtId="0" fontId="0" fillId="3" borderId="9" xfId="0" applyFill="1" applyBorder="1" applyAlignment="1" applyProtection="1">
      <alignment horizontal="center" vertical="center"/>
    </xf>
    <xf numFmtId="0" fontId="0" fillId="2" borderId="11" xfId="0" applyFill="1" applyBorder="1" applyAlignment="1" applyProtection="1">
      <alignment horizontal="center" vertical="center"/>
    </xf>
    <xf numFmtId="0" fontId="0" fillId="2" borderId="13" xfId="0" applyFill="1" applyBorder="1" applyAlignment="1" applyProtection="1">
      <alignment horizontal="center" vertical="center"/>
    </xf>
    <xf numFmtId="0" fontId="0" fillId="2" borderId="12" xfId="0" applyNumberFormat="1" applyFill="1" applyBorder="1" applyAlignment="1" applyProtection="1">
      <alignment horizontal="center" vertical="center"/>
    </xf>
    <xf numFmtId="0" fontId="0" fillId="2" borderId="13" xfId="0" applyNumberFormat="1" applyFill="1" applyBorder="1" applyAlignment="1" applyProtection="1">
      <alignment horizontal="center" vertical="center"/>
    </xf>
    <xf numFmtId="164" fontId="0" fillId="2" borderId="12" xfId="0" applyNumberFormat="1" applyFill="1" applyBorder="1" applyAlignment="1" applyProtection="1">
      <alignment horizontal="center" vertical="center"/>
    </xf>
    <xf numFmtId="0" fontId="0" fillId="4" borderId="12" xfId="0" applyFill="1" applyBorder="1" applyAlignment="1" applyProtection="1">
      <alignment horizontal="center" vertical="center"/>
    </xf>
    <xf numFmtId="0" fontId="0" fillId="4" borderId="12" xfId="0" applyFill="1" applyBorder="1" applyAlignment="1" applyProtection="1">
      <alignment vertical="center"/>
    </xf>
    <xf numFmtId="0" fontId="11" fillId="2" borderId="8" xfId="0" applyFont="1" applyFill="1" applyBorder="1" applyAlignment="1" applyProtection="1">
      <alignment horizontal="left" vertical="center"/>
    </xf>
    <xf numFmtId="0" fontId="11" fillId="2" borderId="7" xfId="0" applyFont="1" applyFill="1" applyBorder="1" applyAlignment="1" applyProtection="1">
      <alignment horizontal="left" vertical="center"/>
    </xf>
    <xf numFmtId="0" fontId="11" fillId="3" borderId="8" xfId="0" applyFont="1" applyFill="1" applyBorder="1" applyProtection="1"/>
    <xf numFmtId="0" fontId="0" fillId="2" borderId="14" xfId="0" applyFill="1" applyBorder="1" applyProtection="1"/>
    <xf numFmtId="0" fontId="0" fillId="0" borderId="14" xfId="0" applyFill="1" applyBorder="1" applyProtection="1"/>
    <xf numFmtId="0" fontId="0" fillId="4" borderId="7" xfId="0" applyFill="1" applyBorder="1" applyAlignment="1" applyProtection="1">
      <alignment wrapText="1"/>
    </xf>
    <xf numFmtId="0" fontId="0" fillId="4" borderId="7" xfId="0" applyFill="1" applyBorder="1" applyAlignment="1" applyProtection="1">
      <alignment vertical="center" wrapText="1"/>
    </xf>
    <xf numFmtId="0" fontId="11" fillId="4" borderId="7" xfId="0" applyFont="1" applyFill="1" applyBorder="1" applyAlignment="1" applyProtection="1">
      <alignment wrapText="1"/>
    </xf>
    <xf numFmtId="0" fontId="11" fillId="0" borderId="8" xfId="0" applyFont="1" applyFill="1" applyBorder="1" applyProtection="1"/>
    <xf numFmtId="0" fontId="13" fillId="0" borderId="15" xfId="0" applyFont="1" applyBorder="1" applyAlignment="1">
      <alignment horizontal="center"/>
    </xf>
    <xf numFmtId="0" fontId="13" fillId="2" borderId="0" xfId="0" applyFont="1" applyFill="1" applyAlignment="1">
      <alignment horizontal="left" vertical="center"/>
    </xf>
    <xf numFmtId="0" fontId="13" fillId="4" borderId="0" xfId="0" applyFont="1" applyFill="1" applyBorder="1" applyAlignment="1">
      <alignment horizontal="center"/>
    </xf>
    <xf numFmtId="0" fontId="13" fillId="4" borderId="0" xfId="0" applyFont="1" applyFill="1" applyBorder="1" applyAlignment="1">
      <alignment horizontal="center"/>
    </xf>
    <xf numFmtId="0" fontId="13" fillId="0" borderId="15" xfId="0" applyFont="1" applyBorder="1" applyAlignment="1">
      <alignment horizontal="center"/>
    </xf>
    <xf numFmtId="166" fontId="13" fillId="4" borderId="2" xfId="0" applyNumberFormat="1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center" vertical="center"/>
    </xf>
    <xf numFmtId="166" fontId="13" fillId="4" borderId="0" xfId="0" applyNumberFormat="1" applyFont="1" applyFill="1" applyBorder="1" applyAlignment="1">
      <alignment horizontal="center" vertical="center"/>
    </xf>
    <xf numFmtId="166" fontId="13" fillId="4" borderId="2" xfId="0" applyNumberFormat="1" applyFont="1" applyFill="1" applyBorder="1" applyAlignment="1">
      <alignment horizontal="center"/>
    </xf>
    <xf numFmtId="166" fontId="13" fillId="4" borderId="2" xfId="0" applyNumberFormat="1" applyFont="1" applyFill="1" applyBorder="1"/>
    <xf numFmtId="0" fontId="13" fillId="0" borderId="7" xfId="0" applyFont="1" applyBorder="1" applyAlignment="1">
      <alignment horizontal="center"/>
    </xf>
    <xf numFmtId="0" fontId="12" fillId="2" borderId="0" xfId="0" applyFont="1" applyFill="1" applyAlignment="1">
      <alignment vertical="center"/>
    </xf>
    <xf numFmtId="0" fontId="12" fillId="2" borderId="9" xfId="0" applyFont="1" applyFill="1" applyBorder="1" applyAlignment="1">
      <alignment vertical="center" wrapText="1" readingOrder="1"/>
    </xf>
    <xf numFmtId="0" fontId="12" fillId="4" borderId="0" xfId="0" applyFont="1" applyFill="1" applyBorder="1" applyAlignment="1">
      <alignment horizontal="left"/>
    </xf>
    <xf numFmtId="0" fontId="13" fillId="4" borderId="0" xfId="0" applyFont="1" applyFill="1" applyBorder="1" applyAlignment="1">
      <alignment horizontal="center"/>
    </xf>
    <xf numFmtId="0" fontId="12" fillId="2" borderId="0" xfId="0" applyFont="1" applyFill="1" applyAlignment="1">
      <alignment horizontal="left" vertical="center" indent="3"/>
    </xf>
    <xf numFmtId="0" fontId="12" fillId="2" borderId="0" xfId="0" applyFont="1" applyFill="1" applyAlignment="1">
      <alignment horizontal="left"/>
    </xf>
    <xf numFmtId="0" fontId="12" fillId="2" borderId="0" xfId="0" applyFont="1" applyFill="1" applyAlignment="1">
      <alignment horizontal="left" vertical="center" indent="4"/>
    </xf>
    <xf numFmtId="0" fontId="13" fillId="2" borderId="0" xfId="0" applyFont="1" applyFill="1" applyAlignment="1">
      <alignment horizontal="left" vertical="center" indent="4"/>
    </xf>
    <xf numFmtId="0" fontId="13" fillId="2" borderId="0" xfId="0" applyFont="1" applyFill="1" applyAlignment="1">
      <alignment horizontal="left"/>
    </xf>
    <xf numFmtId="0" fontId="13" fillId="0" borderId="15" xfId="0" applyFont="1" applyBorder="1" applyAlignment="1">
      <alignment horizontal="center"/>
    </xf>
    <xf numFmtId="0" fontId="13" fillId="2" borderId="0" xfId="0" applyFont="1" applyFill="1" applyAlignment="1">
      <alignment horizontal="left" vertical="center" indent="3"/>
    </xf>
    <xf numFmtId="0" fontId="12" fillId="2" borderId="0" xfId="0" applyFont="1" applyFill="1" applyAlignment="1">
      <alignment horizontal="left" indent="3"/>
    </xf>
    <xf numFmtId="0" fontId="13" fillId="2" borderId="0" xfId="0" applyFont="1" applyFill="1" applyAlignment="1">
      <alignment horizontal="left" indent="3"/>
    </xf>
    <xf numFmtId="0" fontId="13" fillId="4" borderId="0" xfId="0" applyFont="1" applyFill="1" applyBorder="1" applyAlignment="1">
      <alignment horizontal="left"/>
    </xf>
    <xf numFmtId="0" fontId="0" fillId="4" borderId="0" xfId="0" applyFill="1" applyBorder="1" applyAlignment="1">
      <alignment horizontal="center"/>
    </xf>
    <xf numFmtId="0" fontId="12" fillId="4" borderId="2" xfId="0" applyFont="1" applyFill="1" applyBorder="1" applyAlignment="1">
      <alignment vertical="center"/>
    </xf>
    <xf numFmtId="166" fontId="12" fillId="4" borderId="2" xfId="0" applyNumberFormat="1" applyFont="1" applyFill="1" applyBorder="1" applyAlignment="1">
      <alignment horizontal="center" vertical="center"/>
    </xf>
    <xf numFmtId="0" fontId="12" fillId="4" borderId="0" xfId="0" applyFont="1" applyFill="1" applyBorder="1" applyAlignment="1"/>
    <xf numFmtId="0" fontId="8" fillId="4" borderId="2" xfId="0" applyFont="1" applyFill="1" applyBorder="1" applyAlignment="1">
      <alignment horizontal="left" vertical="center"/>
    </xf>
    <xf numFmtId="166" fontId="0" fillId="4" borderId="2" xfId="0" applyNumberFormat="1" applyFill="1" applyBorder="1" applyAlignment="1">
      <alignment vertical="center"/>
    </xf>
    <xf numFmtId="0" fontId="0" fillId="4" borderId="2" xfId="0" applyFill="1" applyBorder="1" applyAlignment="1">
      <alignment horizontal="center" vertical="center"/>
    </xf>
    <xf numFmtId="166" fontId="0" fillId="4" borderId="2" xfId="0" applyNumberFormat="1" applyFill="1" applyBorder="1" applyAlignment="1">
      <alignment horizontal="center" vertical="center"/>
    </xf>
    <xf numFmtId="0" fontId="11" fillId="4" borderId="10" xfId="0" applyFont="1" applyFill="1" applyBorder="1" applyAlignment="1">
      <alignment vertical="center"/>
    </xf>
    <xf numFmtId="0" fontId="12" fillId="4" borderId="0" xfId="0" applyFont="1" applyFill="1" applyBorder="1" applyAlignment="1">
      <alignment horizontal="left" vertical="center" indent="3"/>
    </xf>
    <xf numFmtId="0" fontId="8" fillId="4" borderId="2" xfId="0" applyFont="1" applyFill="1" applyBorder="1" applyAlignment="1">
      <alignment vertical="center"/>
    </xf>
    <xf numFmtId="0" fontId="8" fillId="4" borderId="2" xfId="0" applyFont="1" applyFill="1" applyBorder="1" applyAlignment="1">
      <alignment horizontal="center" vertical="center"/>
    </xf>
    <xf numFmtId="166" fontId="8" fillId="4" borderId="2" xfId="0" applyNumberFormat="1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 indent="3"/>
    </xf>
    <xf numFmtId="166" fontId="12" fillId="0" borderId="2" xfId="0" applyNumberFormat="1" applyFont="1" applyBorder="1" applyAlignment="1">
      <alignment horizontal="center"/>
    </xf>
    <xf numFmtId="0" fontId="13" fillId="4" borderId="0" xfId="0" applyFont="1" applyFill="1" applyBorder="1" applyAlignment="1">
      <alignment horizontal="center"/>
    </xf>
    <xf numFmtId="0" fontId="13" fillId="4" borderId="10" xfId="0" applyFont="1" applyFill="1" applyBorder="1" applyAlignment="1">
      <alignment vertical="center"/>
    </xf>
    <xf numFmtId="0" fontId="13" fillId="4" borderId="0" xfId="0" applyFont="1" applyFill="1" applyBorder="1" applyAlignment="1"/>
    <xf numFmtId="0" fontId="8" fillId="4" borderId="2" xfId="0" applyFont="1" applyFill="1" applyBorder="1"/>
    <xf numFmtId="0" fontId="12" fillId="2" borderId="2" xfId="0" applyFont="1" applyFill="1" applyBorder="1" applyAlignment="1">
      <alignment vertical="center"/>
    </xf>
    <xf numFmtId="0" fontId="12" fillId="2" borderId="2" xfId="0" applyFont="1" applyFill="1" applyBorder="1" applyAlignment="1">
      <alignment horizontal="center" vertical="center"/>
    </xf>
    <xf numFmtId="166" fontId="12" fillId="2" borderId="2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2" fillId="4" borderId="10" xfId="0" applyFont="1" applyFill="1" applyBorder="1" applyAlignment="1"/>
    <xf numFmtId="0" fontId="13" fillId="4" borderId="10" xfId="0" applyFont="1" applyFill="1" applyBorder="1" applyAlignment="1"/>
    <xf numFmtId="0" fontId="13" fillId="0" borderId="10" xfId="0" applyFont="1" applyBorder="1" applyAlignment="1"/>
    <xf numFmtId="0" fontId="13" fillId="0" borderId="2" xfId="0" applyFont="1" applyBorder="1" applyAlignment="1"/>
    <xf numFmtId="166" fontId="13" fillId="0" borderId="2" xfId="0" applyNumberFormat="1" applyFont="1" applyBorder="1" applyAlignment="1"/>
    <xf numFmtId="0" fontId="13" fillId="2" borderId="10" xfId="0" applyFont="1" applyFill="1" applyBorder="1" applyAlignment="1"/>
    <xf numFmtId="0" fontId="12" fillId="4" borderId="0" xfId="0" applyFont="1" applyFill="1" applyBorder="1" applyAlignment="1">
      <alignment vertical="center"/>
    </xf>
    <xf numFmtId="0" fontId="13" fillId="2" borderId="2" xfId="0" applyFont="1" applyFill="1" applyBorder="1" applyAlignment="1">
      <alignment horizontal="center"/>
    </xf>
    <xf numFmtId="166" fontId="13" fillId="2" borderId="2" xfId="0" applyNumberFormat="1" applyFont="1" applyFill="1" applyBorder="1" applyAlignment="1">
      <alignment horizontal="center"/>
    </xf>
    <xf numFmtId="166" fontId="13" fillId="2" borderId="2" xfId="0" applyNumberFormat="1" applyFont="1" applyFill="1" applyBorder="1" applyAlignment="1"/>
    <xf numFmtId="0" fontId="13" fillId="0" borderId="0" xfId="0" applyFont="1" applyBorder="1" applyAlignment="1"/>
    <xf numFmtId="0" fontId="8" fillId="4" borderId="2" xfId="0" applyFont="1" applyFill="1" applyBorder="1" applyAlignment="1"/>
    <xf numFmtId="0" fontId="0" fillId="4" borderId="2" xfId="0" applyFill="1" applyBorder="1" applyAlignment="1">
      <alignment horizontal="center"/>
    </xf>
    <xf numFmtId="166" fontId="0" fillId="4" borderId="2" xfId="0" applyNumberFormat="1" applyFill="1" applyBorder="1" applyAlignment="1">
      <alignment horizontal="center"/>
    </xf>
    <xf numFmtId="0" fontId="13" fillId="0" borderId="5" xfId="0" applyFont="1" applyBorder="1" applyAlignment="1">
      <alignment horizontal="center"/>
    </xf>
    <xf numFmtId="0" fontId="13" fillId="0" borderId="15" xfId="0" applyFont="1" applyBorder="1" applyAlignment="1">
      <alignment horizontal="center"/>
    </xf>
    <xf numFmtId="0" fontId="12" fillId="2" borderId="9" xfId="0" applyFont="1" applyFill="1" applyBorder="1" applyAlignment="1">
      <alignment vertical="center" wrapText="1"/>
    </xf>
    <xf numFmtId="0" fontId="13" fillId="4" borderId="0" xfId="0" applyFont="1" applyFill="1" applyBorder="1" applyAlignment="1">
      <alignment horizontal="center"/>
    </xf>
    <xf numFmtId="0" fontId="13" fillId="0" borderId="2" xfId="0" applyFont="1" applyBorder="1" applyAlignment="1">
      <alignment horizontal="center"/>
    </xf>
    <xf numFmtId="0" fontId="13" fillId="2" borderId="9" xfId="0" applyFont="1" applyFill="1" applyBorder="1" applyAlignment="1">
      <alignment vertical="center" wrapText="1"/>
    </xf>
    <xf numFmtId="0" fontId="8" fillId="2" borderId="0" xfId="0" applyFont="1" applyFill="1" applyProtection="1"/>
    <xf numFmtId="165" fontId="7" fillId="11" borderId="2" xfId="2" applyNumberFormat="1" applyFill="1" applyBorder="1" applyProtection="1"/>
    <xf numFmtId="165" fontId="7" fillId="11" borderId="0" xfId="2" applyNumberFormat="1" applyFill="1" applyProtection="1"/>
    <xf numFmtId="165" fontId="7" fillId="11" borderId="19" xfId="2" applyNumberFormat="1" applyFill="1" applyBorder="1" applyProtection="1"/>
    <xf numFmtId="0" fontId="7" fillId="11" borderId="16" xfId="2" applyFill="1" applyBorder="1" applyAlignment="1" applyProtection="1">
      <alignment vertical="top"/>
    </xf>
    <xf numFmtId="0" fontId="21" fillId="11" borderId="6" xfId="0" applyFont="1" applyFill="1" applyBorder="1" applyAlignment="1" applyProtection="1">
      <alignment horizontal="right" vertical="center" wrapText="1"/>
    </xf>
    <xf numFmtId="0" fontId="21" fillId="11" borderId="2" xfId="0" applyFont="1" applyFill="1" applyBorder="1" applyAlignment="1" applyProtection="1">
      <alignment horizontal="right" vertical="center" wrapText="1"/>
    </xf>
    <xf numFmtId="0" fontId="21" fillId="11" borderId="23" xfId="0" applyFont="1" applyFill="1" applyBorder="1" applyAlignment="1" applyProtection="1">
      <alignment horizontal="right" vertical="center" wrapText="1"/>
    </xf>
    <xf numFmtId="0" fontId="7" fillId="11" borderId="2" xfId="2" applyFill="1" applyBorder="1" applyAlignment="1" applyProtection="1">
      <alignment vertical="top"/>
    </xf>
    <xf numFmtId="0" fontId="0" fillId="11" borderId="6" xfId="0" applyFill="1" applyBorder="1"/>
    <xf numFmtId="0" fontId="0" fillId="11" borderId="2" xfId="0" applyFill="1" applyBorder="1"/>
    <xf numFmtId="0" fontId="7" fillId="11" borderId="2" xfId="2" applyFill="1" applyBorder="1" applyProtection="1"/>
    <xf numFmtId="0" fontId="7" fillId="11" borderId="2" xfId="2" applyNumberFormat="1" applyFill="1" applyBorder="1" applyProtection="1"/>
    <xf numFmtId="0" fontId="3" fillId="4" borderId="5" xfId="2" applyFont="1" applyFill="1" applyBorder="1" applyProtection="1"/>
    <xf numFmtId="0" fontId="5" fillId="4" borderId="5" xfId="2" applyFont="1" applyFill="1" applyBorder="1" applyProtection="1"/>
    <xf numFmtId="0" fontId="7" fillId="4" borderId="5" xfId="2" applyFill="1" applyBorder="1" applyProtection="1"/>
    <xf numFmtId="0" fontId="0" fillId="4" borderId="6" xfId="0" applyFill="1" applyBorder="1"/>
    <xf numFmtId="0" fontId="21" fillId="4" borderId="6" xfId="0" applyFont="1" applyFill="1" applyBorder="1" applyAlignment="1" applyProtection="1">
      <alignment horizontal="right" vertical="center" wrapText="1"/>
    </xf>
    <xf numFmtId="0" fontId="21" fillId="4" borderId="2" xfId="0" applyFont="1" applyFill="1" applyBorder="1" applyAlignment="1" applyProtection="1">
      <alignment horizontal="right" vertical="center" wrapText="1"/>
    </xf>
    <xf numFmtId="0" fontId="21" fillId="4" borderId="23" xfId="0" applyFont="1" applyFill="1" applyBorder="1" applyAlignment="1" applyProtection="1">
      <alignment horizontal="right" vertical="center" wrapText="1"/>
    </xf>
    <xf numFmtId="0" fontId="7" fillId="9" borderId="8" xfId="2" applyFill="1" applyBorder="1" applyProtection="1"/>
    <xf numFmtId="0" fontId="4" fillId="4" borderId="2" xfId="2" applyFont="1" applyFill="1" applyBorder="1" applyProtection="1"/>
    <xf numFmtId="0" fontId="21" fillId="4" borderId="6" xfId="0" applyFont="1" applyFill="1" applyBorder="1" applyAlignment="1" applyProtection="1">
      <alignment vertical="center" wrapText="1"/>
    </xf>
    <xf numFmtId="0" fontId="21" fillId="4" borderId="2" xfId="0" applyFont="1" applyFill="1" applyBorder="1" applyAlignment="1" applyProtection="1">
      <alignment vertical="center" wrapText="1"/>
    </xf>
    <xf numFmtId="0" fontId="21" fillId="4" borderId="23" xfId="0" applyFont="1" applyFill="1" applyBorder="1" applyAlignment="1" applyProtection="1">
      <alignment vertical="center" wrapText="1"/>
    </xf>
    <xf numFmtId="0" fontId="2" fillId="4" borderId="2" xfId="2" applyNumberFormat="1" applyFont="1" applyFill="1" applyBorder="1" applyProtection="1"/>
    <xf numFmtId="0" fontId="21" fillId="4" borderId="6" xfId="0" applyNumberFormat="1" applyFont="1" applyFill="1" applyBorder="1" applyAlignment="1" applyProtection="1">
      <alignment vertical="center" wrapText="1"/>
    </xf>
    <xf numFmtId="0" fontId="0" fillId="4" borderId="2" xfId="0" applyFill="1" applyBorder="1"/>
    <xf numFmtId="0" fontId="21" fillId="4" borderId="2" xfId="0" applyNumberFormat="1" applyFont="1" applyFill="1" applyBorder="1" applyAlignment="1" applyProtection="1">
      <alignment vertical="center" wrapText="1"/>
    </xf>
    <xf numFmtId="0" fontId="21" fillId="4" borderId="23" xfId="0" applyNumberFormat="1" applyFont="1" applyFill="1" applyBorder="1" applyAlignment="1" applyProtection="1">
      <alignment vertical="center" wrapText="1"/>
    </xf>
    <xf numFmtId="49" fontId="7" fillId="9" borderId="2" xfId="2" applyNumberFormat="1" applyFill="1" applyBorder="1" applyProtection="1"/>
    <xf numFmtId="164" fontId="7" fillId="4" borderId="2" xfId="2" applyNumberFormat="1" applyFill="1" applyBorder="1" applyProtection="1"/>
    <xf numFmtId="165" fontId="22" fillId="11" borderId="24" xfId="0" applyNumberFormat="1" applyFont="1" applyFill="1" applyBorder="1" applyAlignment="1" applyProtection="1">
      <alignment vertical="center" wrapText="1"/>
    </xf>
    <xf numFmtId="0" fontId="22" fillId="0" borderId="25" xfId="0" applyFont="1" applyFill="1" applyBorder="1" applyAlignment="1" applyProtection="1">
      <alignment horizontal="right" vertical="center" wrapText="1"/>
    </xf>
    <xf numFmtId="0" fontId="22" fillId="11" borderId="26" xfId="0" applyFont="1" applyFill="1" applyBorder="1" applyAlignment="1" applyProtection="1">
      <alignment horizontal="right" vertical="center" wrapText="1"/>
    </xf>
    <xf numFmtId="0" fontId="22" fillId="0" borderId="26" xfId="0" applyFont="1" applyFill="1" applyBorder="1" applyAlignment="1" applyProtection="1">
      <alignment horizontal="right" vertical="center" wrapText="1"/>
    </xf>
    <xf numFmtId="0" fontId="22" fillId="0" borderId="26" xfId="0" applyFont="1" applyFill="1" applyBorder="1" applyAlignment="1" applyProtection="1">
      <alignment vertical="center" wrapText="1"/>
    </xf>
    <xf numFmtId="0" fontId="22" fillId="4" borderId="26" xfId="0" applyFont="1" applyFill="1" applyBorder="1" applyAlignment="1" applyProtection="1">
      <alignment horizontal="right" vertical="center" wrapText="1"/>
    </xf>
    <xf numFmtId="0" fontId="22" fillId="4" borderId="26" xfId="0" applyFont="1" applyFill="1" applyBorder="1" applyAlignment="1" applyProtection="1">
      <alignment vertical="center" wrapText="1"/>
    </xf>
    <xf numFmtId="0" fontId="22" fillId="9" borderId="26" xfId="0" applyFont="1" applyFill="1" applyBorder="1" applyAlignment="1" applyProtection="1">
      <alignment horizontal="right" vertical="center" wrapText="1"/>
    </xf>
    <xf numFmtId="0" fontId="22" fillId="9" borderId="26" xfId="0" applyFont="1" applyFill="1" applyBorder="1" applyAlignment="1" applyProtection="1">
      <alignment vertical="center" wrapText="1"/>
    </xf>
    <xf numFmtId="0" fontId="0" fillId="9" borderId="3" xfId="0" applyFill="1" applyBorder="1"/>
    <xf numFmtId="0" fontId="0" fillId="4" borderId="3" xfId="0" applyFill="1" applyBorder="1"/>
    <xf numFmtId="0" fontId="21" fillId="9" borderId="26" xfId="0" applyFont="1" applyFill="1" applyBorder="1" applyAlignment="1" applyProtection="1">
      <alignment vertical="center" wrapText="1"/>
    </xf>
    <xf numFmtId="165" fontId="17" fillId="7" borderId="5" xfId="0" applyNumberFormat="1" applyFont="1" applyFill="1" applyBorder="1" applyProtection="1"/>
    <xf numFmtId="0" fontId="22" fillId="4" borderId="25" xfId="0" applyFont="1" applyFill="1" applyBorder="1" applyAlignment="1" applyProtection="1">
      <alignment horizontal="right" vertical="center" wrapText="1"/>
    </xf>
    <xf numFmtId="0" fontId="1" fillId="4" borderId="16" xfId="2" applyFont="1" applyFill="1" applyBorder="1" applyAlignment="1" applyProtection="1">
      <alignment vertical="top"/>
    </xf>
    <xf numFmtId="0" fontId="21" fillId="4" borderId="26" xfId="0" applyFont="1" applyFill="1" applyBorder="1" applyAlignment="1" applyProtection="1">
      <alignment vertical="center" wrapText="1"/>
    </xf>
    <xf numFmtId="0" fontId="1" fillId="4" borderId="2" xfId="2" applyFont="1" applyFill="1" applyBorder="1" applyProtection="1"/>
    <xf numFmtId="0" fontId="21" fillId="0" borderId="26" xfId="0" applyFont="1" applyFill="1" applyBorder="1" applyAlignment="1" applyProtection="1">
      <alignment vertical="center" wrapText="1"/>
    </xf>
    <xf numFmtId="0" fontId="1" fillId="9" borderId="5" xfId="2" applyFont="1" applyFill="1" applyBorder="1" applyProtection="1"/>
    <xf numFmtId="0" fontId="1" fillId="4" borderId="2" xfId="2" applyNumberFormat="1" applyFont="1" applyFill="1" applyBorder="1" applyProtection="1"/>
    <xf numFmtId="49" fontId="1" fillId="4" borderId="2" xfId="2" applyNumberFormat="1" applyFont="1" applyFill="1" applyBorder="1" applyProtection="1"/>
    <xf numFmtId="0" fontId="1" fillId="9" borderId="2" xfId="2" applyNumberFormat="1" applyFont="1" applyFill="1" applyBorder="1" applyProtection="1"/>
    <xf numFmtId="49" fontId="1" fillId="9" borderId="2" xfId="2" applyNumberFormat="1" applyFont="1" applyFill="1" applyBorder="1" applyProtection="1"/>
    <xf numFmtId="164" fontId="1" fillId="9" borderId="2" xfId="2" applyNumberFormat="1" applyFont="1" applyFill="1" applyBorder="1" applyProtection="1"/>
    <xf numFmtId="164" fontId="1" fillId="4" borderId="2" xfId="2" applyNumberFormat="1" applyFont="1" applyFill="1" applyBorder="1" applyProtection="1"/>
    <xf numFmtId="0" fontId="22" fillId="9" borderId="25" xfId="0" applyFont="1" applyFill="1" applyBorder="1" applyAlignment="1" applyProtection="1">
      <alignment horizontal="right" vertical="center" wrapText="1"/>
    </xf>
    <xf numFmtId="0" fontId="21" fillId="9" borderId="25" xfId="0" applyFont="1" applyFill="1" applyBorder="1" applyAlignment="1" applyProtection="1">
      <alignment vertical="center" wrapText="1"/>
    </xf>
    <xf numFmtId="0" fontId="0" fillId="2" borderId="11" xfId="0" applyNumberFormat="1" applyFill="1" applyBorder="1" applyAlignment="1" applyProtection="1">
      <alignment horizontal="center" vertical="center"/>
    </xf>
    <xf numFmtId="0" fontId="0" fillId="0" borderId="27" xfId="0" applyFill="1" applyBorder="1" applyAlignment="1" applyProtection="1">
      <alignment horizontal="center" vertical="center"/>
    </xf>
    <xf numFmtId="0" fontId="0" fillId="0" borderId="28" xfId="0" applyFill="1" applyBorder="1" applyAlignment="1" applyProtection="1">
      <alignment horizontal="center" vertical="center"/>
    </xf>
    <xf numFmtId="0" fontId="10" fillId="2" borderId="10" xfId="0" applyFont="1" applyFill="1" applyBorder="1" applyAlignment="1" applyProtection="1">
      <alignment horizontal="center" vertical="center"/>
    </xf>
    <xf numFmtId="0" fontId="10" fillId="2" borderId="9" xfId="0" applyFont="1" applyFill="1" applyBorder="1" applyAlignment="1" applyProtection="1">
      <alignment horizontal="center" vertical="center"/>
    </xf>
    <xf numFmtId="0" fontId="10" fillId="2" borderId="11" xfId="0" applyFont="1" applyFill="1" applyBorder="1" applyAlignment="1" applyProtection="1">
      <alignment horizontal="center" vertical="center"/>
    </xf>
    <xf numFmtId="0" fontId="10" fillId="2" borderId="13" xfId="0" applyFont="1" applyFill="1" applyBorder="1" applyAlignment="1" applyProtection="1">
      <alignment horizontal="center" vertical="center"/>
    </xf>
    <xf numFmtId="0" fontId="0" fillId="4" borderId="7" xfId="0" applyFill="1" applyBorder="1" applyAlignment="1" applyProtection="1">
      <alignment wrapText="1"/>
    </xf>
    <xf numFmtId="0" fontId="10" fillId="2" borderId="6" xfId="0" applyFont="1" applyFill="1" applyBorder="1" applyAlignment="1" applyProtection="1">
      <alignment horizontal="center" vertical="center"/>
    </xf>
    <xf numFmtId="0" fontId="0" fillId="2" borderId="5" xfId="0" applyFill="1" applyBorder="1" applyAlignment="1" applyProtection="1">
      <alignment horizontal="center" vertical="center"/>
    </xf>
    <xf numFmtId="0" fontId="0" fillId="2" borderId="13" xfId="0" applyFill="1" applyBorder="1" applyAlignment="1" applyProtection="1">
      <alignment vertical="center"/>
    </xf>
    <xf numFmtId="0" fontId="10" fillId="2" borderId="14" xfId="0" applyFont="1" applyFill="1" applyBorder="1" applyAlignment="1" applyProtection="1">
      <alignment horizontal="center" vertical="center"/>
    </xf>
    <xf numFmtId="0" fontId="10" fillId="2" borderId="8" xfId="0" applyFont="1" applyFill="1" applyBorder="1" applyAlignment="1" applyProtection="1">
      <alignment horizontal="center" vertical="center"/>
    </xf>
    <xf numFmtId="0" fontId="10" fillId="2" borderId="5" xfId="0" applyFont="1" applyFill="1" applyBorder="1" applyAlignment="1" applyProtection="1">
      <alignment horizontal="center" vertical="center"/>
    </xf>
    <xf numFmtId="0" fontId="10" fillId="2" borderId="11" xfId="0" applyFont="1" applyFill="1" applyBorder="1" applyAlignment="1">
      <alignment horizontal="center" vertical="center"/>
    </xf>
    <xf numFmtId="0" fontId="10" fillId="2" borderId="13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 vertical="center"/>
    </xf>
    <xf numFmtId="0" fontId="0" fillId="2" borderId="5" xfId="0" applyFill="1" applyBorder="1" applyAlignment="1">
      <alignment vertical="center"/>
    </xf>
    <xf numFmtId="0" fontId="10" fillId="2" borderId="5" xfId="0" applyFont="1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4" borderId="3" xfId="0" applyFill="1" applyBorder="1" applyAlignment="1" applyProtection="1">
      <alignment wrapText="1"/>
    </xf>
    <xf numFmtId="0" fontId="12" fillId="4" borderId="0" xfId="0" applyFont="1" applyFill="1" applyBorder="1" applyAlignment="1">
      <alignment horizontal="left"/>
    </xf>
    <xf numFmtId="0" fontId="12" fillId="2" borderId="0" xfId="0" applyFont="1" applyFill="1" applyAlignment="1">
      <alignment horizontal="left"/>
    </xf>
    <xf numFmtId="0" fontId="12" fillId="4" borderId="0" xfId="0" applyFont="1" applyFill="1" applyBorder="1" applyAlignment="1"/>
    <xf numFmtId="0" fontId="12" fillId="4" borderId="0" xfId="0" applyFont="1" applyFill="1" applyBorder="1" applyAlignment="1">
      <alignment horizontal="left" vertical="center" indent="4"/>
    </xf>
    <xf numFmtId="0" fontId="13" fillId="0" borderId="6" xfId="0" applyFont="1" applyBorder="1" applyAlignment="1">
      <alignment horizontal="center"/>
    </xf>
    <xf numFmtId="0" fontId="13" fillId="0" borderId="5" xfId="0" applyFont="1" applyBorder="1" applyAlignment="1">
      <alignment horizontal="center"/>
    </xf>
    <xf numFmtId="0" fontId="13" fillId="0" borderId="16" xfId="0" applyFont="1" applyBorder="1" applyAlignment="1">
      <alignment horizontal="center"/>
    </xf>
    <xf numFmtId="0" fontId="13" fillId="0" borderId="15" xfId="0" applyFont="1" applyBorder="1" applyAlignment="1">
      <alignment horizontal="center"/>
    </xf>
    <xf numFmtId="0" fontId="12" fillId="2" borderId="0" xfId="0" applyFont="1" applyFill="1" applyAlignment="1"/>
    <xf numFmtId="0" fontId="13" fillId="0" borderId="3" xfId="0" applyFont="1" applyBorder="1" applyAlignment="1">
      <alignment horizontal="center"/>
    </xf>
    <xf numFmtId="0" fontId="13" fillId="0" borderId="8" xfId="0" applyFont="1" applyBorder="1" applyAlignment="1">
      <alignment horizontal="center"/>
    </xf>
    <xf numFmtId="0" fontId="13" fillId="0" borderId="13" xfId="0" applyFont="1" applyBorder="1" applyAlignment="1">
      <alignment horizontal="center"/>
    </xf>
    <xf numFmtId="0" fontId="12" fillId="2" borderId="0" xfId="0" applyFont="1" applyFill="1" applyAlignment="1">
      <alignment horizontal="left" vertical="center" indent="4"/>
    </xf>
    <xf numFmtId="0" fontId="12" fillId="2" borderId="9" xfId="0" applyFont="1" applyFill="1" applyBorder="1" applyAlignment="1">
      <alignment vertical="center" wrapText="1"/>
    </xf>
    <xf numFmtId="0" fontId="12" fillId="0" borderId="0" xfId="0" applyFont="1" applyAlignment="1">
      <alignment horizontal="left" vertical="center" indent="4"/>
    </xf>
    <xf numFmtId="0" fontId="13" fillId="0" borderId="0" xfId="0" applyFont="1" applyAlignment="1">
      <alignment horizontal="left" vertical="center" indent="4"/>
    </xf>
    <xf numFmtId="0" fontId="13" fillId="2" borderId="0" xfId="0" applyFont="1" applyFill="1" applyAlignment="1">
      <alignment horizontal="left"/>
    </xf>
    <xf numFmtId="0" fontId="13" fillId="2" borderId="9" xfId="0" applyFont="1" applyFill="1" applyBorder="1" applyAlignment="1">
      <alignment vertical="center" wrapText="1"/>
    </xf>
    <xf numFmtId="0" fontId="13" fillId="2" borderId="0" xfId="0" applyFont="1" applyFill="1" applyAlignment="1">
      <alignment horizontal="left" vertical="center" indent="4"/>
    </xf>
    <xf numFmtId="0" fontId="13" fillId="2" borderId="0" xfId="0" applyFont="1" applyFill="1" applyAlignment="1"/>
    <xf numFmtId="0" fontId="12" fillId="2" borderId="9" xfId="0" applyFont="1" applyFill="1" applyBorder="1" applyAlignment="1">
      <alignment horizontal="left" vertical="center" wrapText="1" readingOrder="1"/>
    </xf>
    <xf numFmtId="0" fontId="13" fillId="2" borderId="9" xfId="0" applyFont="1" applyFill="1" applyBorder="1" applyAlignment="1">
      <alignment horizontal="left" vertical="center" wrapText="1" readingOrder="1"/>
    </xf>
    <xf numFmtId="0" fontId="12" fillId="2" borderId="0" xfId="0" applyFont="1" applyFill="1" applyAlignment="1">
      <alignment horizontal="center" vertical="center"/>
    </xf>
    <xf numFmtId="0" fontId="13" fillId="4" borderId="0" xfId="0" applyFont="1" applyFill="1" applyBorder="1" applyAlignment="1">
      <alignment horizontal="center"/>
    </xf>
    <xf numFmtId="0" fontId="12" fillId="2" borderId="0" xfId="0" applyFont="1" applyFill="1" applyBorder="1" applyAlignment="1">
      <alignment horizontal="left" vertical="center" wrapText="1" readingOrder="1"/>
    </xf>
    <xf numFmtId="0" fontId="12" fillId="2" borderId="0" xfId="0" applyFont="1" applyFill="1" applyAlignment="1">
      <alignment horizontal="left" indent="3"/>
    </xf>
    <xf numFmtId="0" fontId="13" fillId="2" borderId="0" xfId="0" applyFont="1" applyFill="1" applyAlignment="1">
      <alignment horizontal="left" vertical="center" indent="3"/>
    </xf>
    <xf numFmtId="0" fontId="13" fillId="4" borderId="0" xfId="0" applyFont="1" applyFill="1" applyAlignment="1">
      <alignment horizontal="left" vertical="center" indent="4"/>
    </xf>
    <xf numFmtId="0" fontId="13" fillId="2" borderId="0" xfId="0" applyFont="1" applyFill="1" applyBorder="1" applyAlignment="1">
      <alignment horizontal="left" vertical="center" wrapText="1" readingOrder="1"/>
    </xf>
    <xf numFmtId="0" fontId="12" fillId="2" borderId="0" xfId="0" applyFont="1" applyFill="1" applyAlignment="1">
      <alignment horizontal="left" vertical="center" indent="3"/>
    </xf>
    <xf numFmtId="0" fontId="12" fillId="0" borderId="0" xfId="0" applyFont="1" applyAlignment="1">
      <alignment horizontal="left" vertical="center" indent="3"/>
    </xf>
    <xf numFmtId="0" fontId="13" fillId="0" borderId="0" xfId="0" applyFont="1" applyAlignment="1">
      <alignment horizontal="left" vertical="center" indent="3"/>
    </xf>
    <xf numFmtId="0" fontId="12" fillId="2" borderId="0" xfId="0" applyFont="1" applyFill="1" applyBorder="1" applyAlignment="1">
      <alignment horizontal="left"/>
    </xf>
    <xf numFmtId="0" fontId="13" fillId="4" borderId="0" xfId="0" applyFont="1" applyFill="1" applyBorder="1" applyAlignment="1"/>
    <xf numFmtId="0" fontId="12" fillId="2" borderId="0" xfId="0" applyFont="1" applyFill="1" applyAlignment="1">
      <alignment horizontal="left" vertical="center"/>
    </xf>
    <xf numFmtId="0" fontId="8" fillId="2" borderId="0" xfId="0" applyFont="1" applyFill="1" applyBorder="1" applyAlignment="1">
      <alignment horizontal="left" vertical="center" indent="3"/>
    </xf>
    <xf numFmtId="0" fontId="0" fillId="2" borderId="0" xfId="0" applyFill="1" applyBorder="1" applyAlignment="1">
      <alignment horizontal="left" vertical="center" indent="3"/>
    </xf>
    <xf numFmtId="0" fontId="13" fillId="4" borderId="0" xfId="0" applyFont="1" applyFill="1" applyBorder="1" applyAlignment="1">
      <alignment horizontal="center" wrapText="1"/>
    </xf>
    <xf numFmtId="0" fontId="12" fillId="4" borderId="0" xfId="0" applyFont="1" applyFill="1" applyBorder="1" applyAlignment="1">
      <alignment horizontal="left" vertical="center" wrapText="1" readingOrder="1"/>
    </xf>
    <xf numFmtId="0" fontId="13" fillId="4" borderId="0" xfId="0" applyFont="1" applyFill="1" applyBorder="1" applyAlignment="1">
      <alignment horizontal="left" vertical="center" wrapText="1" readingOrder="1"/>
    </xf>
    <xf numFmtId="0" fontId="13" fillId="4" borderId="0" xfId="0" applyFont="1" applyFill="1" applyBorder="1" applyAlignment="1">
      <alignment horizontal="left" vertical="center" indent="4"/>
    </xf>
    <xf numFmtId="0" fontId="12" fillId="4" borderId="0" xfId="0" applyFont="1" applyFill="1" applyBorder="1" applyAlignment="1">
      <alignment horizontal="left" vertical="center" indent="3"/>
    </xf>
    <xf numFmtId="0" fontId="13" fillId="4" borderId="0" xfId="0" applyFont="1" applyFill="1" applyBorder="1" applyAlignment="1">
      <alignment horizontal="left" vertical="center" indent="3"/>
    </xf>
    <xf numFmtId="0" fontId="13" fillId="2" borderId="0" xfId="0" applyFont="1" applyFill="1" applyAlignment="1">
      <alignment horizontal="left" indent="3"/>
    </xf>
    <xf numFmtId="0" fontId="12" fillId="2" borderId="9" xfId="0" applyFont="1" applyFill="1" applyBorder="1" applyAlignment="1">
      <alignment horizontal="left" vertical="center" wrapText="1"/>
    </xf>
    <xf numFmtId="0" fontId="12" fillId="4" borderId="0" xfId="0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/>
    </xf>
    <xf numFmtId="0" fontId="13" fillId="4" borderId="0" xfId="0" applyFont="1" applyFill="1" applyBorder="1" applyAlignment="1">
      <alignment horizontal="left"/>
    </xf>
    <xf numFmtId="0" fontId="12" fillId="2" borderId="0" xfId="0" applyFont="1" applyFill="1" applyAlignment="1">
      <alignment horizontal="center"/>
    </xf>
    <xf numFmtId="0" fontId="12" fillId="2" borderId="0" xfId="0" applyFont="1" applyFill="1" applyBorder="1" applyAlignment="1">
      <alignment vertical="center" wrapText="1"/>
    </xf>
    <xf numFmtId="0" fontId="13" fillId="2" borderId="0" xfId="0" applyFont="1" applyFill="1" applyBorder="1" applyAlignment="1">
      <alignment vertical="center" wrapText="1"/>
    </xf>
    <xf numFmtId="0" fontId="12" fillId="4" borderId="0" xfId="0" applyFont="1" applyFill="1" applyAlignment="1">
      <alignment horizontal="left"/>
    </xf>
    <xf numFmtId="0" fontId="12" fillId="4" borderId="0" xfId="0" applyFont="1" applyFill="1" applyAlignment="1">
      <alignment horizontal="left" indent="3"/>
    </xf>
    <xf numFmtId="0" fontId="13" fillId="4" borderId="0" xfId="0" applyFont="1" applyFill="1" applyAlignment="1">
      <alignment horizontal="left"/>
    </xf>
    <xf numFmtId="0" fontId="13" fillId="4" borderId="0" xfId="0" applyFont="1" applyFill="1" applyAlignment="1">
      <alignment horizontal="left" indent="3"/>
    </xf>
    <xf numFmtId="0" fontId="13" fillId="2" borderId="0" xfId="0" applyFont="1" applyFill="1" applyBorder="1" applyAlignment="1">
      <alignment horizontal="left"/>
    </xf>
    <xf numFmtId="0" fontId="12" fillId="0" borderId="0" xfId="0" applyFont="1" applyAlignment="1">
      <alignment horizontal="left"/>
    </xf>
    <xf numFmtId="0" fontId="8" fillId="4" borderId="0" xfId="0" applyFont="1" applyFill="1" applyBorder="1" applyAlignment="1">
      <alignment horizontal="left" vertical="center" indent="3"/>
    </xf>
    <xf numFmtId="0" fontId="11" fillId="4" borderId="0" xfId="0" applyFont="1" applyFill="1" applyBorder="1" applyAlignment="1">
      <alignment horizontal="left" vertical="center" indent="3"/>
    </xf>
    <xf numFmtId="0" fontId="8" fillId="0" borderId="0" xfId="0" applyFont="1" applyFill="1" applyBorder="1" applyAlignment="1">
      <alignment horizontal="left" vertical="center" indent="3"/>
    </xf>
    <xf numFmtId="0" fontId="11" fillId="0" borderId="0" xfId="0" applyFont="1" applyFill="1" applyBorder="1" applyAlignment="1">
      <alignment horizontal="left" vertical="center" indent="3"/>
    </xf>
    <xf numFmtId="0" fontId="13" fillId="2" borderId="0" xfId="0" applyFont="1" applyFill="1" applyAlignment="1">
      <alignment horizontal="left" vertical="center"/>
    </xf>
    <xf numFmtId="0" fontId="13" fillId="0" borderId="0" xfId="0" applyFont="1" applyAlignment="1">
      <alignment horizontal="left"/>
    </xf>
    <xf numFmtId="0" fontId="13" fillId="4" borderId="0" xfId="0" applyFont="1" applyFill="1" applyBorder="1" applyAlignment="1">
      <alignment horizontal="left" vertical="center" wrapText="1"/>
    </xf>
    <xf numFmtId="0" fontId="12" fillId="4" borderId="0" xfId="0" applyFont="1" applyFill="1" applyBorder="1" applyAlignment="1">
      <alignment horizontal="left" indent="3"/>
    </xf>
    <xf numFmtId="0" fontId="13" fillId="4" borderId="0" xfId="0" applyFont="1" applyFill="1" applyBorder="1" applyAlignment="1">
      <alignment horizontal="left" indent="3"/>
    </xf>
    <xf numFmtId="0" fontId="13" fillId="2" borderId="9" xfId="0" applyFont="1" applyFill="1" applyBorder="1" applyAlignment="1">
      <alignment horizontal="left" vertical="center" wrapText="1"/>
    </xf>
    <xf numFmtId="0" fontId="13" fillId="4" borderId="0" xfId="0" applyFont="1" applyFill="1" applyAlignment="1">
      <alignment horizontal="center"/>
    </xf>
    <xf numFmtId="0" fontId="13" fillId="0" borderId="0" xfId="0" applyFont="1" applyBorder="1" applyAlignment="1">
      <alignment horizontal="center"/>
    </xf>
    <xf numFmtId="0" fontId="8" fillId="2" borderId="0" xfId="0" applyFont="1" applyFill="1" applyBorder="1" applyAlignment="1">
      <alignment horizontal="left" vertical="center" indent="4"/>
    </xf>
    <xf numFmtId="0" fontId="0" fillId="2" borderId="0" xfId="0" applyFill="1" applyBorder="1" applyAlignment="1">
      <alignment horizontal="left" vertical="center" indent="4"/>
    </xf>
    <xf numFmtId="0" fontId="8" fillId="0" borderId="0" xfId="0" applyFont="1" applyFill="1" applyBorder="1" applyAlignment="1">
      <alignment horizontal="left" vertical="center" indent="4"/>
    </xf>
    <xf numFmtId="0" fontId="11" fillId="0" borderId="0" xfId="0" applyFont="1" applyFill="1" applyBorder="1" applyAlignment="1">
      <alignment horizontal="left" vertical="center" indent="4"/>
    </xf>
    <xf numFmtId="0" fontId="12" fillId="2" borderId="0" xfId="0" applyFont="1" applyFill="1" applyBorder="1" applyAlignment="1">
      <alignment horizontal="left" vertical="center" indent="3"/>
    </xf>
    <xf numFmtId="0" fontId="13" fillId="2" borderId="0" xfId="0" applyFont="1" applyFill="1" applyBorder="1" applyAlignment="1">
      <alignment horizontal="left" vertical="center" indent="3"/>
    </xf>
    <xf numFmtId="0" fontId="12" fillId="0" borderId="6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4" borderId="6" xfId="0" applyFont="1" applyFill="1" applyBorder="1" applyAlignment="1">
      <alignment horizontal="center"/>
    </xf>
    <xf numFmtId="0" fontId="12" fillId="4" borderId="5" xfId="0" applyFont="1" applyFill="1" applyBorder="1" applyAlignment="1">
      <alignment horizontal="center"/>
    </xf>
    <xf numFmtId="0" fontId="12" fillId="2" borderId="0" xfId="0" applyFont="1" applyFill="1" applyBorder="1" applyAlignment="1">
      <alignment horizontal="left" vertical="center" wrapText="1"/>
    </xf>
    <xf numFmtId="0" fontId="12" fillId="0" borderId="3" xfId="0" applyFont="1" applyBorder="1" applyAlignment="1">
      <alignment horizontal="center"/>
    </xf>
    <xf numFmtId="0" fontId="12" fillId="4" borderId="9" xfId="0" applyFont="1" applyFill="1" applyBorder="1" applyAlignment="1">
      <alignment horizontal="left" vertical="center" wrapText="1" readingOrder="1"/>
    </xf>
    <xf numFmtId="0" fontId="12" fillId="0" borderId="2" xfId="0" applyFont="1" applyBorder="1" applyAlignment="1">
      <alignment horizontal="center"/>
    </xf>
  </cellXfs>
  <cellStyles count="5">
    <cellStyle name="40 % - Accent3" xfId="2" builtinId="39"/>
    <cellStyle name="Accent3" xfId="1" builtinId="37"/>
    <cellStyle name="Normal" xfId="0" builtinId="0"/>
    <cellStyle name="Normal 2" xfId="4"/>
    <cellStyle name="Pourcentage" xfId="3" builtinId="5"/>
  </cellStyles>
  <dxfs count="1">
    <dxf>
      <font>
        <strike/>
        <color rgb="FFFF0000"/>
      </font>
    </dxf>
  </dxfs>
  <tableStyles count="0" defaultTableStyle="TableStyleMedium9" defaultPivotStyle="PivotStyleLight16"/>
  <colors>
    <mruColors>
      <color rgb="FFD7E4BC"/>
      <color rgb="FF9BBB59"/>
      <color rgb="FF336600"/>
      <color rgb="FFB984E0"/>
      <color rgb="FFF6882E"/>
      <color rgb="FFFF0000"/>
      <color rgb="FFFFFF8F"/>
      <color rgb="FFFF939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8.xml"/><Relationship Id="rId39" Type="http://schemas.openxmlformats.org/officeDocument/2006/relationships/pivotCacheDefinition" Target="pivotCache/pivotCacheDefinition21.xml"/><Relationship Id="rId21" Type="http://schemas.openxmlformats.org/officeDocument/2006/relationships/pivotCacheDefinition" Target="pivotCache/pivotCacheDefinition3.xml"/><Relationship Id="rId34" Type="http://schemas.openxmlformats.org/officeDocument/2006/relationships/pivotCacheDefinition" Target="pivotCache/pivotCacheDefinition16.xml"/><Relationship Id="rId42" Type="http://schemas.openxmlformats.org/officeDocument/2006/relationships/pivotCacheDefinition" Target="pivotCache/pivotCacheDefinition24.xml"/><Relationship Id="rId47" Type="http://schemas.openxmlformats.org/officeDocument/2006/relationships/pivotCacheDefinition" Target="pivotCache/pivotCacheDefinition29.xml"/><Relationship Id="rId50" Type="http://schemas.openxmlformats.org/officeDocument/2006/relationships/pivotCacheDefinition" Target="pivotCache/pivotCacheDefinition32.xml"/><Relationship Id="rId55" Type="http://schemas.openxmlformats.org/officeDocument/2006/relationships/pivotCacheDefinition" Target="pivotCache/pivotCacheDefinition37.xml"/><Relationship Id="rId63" Type="http://schemas.openxmlformats.org/officeDocument/2006/relationships/pivotCacheDefinition" Target="pivotCache/pivotCacheDefinition45.xml"/><Relationship Id="rId68" Type="http://schemas.openxmlformats.org/officeDocument/2006/relationships/pivotCacheDefinition" Target="pivotCache/pivotCacheDefinition50.xml"/><Relationship Id="rId76" Type="http://schemas.openxmlformats.org/officeDocument/2006/relationships/pivotCacheDefinition" Target="pivotCache/pivotCacheDefinition58.xml"/><Relationship Id="rId7" Type="http://schemas.openxmlformats.org/officeDocument/2006/relationships/worksheet" Target="worksheets/sheet7.xml"/><Relationship Id="rId71" Type="http://schemas.openxmlformats.org/officeDocument/2006/relationships/pivotCacheDefinition" Target="pivotCache/pivotCacheDefinition5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pivotCacheDefinition" Target="pivotCache/pivotCacheDefinition11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6.xml"/><Relationship Id="rId32" Type="http://schemas.openxmlformats.org/officeDocument/2006/relationships/pivotCacheDefinition" Target="pivotCache/pivotCacheDefinition14.xml"/><Relationship Id="rId37" Type="http://schemas.openxmlformats.org/officeDocument/2006/relationships/pivotCacheDefinition" Target="pivotCache/pivotCacheDefinition19.xml"/><Relationship Id="rId40" Type="http://schemas.openxmlformats.org/officeDocument/2006/relationships/pivotCacheDefinition" Target="pivotCache/pivotCacheDefinition22.xml"/><Relationship Id="rId45" Type="http://schemas.openxmlformats.org/officeDocument/2006/relationships/pivotCacheDefinition" Target="pivotCache/pivotCacheDefinition27.xml"/><Relationship Id="rId53" Type="http://schemas.openxmlformats.org/officeDocument/2006/relationships/pivotCacheDefinition" Target="pivotCache/pivotCacheDefinition35.xml"/><Relationship Id="rId58" Type="http://schemas.openxmlformats.org/officeDocument/2006/relationships/pivotCacheDefinition" Target="pivotCache/pivotCacheDefinition40.xml"/><Relationship Id="rId66" Type="http://schemas.openxmlformats.org/officeDocument/2006/relationships/pivotCacheDefinition" Target="pivotCache/pivotCacheDefinition48.xml"/><Relationship Id="rId74" Type="http://schemas.openxmlformats.org/officeDocument/2006/relationships/pivotCacheDefinition" Target="pivotCache/pivotCacheDefinition56.xml"/><Relationship Id="rId79" Type="http://schemas.openxmlformats.org/officeDocument/2006/relationships/pivotCacheDefinition" Target="pivotCache/pivotCacheDefinition61.xml"/><Relationship Id="rId5" Type="http://schemas.openxmlformats.org/officeDocument/2006/relationships/worksheet" Target="worksheets/sheet5.xml"/><Relationship Id="rId61" Type="http://schemas.openxmlformats.org/officeDocument/2006/relationships/pivotCacheDefinition" Target="pivotCache/pivotCacheDefinition43.xml"/><Relationship Id="rId82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31" Type="http://schemas.openxmlformats.org/officeDocument/2006/relationships/pivotCacheDefinition" Target="pivotCache/pivotCacheDefinition13.xml"/><Relationship Id="rId44" Type="http://schemas.openxmlformats.org/officeDocument/2006/relationships/pivotCacheDefinition" Target="pivotCache/pivotCacheDefinition26.xml"/><Relationship Id="rId52" Type="http://schemas.openxmlformats.org/officeDocument/2006/relationships/pivotCacheDefinition" Target="pivotCache/pivotCacheDefinition34.xml"/><Relationship Id="rId60" Type="http://schemas.openxmlformats.org/officeDocument/2006/relationships/pivotCacheDefinition" Target="pivotCache/pivotCacheDefinition42.xml"/><Relationship Id="rId65" Type="http://schemas.openxmlformats.org/officeDocument/2006/relationships/pivotCacheDefinition" Target="pivotCache/pivotCacheDefinition47.xml"/><Relationship Id="rId73" Type="http://schemas.openxmlformats.org/officeDocument/2006/relationships/pivotCacheDefinition" Target="pivotCache/pivotCacheDefinition55.xml"/><Relationship Id="rId78" Type="http://schemas.openxmlformats.org/officeDocument/2006/relationships/pivotCacheDefinition" Target="pivotCache/pivotCacheDefinition60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4.xml"/><Relationship Id="rId27" Type="http://schemas.openxmlformats.org/officeDocument/2006/relationships/pivotCacheDefinition" Target="pivotCache/pivotCacheDefinition9.xml"/><Relationship Id="rId30" Type="http://schemas.openxmlformats.org/officeDocument/2006/relationships/pivotCacheDefinition" Target="pivotCache/pivotCacheDefinition12.xml"/><Relationship Id="rId35" Type="http://schemas.openxmlformats.org/officeDocument/2006/relationships/pivotCacheDefinition" Target="pivotCache/pivotCacheDefinition17.xml"/><Relationship Id="rId43" Type="http://schemas.openxmlformats.org/officeDocument/2006/relationships/pivotCacheDefinition" Target="pivotCache/pivotCacheDefinition25.xml"/><Relationship Id="rId48" Type="http://schemas.openxmlformats.org/officeDocument/2006/relationships/pivotCacheDefinition" Target="pivotCache/pivotCacheDefinition30.xml"/><Relationship Id="rId56" Type="http://schemas.openxmlformats.org/officeDocument/2006/relationships/pivotCacheDefinition" Target="pivotCache/pivotCacheDefinition38.xml"/><Relationship Id="rId64" Type="http://schemas.openxmlformats.org/officeDocument/2006/relationships/pivotCacheDefinition" Target="pivotCache/pivotCacheDefinition46.xml"/><Relationship Id="rId69" Type="http://schemas.openxmlformats.org/officeDocument/2006/relationships/pivotCacheDefinition" Target="pivotCache/pivotCacheDefinition51.xml"/><Relationship Id="rId77" Type="http://schemas.openxmlformats.org/officeDocument/2006/relationships/pivotCacheDefinition" Target="pivotCache/pivotCacheDefinition59.xml"/><Relationship Id="rId8" Type="http://schemas.openxmlformats.org/officeDocument/2006/relationships/worksheet" Target="worksheets/sheet8.xml"/><Relationship Id="rId51" Type="http://schemas.openxmlformats.org/officeDocument/2006/relationships/pivotCacheDefinition" Target="pivotCache/pivotCacheDefinition33.xml"/><Relationship Id="rId72" Type="http://schemas.openxmlformats.org/officeDocument/2006/relationships/pivotCacheDefinition" Target="pivotCache/pivotCacheDefinition54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7.xml"/><Relationship Id="rId33" Type="http://schemas.openxmlformats.org/officeDocument/2006/relationships/pivotCacheDefinition" Target="pivotCache/pivotCacheDefinition15.xml"/><Relationship Id="rId38" Type="http://schemas.openxmlformats.org/officeDocument/2006/relationships/pivotCacheDefinition" Target="pivotCache/pivotCacheDefinition20.xml"/><Relationship Id="rId46" Type="http://schemas.openxmlformats.org/officeDocument/2006/relationships/pivotCacheDefinition" Target="pivotCache/pivotCacheDefinition28.xml"/><Relationship Id="rId59" Type="http://schemas.openxmlformats.org/officeDocument/2006/relationships/pivotCacheDefinition" Target="pivotCache/pivotCacheDefinition41.xml"/><Relationship Id="rId67" Type="http://schemas.openxmlformats.org/officeDocument/2006/relationships/pivotCacheDefinition" Target="pivotCache/pivotCacheDefinition49.xml"/><Relationship Id="rId20" Type="http://schemas.openxmlformats.org/officeDocument/2006/relationships/pivotCacheDefinition" Target="pivotCache/pivotCacheDefinition2.xml"/><Relationship Id="rId41" Type="http://schemas.openxmlformats.org/officeDocument/2006/relationships/pivotCacheDefinition" Target="pivotCache/pivotCacheDefinition23.xml"/><Relationship Id="rId54" Type="http://schemas.openxmlformats.org/officeDocument/2006/relationships/pivotCacheDefinition" Target="pivotCache/pivotCacheDefinition36.xml"/><Relationship Id="rId62" Type="http://schemas.openxmlformats.org/officeDocument/2006/relationships/pivotCacheDefinition" Target="pivotCache/pivotCacheDefinition44.xml"/><Relationship Id="rId70" Type="http://schemas.openxmlformats.org/officeDocument/2006/relationships/pivotCacheDefinition" Target="pivotCache/pivotCacheDefinition52.xml"/><Relationship Id="rId75" Type="http://schemas.openxmlformats.org/officeDocument/2006/relationships/pivotCacheDefinition" Target="pivotCache/pivotCacheDefinition57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5.xml"/><Relationship Id="rId28" Type="http://schemas.openxmlformats.org/officeDocument/2006/relationships/pivotCacheDefinition" Target="pivotCache/pivotCacheDefinition10.xml"/><Relationship Id="rId36" Type="http://schemas.openxmlformats.org/officeDocument/2006/relationships/pivotCacheDefinition" Target="pivotCache/pivotCacheDefinition18.xml"/><Relationship Id="rId49" Type="http://schemas.openxmlformats.org/officeDocument/2006/relationships/pivotCacheDefinition" Target="pivotCache/pivotCacheDefinition31.xml"/><Relationship Id="rId57" Type="http://schemas.openxmlformats.org/officeDocument/2006/relationships/pivotCacheDefinition" Target="pivotCache/pivotCacheDefinition3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123825</xdr:colOff>
      <xdr:row>72</xdr:row>
      <xdr:rowOff>9527</xdr:rowOff>
    </xdr:from>
    <xdr:to>
      <xdr:col>8</xdr:col>
      <xdr:colOff>1114425</xdr:colOff>
      <xdr:row>79</xdr:row>
      <xdr:rowOff>152402</xdr:rowOff>
    </xdr:to>
    <xdr:sp macro="" textlink="">
      <xdr:nvSpPr>
        <xdr:cNvPr id="1034" name="WordArt 10"/>
        <xdr:cNvSpPr>
          <a:spLocks noChangeArrowheads="1" noChangeShapeType="1" noTextEdit="1"/>
        </xdr:cNvSpPr>
      </xdr:nvSpPr>
      <xdr:spPr bwMode="auto">
        <a:xfrm rot="-1539911">
          <a:off x="3171825" y="11668127"/>
          <a:ext cx="4857750" cy="12763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CA" sz="3600" b="1" kern="10" spc="0">
              <a:ln w="9525">
                <a:noFill/>
                <a:round/>
                <a:headEnd/>
                <a:tailEnd/>
              </a:ln>
              <a:solidFill>
                <a:srgbClr val="336699">
                  <a:alpha val="62000"/>
                </a:srgbClr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Arial"/>
              <a:cs typeface="Arial"/>
            </a:rPr>
            <a:t>NE PAS MODIFIER</a:t>
          </a:r>
        </a:p>
      </xdr:txBody>
    </xdr:sp>
    <xdr:clientData/>
  </xdr:twoCellAnchor>
  <xdr:twoCellAnchor>
    <xdr:from>
      <xdr:col>3</xdr:col>
      <xdr:colOff>276226</xdr:colOff>
      <xdr:row>13</xdr:row>
      <xdr:rowOff>19054</xdr:rowOff>
    </xdr:from>
    <xdr:to>
      <xdr:col>8</xdr:col>
      <xdr:colOff>1238251</xdr:colOff>
      <xdr:row>21</xdr:row>
      <xdr:rowOff>4</xdr:rowOff>
    </xdr:to>
    <xdr:sp macro="" textlink="">
      <xdr:nvSpPr>
        <xdr:cNvPr id="1036" name="WordArt 12"/>
        <xdr:cNvSpPr>
          <a:spLocks noChangeArrowheads="1" noChangeShapeType="1" noTextEdit="1"/>
        </xdr:cNvSpPr>
      </xdr:nvSpPr>
      <xdr:spPr bwMode="auto">
        <a:xfrm rot="-1539911">
          <a:off x="3457576" y="2124079"/>
          <a:ext cx="4695825" cy="12763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CA" sz="3600" b="1" kern="10" spc="0">
              <a:ln w="9525">
                <a:noFill/>
                <a:round/>
                <a:headEnd/>
                <a:tailEnd/>
              </a:ln>
              <a:solidFill>
                <a:srgbClr val="336699">
                  <a:alpha val="62000"/>
                </a:srgbClr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Arial"/>
              <a:cs typeface="Arial"/>
            </a:rPr>
            <a:t>NE PAS MODIFIER</a:t>
          </a:r>
        </a:p>
      </xdr:txBody>
    </xdr:sp>
    <xdr:clientData/>
  </xdr:twoCellAnchor>
  <xdr:twoCellAnchor>
    <xdr:from>
      <xdr:col>0</xdr:col>
      <xdr:colOff>371476</xdr:colOff>
      <xdr:row>120</xdr:row>
      <xdr:rowOff>152399</xdr:rowOff>
    </xdr:from>
    <xdr:to>
      <xdr:col>7</xdr:col>
      <xdr:colOff>76201</xdr:colOff>
      <xdr:row>128</xdr:row>
      <xdr:rowOff>133349</xdr:rowOff>
    </xdr:to>
    <xdr:sp macro="" textlink="">
      <xdr:nvSpPr>
        <xdr:cNvPr id="1037" name="WordArt 13"/>
        <xdr:cNvSpPr>
          <a:spLocks noChangeArrowheads="1" noChangeShapeType="1" noTextEdit="1"/>
        </xdr:cNvSpPr>
      </xdr:nvSpPr>
      <xdr:spPr bwMode="auto">
        <a:xfrm rot="-1539911">
          <a:off x="371476" y="19583399"/>
          <a:ext cx="5172075" cy="12763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CA" sz="3600" b="1" kern="10" spc="0">
              <a:ln w="9525">
                <a:noFill/>
                <a:round/>
                <a:headEnd/>
                <a:tailEnd/>
              </a:ln>
              <a:solidFill>
                <a:srgbClr val="336699">
                  <a:alpha val="62000"/>
                </a:srgbClr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Arial"/>
              <a:cs typeface="Arial"/>
            </a:rPr>
            <a:t>NE PAS MODIFIER</a:t>
          </a:r>
        </a:p>
      </xdr:txBody>
    </xdr:sp>
    <xdr:clientData/>
  </xdr:twoCellAnchor>
  <xdr:twoCellAnchor>
    <xdr:from>
      <xdr:col>0</xdr:col>
      <xdr:colOff>485773</xdr:colOff>
      <xdr:row>47</xdr:row>
      <xdr:rowOff>161921</xdr:rowOff>
    </xdr:from>
    <xdr:to>
      <xdr:col>5</xdr:col>
      <xdr:colOff>723898</xdr:colOff>
      <xdr:row>55</xdr:row>
      <xdr:rowOff>142871</xdr:rowOff>
    </xdr:to>
    <xdr:sp macro="" textlink="">
      <xdr:nvSpPr>
        <xdr:cNvPr id="1039" name="WordArt 15"/>
        <xdr:cNvSpPr>
          <a:spLocks noChangeArrowheads="1" noChangeShapeType="1" noTextEdit="1"/>
        </xdr:cNvSpPr>
      </xdr:nvSpPr>
      <xdr:spPr bwMode="auto">
        <a:xfrm rot="-1539911">
          <a:off x="485773" y="7772396"/>
          <a:ext cx="4695825" cy="12763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CA" sz="3600" b="1" kern="10" spc="0">
              <a:ln w="9525">
                <a:noFill/>
                <a:round/>
                <a:headEnd/>
                <a:tailEnd/>
              </a:ln>
              <a:solidFill>
                <a:srgbClr val="336699">
                  <a:alpha val="62000"/>
                </a:srgbClr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Arial"/>
              <a:cs typeface="Arial"/>
            </a:rPr>
            <a:t>NE PAS MODIFIER</a:t>
          </a:r>
        </a:p>
      </xdr:txBody>
    </xdr:sp>
    <xdr:clientData/>
  </xdr:twoCellAnchor>
  <xdr:twoCellAnchor>
    <xdr:from>
      <xdr:col>5</xdr:col>
      <xdr:colOff>464788</xdr:colOff>
      <xdr:row>146</xdr:row>
      <xdr:rowOff>140534</xdr:rowOff>
    </xdr:from>
    <xdr:to>
      <xdr:col>13</xdr:col>
      <xdr:colOff>261087</xdr:colOff>
      <xdr:row>153</xdr:row>
      <xdr:rowOff>106941</xdr:rowOff>
    </xdr:to>
    <xdr:sp macro="" textlink="">
      <xdr:nvSpPr>
        <xdr:cNvPr id="1041" name="WordArt 17"/>
        <xdr:cNvSpPr>
          <a:spLocks noChangeArrowheads="1" noChangeShapeType="1" noTextEdit="1"/>
        </xdr:cNvSpPr>
      </xdr:nvSpPr>
      <xdr:spPr bwMode="auto">
        <a:xfrm rot="-1539911">
          <a:off x="4922488" y="23781584"/>
          <a:ext cx="5873249" cy="109988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CA" sz="3600" b="1" kern="10" spc="0">
              <a:ln w="9525">
                <a:noFill/>
                <a:round/>
                <a:headEnd/>
                <a:tailEnd/>
              </a:ln>
              <a:solidFill>
                <a:srgbClr val="336699">
                  <a:alpha val="62000"/>
                </a:srgbClr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Arial"/>
              <a:cs typeface="Arial"/>
            </a:rPr>
            <a:t>NE PAS MODIFIER</a:t>
          </a:r>
        </a:p>
      </xdr:txBody>
    </xdr:sp>
    <xdr:clientData/>
  </xdr:twoCellAnchor>
  <xdr:twoCellAnchor>
    <xdr:from>
      <xdr:col>0</xdr:col>
      <xdr:colOff>838197</xdr:colOff>
      <xdr:row>190</xdr:row>
      <xdr:rowOff>66671</xdr:rowOff>
    </xdr:from>
    <xdr:to>
      <xdr:col>7</xdr:col>
      <xdr:colOff>542922</xdr:colOff>
      <xdr:row>198</xdr:row>
      <xdr:rowOff>47621</xdr:rowOff>
    </xdr:to>
    <xdr:sp macro="" textlink="">
      <xdr:nvSpPr>
        <xdr:cNvPr id="1043" name="WordArt 19"/>
        <xdr:cNvSpPr>
          <a:spLocks noChangeArrowheads="1" noChangeShapeType="1" noTextEdit="1"/>
        </xdr:cNvSpPr>
      </xdr:nvSpPr>
      <xdr:spPr bwMode="auto">
        <a:xfrm rot="-1539911">
          <a:off x="838197" y="30832421"/>
          <a:ext cx="5172075" cy="12763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CA" sz="3600" b="1" kern="10" spc="0">
              <a:ln w="9525">
                <a:noFill/>
                <a:round/>
                <a:headEnd/>
                <a:tailEnd/>
              </a:ln>
              <a:solidFill>
                <a:srgbClr val="336699">
                  <a:alpha val="62000"/>
                </a:srgbClr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Arial"/>
              <a:cs typeface="Arial"/>
            </a:rPr>
            <a:t>NE PAS MODIFIER</a:t>
          </a:r>
        </a:p>
      </xdr:txBody>
    </xdr:sp>
    <xdr:clientData/>
  </xdr:twoCellAnchor>
  <xdr:twoCellAnchor>
    <xdr:from>
      <xdr:col>0</xdr:col>
      <xdr:colOff>266703</xdr:colOff>
      <xdr:row>255</xdr:row>
      <xdr:rowOff>76199</xdr:rowOff>
    </xdr:from>
    <xdr:to>
      <xdr:col>8</xdr:col>
      <xdr:colOff>1295403</xdr:colOff>
      <xdr:row>263</xdr:row>
      <xdr:rowOff>57149</xdr:rowOff>
    </xdr:to>
    <xdr:sp macro="" textlink="">
      <xdr:nvSpPr>
        <xdr:cNvPr id="1045" name="WordArt 21"/>
        <xdr:cNvSpPr>
          <a:spLocks noChangeArrowheads="1" noChangeShapeType="1" noTextEdit="1"/>
        </xdr:cNvSpPr>
      </xdr:nvSpPr>
      <xdr:spPr bwMode="auto">
        <a:xfrm rot="-1539911">
          <a:off x="266703" y="41367074"/>
          <a:ext cx="7943850" cy="12763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CA" sz="3600" b="1" kern="10" spc="0">
              <a:ln w="9525">
                <a:noFill/>
                <a:round/>
                <a:headEnd/>
                <a:tailEnd/>
              </a:ln>
              <a:solidFill>
                <a:srgbClr val="336699">
                  <a:alpha val="62000"/>
                </a:srgbClr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Arial"/>
              <a:cs typeface="Arial"/>
            </a:rPr>
            <a:t>NE PAS MODIFIER</a:t>
          </a:r>
        </a:p>
      </xdr:txBody>
    </xdr:sp>
    <xdr:clientData/>
  </xdr:twoCellAnchor>
  <xdr:twoCellAnchor>
    <xdr:from>
      <xdr:col>0</xdr:col>
      <xdr:colOff>285748</xdr:colOff>
      <xdr:row>287</xdr:row>
      <xdr:rowOff>9529</xdr:rowOff>
    </xdr:from>
    <xdr:to>
      <xdr:col>6</xdr:col>
      <xdr:colOff>123823</xdr:colOff>
      <xdr:row>294</xdr:row>
      <xdr:rowOff>152404</xdr:rowOff>
    </xdr:to>
    <xdr:sp macro="" textlink="">
      <xdr:nvSpPr>
        <xdr:cNvPr id="1047" name="WordArt 23"/>
        <xdr:cNvSpPr>
          <a:spLocks noChangeArrowheads="1" noChangeShapeType="1" noTextEdit="1"/>
        </xdr:cNvSpPr>
      </xdr:nvSpPr>
      <xdr:spPr bwMode="auto">
        <a:xfrm rot="-1539911">
          <a:off x="285748" y="46482004"/>
          <a:ext cx="5172075" cy="12763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CA" sz="3600" b="1" kern="10" spc="0">
              <a:ln w="9525">
                <a:noFill/>
                <a:round/>
                <a:headEnd/>
                <a:tailEnd/>
              </a:ln>
              <a:solidFill>
                <a:srgbClr val="336699">
                  <a:alpha val="62000"/>
                </a:srgbClr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Arial"/>
              <a:cs typeface="Arial"/>
            </a:rPr>
            <a:t>NE PAS MODIFIER</a:t>
          </a:r>
        </a:p>
      </xdr:txBody>
    </xdr:sp>
    <xdr:clientData/>
  </xdr:twoCellAnchor>
  <xdr:twoCellAnchor>
    <xdr:from>
      <xdr:col>1</xdr:col>
      <xdr:colOff>533398</xdr:colOff>
      <xdr:row>325</xdr:row>
      <xdr:rowOff>28576</xdr:rowOff>
    </xdr:from>
    <xdr:to>
      <xdr:col>7</xdr:col>
      <xdr:colOff>895348</xdr:colOff>
      <xdr:row>334</xdr:row>
      <xdr:rowOff>9526</xdr:rowOff>
    </xdr:to>
    <xdr:sp macro="" textlink="">
      <xdr:nvSpPr>
        <xdr:cNvPr id="1049" name="WordArt 25"/>
        <xdr:cNvSpPr>
          <a:spLocks noChangeArrowheads="1" noChangeShapeType="1" noTextEdit="1"/>
        </xdr:cNvSpPr>
      </xdr:nvSpPr>
      <xdr:spPr bwMode="auto">
        <a:xfrm rot="-1539911">
          <a:off x="1981198" y="52654201"/>
          <a:ext cx="4381500" cy="14382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CA" sz="3600" b="1" kern="10" spc="0">
              <a:ln w="9525">
                <a:noFill/>
                <a:round/>
                <a:headEnd/>
                <a:tailEnd/>
              </a:ln>
              <a:solidFill>
                <a:srgbClr val="336699">
                  <a:alpha val="62000"/>
                </a:srgbClr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Arial"/>
              <a:cs typeface="Arial"/>
            </a:rPr>
            <a:t>NE PAS MODIFIER</a:t>
          </a:r>
        </a:p>
      </xdr:txBody>
    </xdr:sp>
    <xdr:clientData/>
  </xdr:twoCellAnchor>
  <xdr:twoCellAnchor>
    <xdr:from>
      <xdr:col>0</xdr:col>
      <xdr:colOff>190498</xdr:colOff>
      <xdr:row>393</xdr:row>
      <xdr:rowOff>85721</xdr:rowOff>
    </xdr:from>
    <xdr:to>
      <xdr:col>6</xdr:col>
      <xdr:colOff>28573</xdr:colOff>
      <xdr:row>401</xdr:row>
      <xdr:rowOff>66671</xdr:rowOff>
    </xdr:to>
    <xdr:sp macro="" textlink="">
      <xdr:nvSpPr>
        <xdr:cNvPr id="1051" name="WordArt 27"/>
        <xdr:cNvSpPr>
          <a:spLocks noChangeArrowheads="1" noChangeShapeType="1" noTextEdit="1"/>
        </xdr:cNvSpPr>
      </xdr:nvSpPr>
      <xdr:spPr bwMode="auto">
        <a:xfrm rot="-1539911">
          <a:off x="190498" y="63722246"/>
          <a:ext cx="5172075" cy="12763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CA" sz="3600" b="1" kern="10" spc="0">
              <a:ln w="9525">
                <a:noFill/>
                <a:round/>
                <a:headEnd/>
                <a:tailEnd/>
              </a:ln>
              <a:solidFill>
                <a:srgbClr val="336699">
                  <a:alpha val="62000"/>
                </a:srgbClr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Arial"/>
              <a:cs typeface="Arial"/>
            </a:rPr>
            <a:t>NE PAS MODIFIER</a:t>
          </a:r>
        </a:p>
      </xdr:txBody>
    </xdr:sp>
    <xdr:clientData/>
  </xdr:twoCellAnchor>
  <xdr:twoCellAnchor>
    <xdr:from>
      <xdr:col>1</xdr:col>
      <xdr:colOff>608148</xdr:colOff>
      <xdr:row>449</xdr:row>
      <xdr:rowOff>152320</xdr:rowOff>
    </xdr:from>
    <xdr:to>
      <xdr:col>8</xdr:col>
      <xdr:colOff>843591</xdr:colOff>
      <xdr:row>457</xdr:row>
      <xdr:rowOff>133270</xdr:rowOff>
    </xdr:to>
    <xdr:sp macro="" textlink="">
      <xdr:nvSpPr>
        <xdr:cNvPr id="1053" name="WordArt 29"/>
        <xdr:cNvSpPr>
          <a:spLocks noChangeArrowheads="1" noChangeShapeType="1" noTextEdit="1"/>
        </xdr:cNvSpPr>
      </xdr:nvSpPr>
      <xdr:spPr bwMode="auto">
        <a:xfrm rot="-1539911">
          <a:off x="2055948" y="72856645"/>
          <a:ext cx="5436093" cy="12763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CA" sz="3600" b="1" kern="10" spc="0">
              <a:ln w="9525">
                <a:noFill/>
                <a:round/>
                <a:headEnd/>
                <a:tailEnd/>
              </a:ln>
              <a:solidFill>
                <a:srgbClr val="336699">
                  <a:alpha val="62000"/>
                </a:srgbClr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Arial"/>
              <a:cs typeface="Arial"/>
            </a:rPr>
            <a:t>NE PAS MODIFIER</a:t>
          </a:r>
        </a:p>
      </xdr:txBody>
    </xdr:sp>
    <xdr:clientData/>
  </xdr:twoCellAnchor>
  <xdr:twoCellAnchor>
    <xdr:from>
      <xdr:col>1</xdr:col>
      <xdr:colOff>942976</xdr:colOff>
      <xdr:row>488</xdr:row>
      <xdr:rowOff>47621</xdr:rowOff>
    </xdr:from>
    <xdr:to>
      <xdr:col>8</xdr:col>
      <xdr:colOff>647701</xdr:colOff>
      <xdr:row>496</xdr:row>
      <xdr:rowOff>28571</xdr:rowOff>
    </xdr:to>
    <xdr:sp macro="" textlink="">
      <xdr:nvSpPr>
        <xdr:cNvPr id="1055" name="WordArt 31"/>
        <xdr:cNvSpPr>
          <a:spLocks noChangeArrowheads="1" noChangeShapeType="1" noTextEdit="1"/>
        </xdr:cNvSpPr>
      </xdr:nvSpPr>
      <xdr:spPr bwMode="auto">
        <a:xfrm rot="-1539911">
          <a:off x="2390776" y="79067021"/>
          <a:ext cx="5172075" cy="12763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CA" sz="3600" b="1" kern="10" spc="0">
              <a:ln w="9525">
                <a:noFill/>
                <a:round/>
                <a:headEnd/>
                <a:tailEnd/>
              </a:ln>
              <a:solidFill>
                <a:srgbClr val="336699">
                  <a:alpha val="62000"/>
                </a:srgbClr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Arial"/>
              <a:cs typeface="Arial"/>
            </a:rPr>
            <a:t>NE PAS MODIFIER</a:t>
          </a:r>
        </a:p>
      </xdr:txBody>
    </xdr:sp>
    <xdr:clientData/>
  </xdr:twoCellAnchor>
  <xdr:twoCellAnchor>
    <xdr:from>
      <xdr:col>1</xdr:col>
      <xdr:colOff>1051752</xdr:colOff>
      <xdr:row>517</xdr:row>
      <xdr:rowOff>0</xdr:rowOff>
    </xdr:from>
    <xdr:to>
      <xdr:col>8</xdr:col>
      <xdr:colOff>270902</xdr:colOff>
      <xdr:row>524</xdr:row>
      <xdr:rowOff>29198</xdr:rowOff>
    </xdr:to>
    <xdr:sp macro="" textlink="">
      <xdr:nvSpPr>
        <xdr:cNvPr id="1057" name="WordArt 33"/>
        <xdr:cNvSpPr>
          <a:spLocks noChangeArrowheads="1" noChangeShapeType="1" noTextEdit="1"/>
        </xdr:cNvSpPr>
      </xdr:nvSpPr>
      <xdr:spPr bwMode="auto">
        <a:xfrm rot="-1539911">
          <a:off x="2499552" y="84735023"/>
          <a:ext cx="4686500" cy="12763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CA" sz="3600" b="1" kern="10" spc="0">
              <a:ln w="9525">
                <a:noFill/>
                <a:round/>
                <a:headEnd/>
                <a:tailEnd/>
              </a:ln>
              <a:solidFill>
                <a:srgbClr val="336699">
                  <a:alpha val="62000"/>
                </a:srgbClr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Arial"/>
              <a:cs typeface="Arial"/>
            </a:rPr>
            <a:t>NE PAS MODIFIER</a:t>
          </a:r>
        </a:p>
      </xdr:txBody>
    </xdr:sp>
    <xdr:clientData/>
  </xdr:twoCellAnchor>
  <xdr:twoCellAnchor>
    <xdr:from>
      <xdr:col>0</xdr:col>
      <xdr:colOff>57148</xdr:colOff>
      <xdr:row>565</xdr:row>
      <xdr:rowOff>161924</xdr:rowOff>
    </xdr:from>
    <xdr:to>
      <xdr:col>5</xdr:col>
      <xdr:colOff>771523</xdr:colOff>
      <xdr:row>573</xdr:row>
      <xdr:rowOff>142874</xdr:rowOff>
    </xdr:to>
    <xdr:sp macro="" textlink="">
      <xdr:nvSpPr>
        <xdr:cNvPr id="1059" name="WordArt 35"/>
        <xdr:cNvSpPr>
          <a:spLocks noChangeArrowheads="1" noChangeShapeType="1" noTextEdit="1"/>
        </xdr:cNvSpPr>
      </xdr:nvSpPr>
      <xdr:spPr bwMode="auto">
        <a:xfrm rot="-1539911">
          <a:off x="57148" y="92783024"/>
          <a:ext cx="5172075" cy="12763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CA" sz="3600" b="1" kern="10" spc="0">
              <a:ln w="9525">
                <a:noFill/>
                <a:round/>
                <a:headEnd/>
                <a:tailEnd/>
              </a:ln>
              <a:solidFill>
                <a:srgbClr val="336699">
                  <a:alpha val="62000"/>
                </a:srgbClr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Arial"/>
              <a:cs typeface="Arial"/>
            </a:rPr>
            <a:t>NE PAS MODIFIER</a:t>
          </a:r>
        </a:p>
      </xdr:txBody>
    </xdr:sp>
    <xdr:clientData/>
  </xdr:twoCellAnchor>
  <xdr:twoCellAnchor>
    <xdr:from>
      <xdr:col>16</xdr:col>
      <xdr:colOff>571500</xdr:colOff>
      <xdr:row>650</xdr:row>
      <xdr:rowOff>114300</xdr:rowOff>
    </xdr:from>
    <xdr:to>
      <xdr:col>27</xdr:col>
      <xdr:colOff>876300</xdr:colOff>
      <xdr:row>658</xdr:row>
      <xdr:rowOff>95250</xdr:rowOff>
    </xdr:to>
    <xdr:sp macro="" textlink="">
      <xdr:nvSpPr>
        <xdr:cNvPr id="1061" name="WordArt 37"/>
        <xdr:cNvSpPr>
          <a:spLocks noChangeArrowheads="1" noChangeShapeType="1" noTextEdit="1"/>
        </xdr:cNvSpPr>
      </xdr:nvSpPr>
      <xdr:spPr bwMode="auto">
        <a:xfrm rot="-1539911">
          <a:off x="10001250" y="120110250"/>
          <a:ext cx="7715250" cy="12763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CA" sz="3600" b="1" kern="10" spc="0">
              <a:ln w="9525">
                <a:noFill/>
                <a:round/>
                <a:headEnd/>
                <a:tailEnd/>
              </a:ln>
              <a:solidFill>
                <a:srgbClr val="336699">
                  <a:alpha val="62000"/>
                </a:srgbClr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Arial"/>
              <a:cs typeface="Arial"/>
            </a:rPr>
            <a:t>NE PAS MODIFIER</a:t>
          </a:r>
        </a:p>
      </xdr:txBody>
    </xdr:sp>
    <xdr:clientData/>
  </xdr:twoCellAnchor>
  <xdr:twoCellAnchor>
    <xdr:from>
      <xdr:col>0</xdr:col>
      <xdr:colOff>419100</xdr:colOff>
      <xdr:row>691</xdr:row>
      <xdr:rowOff>95250</xdr:rowOff>
    </xdr:from>
    <xdr:to>
      <xdr:col>11</xdr:col>
      <xdr:colOff>466725</xdr:colOff>
      <xdr:row>699</xdr:row>
      <xdr:rowOff>76200</xdr:rowOff>
    </xdr:to>
    <xdr:sp macro="" textlink="">
      <xdr:nvSpPr>
        <xdr:cNvPr id="1062" name="WordArt 38"/>
        <xdr:cNvSpPr>
          <a:spLocks noChangeArrowheads="1" noChangeShapeType="1" noTextEdit="1"/>
        </xdr:cNvSpPr>
      </xdr:nvSpPr>
      <xdr:spPr bwMode="auto">
        <a:xfrm rot="-1539911">
          <a:off x="419100" y="126730125"/>
          <a:ext cx="7715250" cy="12763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CA" sz="3600" b="1" kern="10" spc="0">
              <a:ln w="9525">
                <a:noFill/>
                <a:round/>
                <a:headEnd/>
                <a:tailEnd/>
              </a:ln>
              <a:solidFill>
                <a:srgbClr val="336699">
                  <a:alpha val="62000"/>
                </a:srgbClr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Arial"/>
              <a:cs typeface="Arial"/>
            </a:rPr>
            <a:t>NE PAS MODIFIER</a:t>
          </a:r>
        </a:p>
      </xdr:txBody>
    </xdr:sp>
    <xdr:clientData/>
  </xdr:twoCellAnchor>
  <xdr:twoCellAnchor>
    <xdr:from>
      <xdr:col>16</xdr:col>
      <xdr:colOff>390525</xdr:colOff>
      <xdr:row>686</xdr:row>
      <xdr:rowOff>123825</xdr:rowOff>
    </xdr:from>
    <xdr:to>
      <xdr:col>27</xdr:col>
      <xdr:colOff>695325</xdr:colOff>
      <xdr:row>694</xdr:row>
      <xdr:rowOff>104775</xdr:rowOff>
    </xdr:to>
    <xdr:sp macro="" textlink="">
      <xdr:nvSpPr>
        <xdr:cNvPr id="1063" name="WordArt 39"/>
        <xdr:cNvSpPr>
          <a:spLocks noChangeArrowheads="1" noChangeShapeType="1" noTextEdit="1"/>
        </xdr:cNvSpPr>
      </xdr:nvSpPr>
      <xdr:spPr bwMode="auto">
        <a:xfrm rot="-1539911">
          <a:off x="9820275" y="125949075"/>
          <a:ext cx="7715250" cy="12763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CA" sz="3600" b="1" kern="10" spc="0">
              <a:ln w="9525">
                <a:noFill/>
                <a:round/>
                <a:headEnd/>
                <a:tailEnd/>
              </a:ln>
              <a:solidFill>
                <a:srgbClr val="336699">
                  <a:alpha val="62000"/>
                </a:srgbClr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Arial"/>
              <a:cs typeface="Arial"/>
            </a:rPr>
            <a:t>NE PAS MODIFIER</a:t>
          </a:r>
        </a:p>
      </xdr:txBody>
    </xdr:sp>
    <xdr:clientData/>
  </xdr:twoCellAnchor>
  <xdr:twoCellAnchor>
    <xdr:from>
      <xdr:col>0</xdr:col>
      <xdr:colOff>933450</xdr:colOff>
      <xdr:row>731</xdr:row>
      <xdr:rowOff>133350</xdr:rowOff>
    </xdr:from>
    <xdr:to>
      <xdr:col>12</xdr:col>
      <xdr:colOff>161925</xdr:colOff>
      <xdr:row>739</xdr:row>
      <xdr:rowOff>114300</xdr:rowOff>
    </xdr:to>
    <xdr:sp macro="" textlink="">
      <xdr:nvSpPr>
        <xdr:cNvPr id="1064" name="WordArt 40"/>
        <xdr:cNvSpPr>
          <a:spLocks noChangeArrowheads="1" noChangeShapeType="1" noTextEdit="1"/>
        </xdr:cNvSpPr>
      </xdr:nvSpPr>
      <xdr:spPr bwMode="auto">
        <a:xfrm rot="-1539911">
          <a:off x="933450" y="133245225"/>
          <a:ext cx="7705725" cy="12763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CA" sz="3600" b="1" kern="10" spc="0">
              <a:ln w="9525">
                <a:noFill/>
                <a:round/>
                <a:headEnd/>
                <a:tailEnd/>
              </a:ln>
              <a:solidFill>
                <a:srgbClr val="336699">
                  <a:alpha val="62000"/>
                </a:srgbClr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Arial"/>
              <a:cs typeface="Arial"/>
            </a:rPr>
            <a:t>NE PAS MODIFIER</a:t>
          </a:r>
        </a:p>
      </xdr:txBody>
    </xdr:sp>
    <xdr:clientData/>
  </xdr:twoCellAnchor>
  <xdr:twoCellAnchor>
    <xdr:from>
      <xdr:col>16</xdr:col>
      <xdr:colOff>971550</xdr:colOff>
      <xdr:row>732</xdr:row>
      <xdr:rowOff>76200</xdr:rowOff>
    </xdr:from>
    <xdr:to>
      <xdr:col>27</xdr:col>
      <xdr:colOff>1276350</xdr:colOff>
      <xdr:row>740</xdr:row>
      <xdr:rowOff>57150</xdr:rowOff>
    </xdr:to>
    <xdr:sp macro="" textlink="">
      <xdr:nvSpPr>
        <xdr:cNvPr id="1065" name="WordArt 41"/>
        <xdr:cNvSpPr>
          <a:spLocks noChangeArrowheads="1" noChangeShapeType="1" noTextEdit="1"/>
        </xdr:cNvSpPr>
      </xdr:nvSpPr>
      <xdr:spPr bwMode="auto">
        <a:xfrm rot="-1539911">
          <a:off x="10401300" y="133350000"/>
          <a:ext cx="7715250" cy="12763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CA" sz="3600" b="1" kern="10" spc="0">
              <a:ln w="9525">
                <a:noFill/>
                <a:round/>
                <a:headEnd/>
                <a:tailEnd/>
              </a:ln>
              <a:solidFill>
                <a:srgbClr val="336699">
                  <a:alpha val="62000"/>
                </a:srgbClr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Arial"/>
              <a:cs typeface="Arial"/>
            </a:rPr>
            <a:t>NE PAS MODIFIER</a:t>
          </a:r>
        </a:p>
      </xdr:txBody>
    </xdr:sp>
    <xdr:clientData/>
  </xdr:twoCellAnchor>
  <xdr:twoCellAnchor>
    <xdr:from>
      <xdr:col>0</xdr:col>
      <xdr:colOff>542925</xdr:colOff>
      <xdr:row>774</xdr:row>
      <xdr:rowOff>133350</xdr:rowOff>
    </xdr:from>
    <xdr:to>
      <xdr:col>11</xdr:col>
      <xdr:colOff>590550</xdr:colOff>
      <xdr:row>782</xdr:row>
      <xdr:rowOff>114300</xdr:rowOff>
    </xdr:to>
    <xdr:sp macro="" textlink="">
      <xdr:nvSpPr>
        <xdr:cNvPr id="1066" name="WordArt 42"/>
        <xdr:cNvSpPr>
          <a:spLocks noChangeArrowheads="1" noChangeShapeType="1" noTextEdit="1"/>
        </xdr:cNvSpPr>
      </xdr:nvSpPr>
      <xdr:spPr bwMode="auto">
        <a:xfrm rot="-1539911">
          <a:off x="542925" y="140208000"/>
          <a:ext cx="7715250" cy="12763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CA" sz="3600" b="1" kern="10" spc="0">
              <a:ln w="9525">
                <a:noFill/>
                <a:round/>
                <a:headEnd/>
                <a:tailEnd/>
              </a:ln>
              <a:solidFill>
                <a:srgbClr val="336699">
                  <a:alpha val="62000"/>
                </a:srgbClr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Arial"/>
              <a:cs typeface="Arial"/>
            </a:rPr>
            <a:t>NE PAS MODIFIER</a:t>
          </a:r>
        </a:p>
      </xdr:txBody>
    </xdr:sp>
    <xdr:clientData/>
  </xdr:twoCellAnchor>
  <xdr:twoCellAnchor>
    <xdr:from>
      <xdr:col>16</xdr:col>
      <xdr:colOff>1114425</xdr:colOff>
      <xdr:row>772</xdr:row>
      <xdr:rowOff>9525</xdr:rowOff>
    </xdr:from>
    <xdr:to>
      <xdr:col>27</xdr:col>
      <xdr:colOff>1419225</xdr:colOff>
      <xdr:row>779</xdr:row>
      <xdr:rowOff>152400</xdr:rowOff>
    </xdr:to>
    <xdr:sp macro="" textlink="">
      <xdr:nvSpPr>
        <xdr:cNvPr id="1067" name="WordArt 43"/>
        <xdr:cNvSpPr>
          <a:spLocks noChangeArrowheads="1" noChangeShapeType="1" noTextEdit="1"/>
        </xdr:cNvSpPr>
      </xdr:nvSpPr>
      <xdr:spPr bwMode="auto">
        <a:xfrm rot="-1539911">
          <a:off x="10544175" y="139760325"/>
          <a:ext cx="7715250" cy="12763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CA" sz="3600" b="1" kern="10" spc="0">
              <a:ln w="9525">
                <a:noFill/>
                <a:round/>
                <a:headEnd/>
                <a:tailEnd/>
              </a:ln>
              <a:solidFill>
                <a:srgbClr val="336699">
                  <a:alpha val="62000"/>
                </a:srgbClr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Arial"/>
              <a:cs typeface="Arial"/>
            </a:rPr>
            <a:t>NE PAS MODIFIER</a:t>
          </a:r>
        </a:p>
      </xdr:txBody>
    </xdr:sp>
    <xdr:clientData/>
  </xdr:twoCellAnchor>
  <xdr:twoCellAnchor>
    <xdr:from>
      <xdr:col>0</xdr:col>
      <xdr:colOff>542925</xdr:colOff>
      <xdr:row>812</xdr:row>
      <xdr:rowOff>28575</xdr:rowOff>
    </xdr:from>
    <xdr:to>
      <xdr:col>11</xdr:col>
      <xdr:colOff>590550</xdr:colOff>
      <xdr:row>820</xdr:row>
      <xdr:rowOff>9525</xdr:rowOff>
    </xdr:to>
    <xdr:sp macro="" textlink="">
      <xdr:nvSpPr>
        <xdr:cNvPr id="1068" name="WordArt 44"/>
        <xdr:cNvSpPr>
          <a:spLocks noChangeArrowheads="1" noChangeShapeType="1" noTextEdit="1"/>
        </xdr:cNvSpPr>
      </xdr:nvSpPr>
      <xdr:spPr bwMode="auto">
        <a:xfrm rot="-1539911">
          <a:off x="542925" y="146256375"/>
          <a:ext cx="7715250" cy="12763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CA" sz="3600" b="1" kern="10" spc="0">
              <a:ln w="9525">
                <a:noFill/>
                <a:round/>
                <a:headEnd/>
                <a:tailEnd/>
              </a:ln>
              <a:solidFill>
                <a:srgbClr val="336699">
                  <a:alpha val="62000"/>
                </a:srgbClr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Arial"/>
              <a:cs typeface="Arial"/>
            </a:rPr>
            <a:t>NE PAS MODIFIER</a:t>
          </a:r>
        </a:p>
      </xdr:txBody>
    </xdr:sp>
    <xdr:clientData/>
  </xdr:twoCellAnchor>
  <xdr:twoCellAnchor>
    <xdr:from>
      <xdr:col>16</xdr:col>
      <xdr:colOff>542925</xdr:colOff>
      <xdr:row>808</xdr:row>
      <xdr:rowOff>123825</xdr:rowOff>
    </xdr:from>
    <xdr:to>
      <xdr:col>27</xdr:col>
      <xdr:colOff>847725</xdr:colOff>
      <xdr:row>816</xdr:row>
      <xdr:rowOff>104775</xdr:rowOff>
    </xdr:to>
    <xdr:sp macro="" textlink="">
      <xdr:nvSpPr>
        <xdr:cNvPr id="1069" name="WordArt 45"/>
        <xdr:cNvSpPr>
          <a:spLocks noChangeArrowheads="1" noChangeShapeType="1" noTextEdit="1"/>
        </xdr:cNvSpPr>
      </xdr:nvSpPr>
      <xdr:spPr bwMode="auto">
        <a:xfrm rot="-1539911">
          <a:off x="9972675" y="145703925"/>
          <a:ext cx="7715250" cy="12763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CA" sz="3600" b="1" kern="10" spc="0">
              <a:ln w="9525">
                <a:noFill/>
                <a:round/>
                <a:headEnd/>
                <a:tailEnd/>
              </a:ln>
              <a:solidFill>
                <a:srgbClr val="336699">
                  <a:alpha val="62000"/>
                </a:srgbClr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Arial"/>
              <a:cs typeface="Arial"/>
            </a:rPr>
            <a:t>NE PAS MODIFIER</a:t>
          </a:r>
        </a:p>
      </xdr:txBody>
    </xdr:sp>
    <xdr:clientData/>
  </xdr:twoCellAnchor>
  <xdr:twoCellAnchor>
    <xdr:from>
      <xdr:col>0</xdr:col>
      <xdr:colOff>838200</xdr:colOff>
      <xdr:row>867</xdr:row>
      <xdr:rowOff>123825</xdr:rowOff>
    </xdr:from>
    <xdr:to>
      <xdr:col>12</xdr:col>
      <xdr:colOff>76200</xdr:colOff>
      <xdr:row>875</xdr:row>
      <xdr:rowOff>104775</xdr:rowOff>
    </xdr:to>
    <xdr:sp macro="" textlink="">
      <xdr:nvSpPr>
        <xdr:cNvPr id="1070" name="WordArt 46"/>
        <xdr:cNvSpPr>
          <a:spLocks noChangeArrowheads="1" noChangeShapeType="1" noTextEdit="1"/>
        </xdr:cNvSpPr>
      </xdr:nvSpPr>
      <xdr:spPr bwMode="auto">
        <a:xfrm rot="-1539911">
          <a:off x="838200" y="155257500"/>
          <a:ext cx="7715250" cy="12763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CA" sz="3600" b="1" kern="10" spc="0">
              <a:ln w="9525">
                <a:noFill/>
                <a:round/>
                <a:headEnd/>
                <a:tailEnd/>
              </a:ln>
              <a:solidFill>
                <a:srgbClr val="336699">
                  <a:alpha val="62000"/>
                </a:srgbClr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Arial"/>
              <a:cs typeface="Arial"/>
            </a:rPr>
            <a:t>NE PAS MODIFIER</a:t>
          </a:r>
        </a:p>
      </xdr:txBody>
    </xdr:sp>
    <xdr:clientData/>
  </xdr:twoCellAnchor>
  <xdr:twoCellAnchor>
    <xdr:from>
      <xdr:col>16</xdr:col>
      <xdr:colOff>1247775</xdr:colOff>
      <xdr:row>865</xdr:row>
      <xdr:rowOff>104775</xdr:rowOff>
    </xdr:from>
    <xdr:to>
      <xdr:col>27</xdr:col>
      <xdr:colOff>1552575</xdr:colOff>
      <xdr:row>873</xdr:row>
      <xdr:rowOff>85725</xdr:rowOff>
    </xdr:to>
    <xdr:sp macro="" textlink="">
      <xdr:nvSpPr>
        <xdr:cNvPr id="1071" name="WordArt 47"/>
        <xdr:cNvSpPr>
          <a:spLocks noChangeArrowheads="1" noChangeShapeType="1" noTextEdit="1"/>
        </xdr:cNvSpPr>
      </xdr:nvSpPr>
      <xdr:spPr bwMode="auto">
        <a:xfrm rot="-1539911">
          <a:off x="10677525" y="154914600"/>
          <a:ext cx="7715250" cy="12763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CA" sz="3600" b="1" kern="10" spc="0">
              <a:ln w="9525">
                <a:noFill/>
                <a:round/>
                <a:headEnd/>
                <a:tailEnd/>
              </a:ln>
              <a:solidFill>
                <a:srgbClr val="336699">
                  <a:alpha val="62000"/>
                </a:srgbClr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Arial"/>
              <a:cs typeface="Arial"/>
            </a:rPr>
            <a:t>NE PAS MODIFIER</a:t>
          </a:r>
        </a:p>
      </xdr:txBody>
    </xdr:sp>
    <xdr:clientData/>
  </xdr:twoCellAnchor>
  <xdr:twoCellAnchor>
    <xdr:from>
      <xdr:col>0</xdr:col>
      <xdr:colOff>714375</xdr:colOff>
      <xdr:row>906</xdr:row>
      <xdr:rowOff>47625</xdr:rowOff>
    </xdr:from>
    <xdr:to>
      <xdr:col>11</xdr:col>
      <xdr:colOff>762000</xdr:colOff>
      <xdr:row>914</xdr:row>
      <xdr:rowOff>28575</xdr:rowOff>
    </xdr:to>
    <xdr:sp macro="" textlink="">
      <xdr:nvSpPr>
        <xdr:cNvPr id="1072" name="WordArt 48"/>
        <xdr:cNvSpPr>
          <a:spLocks noChangeArrowheads="1" noChangeShapeType="1" noTextEdit="1"/>
        </xdr:cNvSpPr>
      </xdr:nvSpPr>
      <xdr:spPr bwMode="auto">
        <a:xfrm rot="-1539911">
          <a:off x="714375" y="161496375"/>
          <a:ext cx="7715250" cy="12763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CA" sz="3600" b="1" kern="10" spc="0">
              <a:ln w="9525">
                <a:noFill/>
                <a:round/>
                <a:headEnd/>
                <a:tailEnd/>
              </a:ln>
              <a:solidFill>
                <a:srgbClr val="336699">
                  <a:alpha val="62000"/>
                </a:srgbClr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Arial"/>
              <a:cs typeface="Arial"/>
            </a:rPr>
            <a:t>NE PAS MODIFIER</a:t>
          </a:r>
        </a:p>
      </xdr:txBody>
    </xdr:sp>
    <xdr:clientData/>
  </xdr:twoCellAnchor>
  <xdr:twoCellAnchor>
    <xdr:from>
      <xdr:col>16</xdr:col>
      <xdr:colOff>790575</xdr:colOff>
      <xdr:row>904</xdr:row>
      <xdr:rowOff>19050</xdr:rowOff>
    </xdr:from>
    <xdr:to>
      <xdr:col>27</xdr:col>
      <xdr:colOff>1095375</xdr:colOff>
      <xdr:row>912</xdr:row>
      <xdr:rowOff>0</xdr:rowOff>
    </xdr:to>
    <xdr:sp macro="" textlink="">
      <xdr:nvSpPr>
        <xdr:cNvPr id="1073" name="WordArt 49"/>
        <xdr:cNvSpPr>
          <a:spLocks noChangeArrowheads="1" noChangeShapeType="1" noTextEdit="1"/>
        </xdr:cNvSpPr>
      </xdr:nvSpPr>
      <xdr:spPr bwMode="auto">
        <a:xfrm rot="-1539911">
          <a:off x="10220325" y="161143950"/>
          <a:ext cx="7715250" cy="12763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CA" sz="3600" b="1" kern="10" spc="0">
              <a:ln w="9525">
                <a:noFill/>
                <a:round/>
                <a:headEnd/>
                <a:tailEnd/>
              </a:ln>
              <a:solidFill>
                <a:srgbClr val="336699">
                  <a:alpha val="62000"/>
                </a:srgbClr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Arial"/>
              <a:cs typeface="Arial"/>
            </a:rPr>
            <a:t>NE PAS MODIFIER</a:t>
          </a:r>
        </a:p>
      </xdr:txBody>
    </xdr:sp>
    <xdr:clientData/>
  </xdr:twoCellAnchor>
  <xdr:twoCellAnchor>
    <xdr:from>
      <xdr:col>1</xdr:col>
      <xdr:colOff>47625</xdr:colOff>
      <xdr:row>958</xdr:row>
      <xdr:rowOff>57150</xdr:rowOff>
    </xdr:from>
    <xdr:to>
      <xdr:col>13</xdr:col>
      <xdr:colOff>257175</xdr:colOff>
      <xdr:row>966</xdr:row>
      <xdr:rowOff>38100</xdr:rowOff>
    </xdr:to>
    <xdr:sp macro="" textlink="">
      <xdr:nvSpPr>
        <xdr:cNvPr id="1074" name="WordArt 50"/>
        <xdr:cNvSpPr>
          <a:spLocks noChangeArrowheads="1" noChangeShapeType="1" noTextEdit="1"/>
        </xdr:cNvSpPr>
      </xdr:nvSpPr>
      <xdr:spPr bwMode="auto">
        <a:xfrm rot="-1539911">
          <a:off x="1352550" y="169926000"/>
          <a:ext cx="7715250" cy="12763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CA" sz="3600" b="1" kern="10" spc="0">
              <a:ln w="9525">
                <a:noFill/>
                <a:round/>
                <a:headEnd/>
                <a:tailEnd/>
              </a:ln>
              <a:solidFill>
                <a:srgbClr val="336699">
                  <a:alpha val="62000"/>
                </a:srgbClr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Arial"/>
              <a:cs typeface="Arial"/>
            </a:rPr>
            <a:t>NE PAS MODIFIER</a:t>
          </a:r>
        </a:p>
      </xdr:txBody>
    </xdr:sp>
    <xdr:clientData/>
  </xdr:twoCellAnchor>
  <xdr:twoCellAnchor>
    <xdr:from>
      <xdr:col>16</xdr:col>
      <xdr:colOff>828675</xdr:colOff>
      <xdr:row>958</xdr:row>
      <xdr:rowOff>66675</xdr:rowOff>
    </xdr:from>
    <xdr:to>
      <xdr:col>27</xdr:col>
      <xdr:colOff>1133475</xdr:colOff>
      <xdr:row>966</xdr:row>
      <xdr:rowOff>47625</xdr:rowOff>
    </xdr:to>
    <xdr:sp macro="" textlink="">
      <xdr:nvSpPr>
        <xdr:cNvPr id="1075" name="WordArt 51"/>
        <xdr:cNvSpPr>
          <a:spLocks noChangeArrowheads="1" noChangeShapeType="1" noTextEdit="1"/>
        </xdr:cNvSpPr>
      </xdr:nvSpPr>
      <xdr:spPr bwMode="auto">
        <a:xfrm rot="-1539911">
          <a:off x="10258425" y="169935525"/>
          <a:ext cx="7715250" cy="12763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CA" sz="3600" b="1" kern="10" spc="0">
              <a:ln w="9525">
                <a:noFill/>
                <a:round/>
                <a:headEnd/>
                <a:tailEnd/>
              </a:ln>
              <a:solidFill>
                <a:srgbClr val="336699">
                  <a:alpha val="62000"/>
                </a:srgbClr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Arial"/>
              <a:cs typeface="Arial"/>
            </a:rPr>
            <a:t>NE PAS MODIFIER</a:t>
          </a:r>
        </a:p>
      </xdr:txBody>
    </xdr:sp>
    <xdr:clientData/>
  </xdr:twoCellAnchor>
  <xdr:twoCellAnchor>
    <xdr:from>
      <xdr:col>0</xdr:col>
      <xdr:colOff>1009650</xdr:colOff>
      <xdr:row>1007</xdr:row>
      <xdr:rowOff>0</xdr:rowOff>
    </xdr:from>
    <xdr:to>
      <xdr:col>12</xdr:col>
      <xdr:colOff>247650</xdr:colOff>
      <xdr:row>1014</xdr:row>
      <xdr:rowOff>142875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 rot="-1539911">
          <a:off x="1009650" y="177803175"/>
          <a:ext cx="7715250" cy="12763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CA" sz="3600" b="1" kern="10" spc="0">
              <a:ln w="9525">
                <a:noFill/>
                <a:round/>
                <a:headEnd/>
                <a:tailEnd/>
              </a:ln>
              <a:solidFill>
                <a:srgbClr val="336699">
                  <a:alpha val="62000"/>
                </a:srgbClr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Arial"/>
              <a:cs typeface="Arial"/>
            </a:rPr>
            <a:t>NE PAS MODIFIER</a:t>
          </a:r>
        </a:p>
      </xdr:txBody>
    </xdr:sp>
    <xdr:clientData/>
  </xdr:twoCellAnchor>
  <xdr:twoCellAnchor>
    <xdr:from>
      <xdr:col>16</xdr:col>
      <xdr:colOff>495300</xdr:colOff>
      <xdr:row>1006</xdr:row>
      <xdr:rowOff>104775</xdr:rowOff>
    </xdr:from>
    <xdr:to>
      <xdr:col>27</xdr:col>
      <xdr:colOff>800100</xdr:colOff>
      <xdr:row>1014</xdr:row>
      <xdr:rowOff>85725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 rot="-1539911">
          <a:off x="9925050" y="177746025"/>
          <a:ext cx="7715250" cy="12763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CA" sz="3600" b="1" kern="10" spc="0">
              <a:ln w="9525">
                <a:noFill/>
                <a:round/>
                <a:headEnd/>
                <a:tailEnd/>
              </a:ln>
              <a:solidFill>
                <a:srgbClr val="336699">
                  <a:alpha val="62000"/>
                </a:srgbClr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Arial"/>
              <a:cs typeface="Arial"/>
            </a:rPr>
            <a:t>NE PAS MODIFIER</a:t>
          </a:r>
        </a:p>
      </xdr:txBody>
    </xdr:sp>
    <xdr:clientData/>
  </xdr:twoCellAnchor>
  <xdr:twoCellAnchor>
    <xdr:from>
      <xdr:col>0</xdr:col>
      <xdr:colOff>1266825</xdr:colOff>
      <xdr:row>1044</xdr:row>
      <xdr:rowOff>104775</xdr:rowOff>
    </xdr:from>
    <xdr:to>
      <xdr:col>13</xdr:col>
      <xdr:colOff>161925</xdr:colOff>
      <xdr:row>1052</xdr:row>
      <xdr:rowOff>85725</xdr:rowOff>
    </xdr:to>
    <xdr:sp macro="" textlink="">
      <xdr:nvSpPr>
        <xdr:cNvPr id="1078" name="WordArt 54"/>
        <xdr:cNvSpPr>
          <a:spLocks noChangeArrowheads="1" noChangeShapeType="1" noTextEdit="1"/>
        </xdr:cNvSpPr>
      </xdr:nvSpPr>
      <xdr:spPr bwMode="auto">
        <a:xfrm rot="-1539911">
          <a:off x="1266825" y="183899175"/>
          <a:ext cx="7705725" cy="12763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CA" sz="3600" b="1" kern="10" spc="0">
              <a:ln w="9525">
                <a:noFill/>
                <a:round/>
                <a:headEnd/>
                <a:tailEnd/>
              </a:ln>
              <a:solidFill>
                <a:srgbClr val="336699">
                  <a:alpha val="62000"/>
                </a:srgbClr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Arial"/>
              <a:cs typeface="Arial"/>
            </a:rPr>
            <a:t>NE PAS MODIFIER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1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.xml"/></Relationships>
</file>

<file path=xl/pivotCache/_rels/pivotCacheDefinition1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1.xml"/></Relationships>
</file>

<file path=xl/pivotCache/_rels/pivotCacheDefinition1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2.xml"/></Relationships>
</file>

<file path=xl/pivotCache/_rels/pivotCacheDefinition1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3.xml"/></Relationships>
</file>

<file path=xl/pivotCache/_rels/pivotCacheDefinition1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4.xml"/></Relationships>
</file>

<file path=xl/pivotCache/_rels/pivotCacheDefinition1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5.xml"/></Relationships>
</file>

<file path=xl/pivotCache/_rels/pivotCacheDefinition1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6.xml"/></Relationships>
</file>

<file path=xl/pivotCache/_rels/pivotCacheDefinition1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7.xml"/></Relationships>
</file>

<file path=xl/pivotCache/_rels/pivotCacheDefinition1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8.xml"/></Relationships>
</file>

<file path=xl/pivotCache/_rels/pivotCacheDefinition1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9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2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0.xml"/></Relationships>
</file>

<file path=xl/pivotCache/_rels/pivotCacheDefinition2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1.xml"/></Relationships>
</file>

<file path=xl/pivotCache/_rels/pivotCacheDefinition2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2.xml"/></Relationships>
</file>

<file path=xl/pivotCache/_rels/pivotCacheDefinition2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3.xml"/></Relationships>
</file>

<file path=xl/pivotCache/_rels/pivotCacheDefinition2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4.xml"/></Relationships>
</file>

<file path=xl/pivotCache/_rels/pivotCacheDefinition2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5.xml"/></Relationships>
</file>

<file path=xl/pivotCache/_rels/pivotCacheDefinition2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6.xml"/></Relationships>
</file>

<file path=xl/pivotCache/_rels/pivotCacheDefinition2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7.xml"/></Relationships>
</file>

<file path=xl/pivotCache/_rels/pivotCacheDefinition2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8.xml"/></Relationships>
</file>

<file path=xl/pivotCache/_rels/pivotCacheDefinition2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9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3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0.xml"/></Relationships>
</file>

<file path=xl/pivotCache/_rels/pivotCacheDefinition3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1.xml"/></Relationships>
</file>

<file path=xl/pivotCache/_rels/pivotCacheDefinition3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2.xml"/></Relationships>
</file>

<file path=xl/pivotCache/_rels/pivotCacheDefinition3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3.xml"/></Relationships>
</file>

<file path=xl/pivotCache/_rels/pivotCacheDefinition3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4.xml"/></Relationships>
</file>

<file path=xl/pivotCache/_rels/pivotCacheDefinition3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5.xml"/></Relationships>
</file>

<file path=xl/pivotCache/_rels/pivotCacheDefinition3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6.xml"/></Relationships>
</file>

<file path=xl/pivotCache/_rels/pivotCacheDefinition3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7.xml"/></Relationships>
</file>

<file path=xl/pivotCache/_rels/pivotCacheDefinition3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8.xml"/></Relationships>
</file>

<file path=xl/pivotCache/_rels/pivotCacheDefinition3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9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4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0.xml"/></Relationships>
</file>

<file path=xl/pivotCache/_rels/pivotCacheDefinition4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1.xml"/></Relationships>
</file>

<file path=xl/pivotCache/_rels/pivotCacheDefinition4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2.xml"/></Relationships>
</file>

<file path=xl/pivotCache/_rels/pivotCacheDefinition4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3.xml"/></Relationships>
</file>

<file path=xl/pivotCache/_rels/pivotCacheDefinition4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4.xml"/></Relationships>
</file>

<file path=xl/pivotCache/_rels/pivotCacheDefinition4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5.xml"/></Relationships>
</file>

<file path=xl/pivotCache/_rels/pivotCacheDefinition4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6.xml"/></Relationships>
</file>

<file path=xl/pivotCache/_rels/pivotCacheDefinition4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7.xml"/></Relationships>
</file>

<file path=xl/pivotCache/_rels/pivotCacheDefinition4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8.xml"/></Relationships>
</file>

<file path=xl/pivotCache/_rels/pivotCacheDefinition4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9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5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0.xml"/></Relationships>
</file>

<file path=xl/pivotCache/_rels/pivotCacheDefinition5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1.xml"/></Relationships>
</file>

<file path=xl/pivotCache/_rels/pivotCacheDefinition5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2.xml"/></Relationships>
</file>

<file path=xl/pivotCache/_rels/pivotCacheDefinition5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3.xml"/></Relationships>
</file>

<file path=xl/pivotCache/_rels/pivotCacheDefinition5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4.xml"/></Relationships>
</file>

<file path=xl/pivotCache/_rels/pivotCacheDefinition5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5.xml"/></Relationships>
</file>

<file path=xl/pivotCache/_rels/pivotCacheDefinition5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6.xml"/></Relationships>
</file>

<file path=xl/pivotCache/_rels/pivotCacheDefinition5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7.xml"/></Relationships>
</file>

<file path=xl/pivotCache/_rels/pivotCacheDefinition5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8.xml"/></Relationships>
</file>

<file path=xl/pivotCache/_rels/pivotCacheDefinition5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9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6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0.xml"/></Relationships>
</file>

<file path=xl/pivotCache/_rels/pivotCacheDefinition6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1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esmel01" refreshedDate="41416.545141435185" createdVersion="3" refreshedVersion="3" minRefreshableVersion="3" recordCount="608">
  <cacheSource type="worksheet">
    <worksheetSource ref="BS1:CQ1048576" sheet="Grille de saisie"/>
  </cacheSource>
  <cacheFields count="24">
    <cacheField name="Question 26" numFmtId="0">
      <sharedItems containsBlank="1" containsMixedTypes="1" containsNumber="1" containsInteger="1" minValue="1" maxValue="2" count="4">
        <s v="Au cours des deux dernières années, avez-vous subi un accident qui vous a occasionné une blessure pour laquelle vous avez dû consulter un professionnel de la santé ou limiter vos activités ?"/>
        <n v="1"/>
        <n v="2"/>
        <m/>
      </sharedItems>
    </cacheField>
    <cacheField name="Question 26A" numFmtId="0">
      <sharedItems containsBlank="1" containsMixedTypes="1" containsNumber="1" containsInteger="1" minValue="1" maxValue="4"/>
    </cacheField>
    <cacheField name="Question 26B" numFmtId="0">
      <sharedItems containsBlank="1" containsMixedTypes="1" containsNumber="1" containsInteger="1" minValue="1" maxValue="98"/>
    </cacheField>
    <cacheField name="Question 26Autre" numFmtId="0">
      <sharedItems containsBlank="1"/>
    </cacheField>
    <cacheField name="Question 27" numFmtId="0">
      <sharedItems containsBlank="1" containsMixedTypes="1" containsNumber="1" containsInteger="1" minValue="1" maxValue="8"/>
    </cacheField>
    <cacheField name="Question 28" numFmtId="0">
      <sharedItems containsBlank="1" containsMixedTypes="1" containsNumber="1" containsInteger="1" minValue="1" maxValue="4"/>
    </cacheField>
    <cacheField name="Question 29" numFmtId="0">
      <sharedItems containsBlank="1" containsMixedTypes="1" containsNumber="1" containsInteger="1" minValue="1" maxValue="5"/>
    </cacheField>
    <cacheField name="Question 30" numFmtId="0">
      <sharedItems containsBlank="1" containsMixedTypes="1" containsNumber="1" containsInteger="1" minValue="1" maxValue="2" count="4">
        <s v="Êtes-vous :"/>
        <n v="1"/>
        <n v="2"/>
        <m/>
      </sharedItems>
    </cacheField>
    <cacheField name="Question 31" numFmtId="0">
      <sharedItems containsBlank="1" containsMixedTypes="1" containsNumber="1" containsInteger="1" minValue="1946" maxValue="1994"/>
    </cacheField>
    <cacheField name="Question 32" numFmtId="0">
      <sharedItems containsBlank="1" containsMixedTypes="1" containsNumber="1" containsInteger="1" minValue="1" maxValue="3"/>
    </cacheField>
    <cacheField name="Question 32 Autre" numFmtId="0">
      <sharedItems containsBlank="1"/>
    </cacheField>
    <cacheField name="Question 33" numFmtId="0">
      <sharedItems containsBlank="1" containsMixedTypes="1" containsNumber="1" containsInteger="1" minValue="1" maxValue="7"/>
    </cacheField>
    <cacheField name="Question 33 Autre" numFmtId="0">
      <sharedItems containsBlank="1"/>
    </cacheField>
    <cacheField name="Question 34" numFmtId="0">
      <sharedItems containsBlank="1" containsMixedTypes="1" containsNumber="1" containsInteger="1" minValue="1" maxValue="6"/>
    </cacheField>
    <cacheField name="Question 34 Autre" numFmtId="0">
      <sharedItems containsBlank="1"/>
    </cacheField>
    <cacheField name="Question 35" numFmtId="0">
      <sharedItems containsBlank="1" containsMixedTypes="1" containsNumber="1" containsInteger="1" minValue="1" maxValue="4"/>
    </cacheField>
    <cacheField name="Question 35 Autre" numFmtId="0">
      <sharedItems containsBlank="1"/>
    </cacheField>
    <cacheField name="Question 36" numFmtId="0">
      <sharedItems containsBlank="1" containsMixedTypes="1" containsNumber="1" containsInteger="1" minValue="1" maxValue="4"/>
    </cacheField>
    <cacheField name="Répondant" numFmtId="0">
      <sharedItems containsString="0" containsBlank="1" containsNumber="1" containsInteger="1" minValue="1" maxValue="1"/>
    </cacheField>
    <cacheField name="Calcul de l'âge" numFmtId="0">
      <sharedItems containsString="0" containsBlank="1" containsNumber="1" containsInteger="1" minValue="19" maxValue="2013"/>
    </cacheField>
    <cacheField name="L'âge regrouper" numFmtId="0">
      <sharedItems containsString="0" containsBlank="1" containsNumber="1" containsInteger="1" minValue="1" maxValue="4" count="5">
        <m/>
        <n v="1"/>
        <n v="2"/>
        <n v="3"/>
        <n v="4"/>
      </sharedItems>
    </cacheField>
    <cacheField name="Calcul vivre seul (MS)" numFmtId="0">
      <sharedItems containsString="0" containsBlank="1" containsNumber="1" containsInteger="1" minValue="1" maxValue="3"/>
    </cacheField>
    <cacheField name="Calcul ménage (M)" numFmtId="0">
      <sharedItems containsString="0" containsBlank="1" containsNumber="1" containsInteger="1" minValue="1" maxValue="5"/>
    </cacheField>
    <cacheField name="Calcul enfant (ME)" numFmtId="0">
      <sharedItems containsString="0" containsBlank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r:id="rId1" refreshedBy="Tesmel01" refreshedDate="41416.545146064818" createdVersion="3" refreshedVersion="3" minRefreshableVersion="3" recordCount="608">
  <cacheSource type="worksheet">
    <worksheetSource ref="BI1:CQ1048576" sheet="Grille de saisie"/>
  </cacheSource>
  <cacheFields count="35">
    <cacheField name="Question 22.1" numFmtId="0">
      <sharedItems containsBlank="1" containsMixedTypes="1" containsNumber="1" containsInteger="1" minValue="1" maxValue="2" count="4">
        <s v="Au cours des deux dernières années, vous êtes vous IMPLIQUÉ SUR UNE BASE RÉGULIÈRE dans les activités suivantes de votre quartier : Dans un comité ou un organisme préoccupé par les problèmes de sécurité de votre quartier ?"/>
        <n v="1"/>
        <n v="2"/>
        <m/>
      </sharedItems>
    </cacheField>
    <cacheField name="Question 22.2" numFmtId="0">
      <sharedItems containsBlank="1" containsMixedTypes="1" containsNumber="1" containsInteger="1" minValue="1" maxValue="2"/>
    </cacheField>
    <cacheField name="Question 22.3" numFmtId="0">
      <sharedItems containsBlank="1" containsMixedTypes="1" containsNumber="1" containsInteger="1" minValue="1" maxValue="2"/>
    </cacheField>
    <cacheField name="Question 22.4" numFmtId="0">
      <sharedItems containsBlank="1" containsMixedTypes="1" containsNumber="1" containsInteger="1" minValue="1" maxValue="2"/>
    </cacheField>
    <cacheField name="Question 22.5" numFmtId="0">
      <sharedItems containsBlank="1" containsMixedTypes="1" containsNumber="1" containsInteger="1" minValue="1" maxValue="2"/>
    </cacheField>
    <cacheField name="Question 22.6" numFmtId="0">
      <sharedItems containsBlank="1" containsMixedTypes="1" containsNumber="1" containsInteger="1" minValue="1" maxValue="2"/>
    </cacheField>
    <cacheField name="Question 23" numFmtId="0">
      <sharedItems containsBlank="1" containsMixedTypes="1" containsNumber="1" containsInteger="1" minValue="1" maxValue="2"/>
    </cacheField>
    <cacheField name="Question 24" numFmtId="0">
      <sharedItems containsBlank="1" containsMixedTypes="1" containsNumber="1" containsInteger="1" minValue="1" maxValue="2"/>
    </cacheField>
    <cacheField name="Question 25" numFmtId="0">
      <sharedItems containsBlank="1" containsMixedTypes="1" containsNumber="1" containsInteger="1" minValue="1" maxValue="4"/>
    </cacheField>
    <cacheField name="Question 25A" numFmtId="0">
      <sharedItems containsBlank="1" containsMixedTypes="1" containsNumber="1" containsInteger="1" minValue="1" maxValue="98"/>
    </cacheField>
    <cacheField name="Question 25Autre" numFmtId="0">
      <sharedItems containsBlank="1"/>
    </cacheField>
    <cacheField name="Question 26" numFmtId="0">
      <sharedItems containsBlank="1" containsMixedTypes="1" containsNumber="1" containsInteger="1" minValue="1" maxValue="2"/>
    </cacheField>
    <cacheField name="Question 26A" numFmtId="0">
      <sharedItems containsBlank="1" containsMixedTypes="1" containsNumber="1" containsInteger="1" minValue="1" maxValue="4"/>
    </cacheField>
    <cacheField name="Question 26B" numFmtId="0">
      <sharedItems containsBlank="1" containsMixedTypes="1" containsNumber="1" containsInteger="1" minValue="1" maxValue="98"/>
    </cacheField>
    <cacheField name="Question 26Autre" numFmtId="0">
      <sharedItems containsBlank="1"/>
    </cacheField>
    <cacheField name="Question 27" numFmtId="0">
      <sharedItems containsBlank="1" containsMixedTypes="1" containsNumber="1" containsInteger="1" minValue="1" maxValue="8"/>
    </cacheField>
    <cacheField name="Question 28" numFmtId="0">
      <sharedItems containsBlank="1" containsMixedTypes="1" containsNumber="1" containsInteger="1" minValue="1" maxValue="4"/>
    </cacheField>
    <cacheField name="Question 29" numFmtId="0">
      <sharedItems containsBlank="1" containsMixedTypes="1" containsNumber="1" containsInteger="1" minValue="1" maxValue="5"/>
    </cacheField>
    <cacheField name="Question 30" numFmtId="0">
      <sharedItems containsBlank="1" containsMixedTypes="1" containsNumber="1" containsInteger="1" minValue="1" maxValue="2" count="4">
        <s v="Êtes-vous :"/>
        <n v="1"/>
        <n v="2"/>
        <m/>
      </sharedItems>
    </cacheField>
    <cacheField name="Question 31" numFmtId="0">
      <sharedItems containsBlank="1" containsMixedTypes="1" containsNumber="1" containsInteger="1" minValue="1946" maxValue="1994"/>
    </cacheField>
    <cacheField name="Question 32" numFmtId="0">
      <sharedItems containsBlank="1" containsMixedTypes="1" containsNumber="1" containsInteger="1" minValue="1" maxValue="3"/>
    </cacheField>
    <cacheField name="Question 32 Autre" numFmtId="0">
      <sharedItems containsBlank="1"/>
    </cacheField>
    <cacheField name="Question 33" numFmtId="0">
      <sharedItems containsBlank="1" containsMixedTypes="1" containsNumber="1" containsInteger="1" minValue="1" maxValue="7"/>
    </cacheField>
    <cacheField name="Question 33 Autre" numFmtId="0">
      <sharedItems containsBlank="1"/>
    </cacheField>
    <cacheField name="Question 34" numFmtId="0">
      <sharedItems containsBlank="1" containsMixedTypes="1" containsNumber="1" containsInteger="1" minValue="1" maxValue="6"/>
    </cacheField>
    <cacheField name="Question 34 Autre" numFmtId="0">
      <sharedItems containsBlank="1"/>
    </cacheField>
    <cacheField name="Question 35" numFmtId="0">
      <sharedItems containsBlank="1" containsMixedTypes="1" containsNumber="1" containsInteger="1" minValue="1" maxValue="4"/>
    </cacheField>
    <cacheField name="Question 35 Autre" numFmtId="0">
      <sharedItems containsBlank="1"/>
    </cacheField>
    <cacheField name="Question 36" numFmtId="0">
      <sharedItems containsBlank="1" containsMixedTypes="1" containsNumber="1" containsInteger="1" minValue="1" maxValue="4"/>
    </cacheField>
    <cacheField name="Répondant" numFmtId="0">
      <sharedItems containsString="0" containsBlank="1" containsNumber="1" containsInteger="1" minValue="1" maxValue="1"/>
    </cacheField>
    <cacheField name="Calcul de l'âge" numFmtId="0">
      <sharedItems containsString="0" containsBlank="1" containsNumber="1" containsInteger="1" minValue="19" maxValue="2013"/>
    </cacheField>
    <cacheField name="L'âge regrouper" numFmtId="0">
      <sharedItems containsString="0" containsBlank="1" containsNumber="1" containsInteger="1" minValue="1" maxValue="4" count="5">
        <m/>
        <n v="1"/>
        <n v="2"/>
        <n v="3"/>
        <n v="4"/>
      </sharedItems>
    </cacheField>
    <cacheField name="Calcul vivre seul (MS)" numFmtId="0">
      <sharedItems containsString="0" containsBlank="1" containsNumber="1" containsInteger="1" minValue="1" maxValue="3"/>
    </cacheField>
    <cacheField name="Calcul ménage (M)" numFmtId="0">
      <sharedItems containsString="0" containsBlank="1" containsNumber="1" containsInteger="1" minValue="1" maxValue="5"/>
    </cacheField>
    <cacheField name="Calcul enfant (ME)" numFmtId="0">
      <sharedItems containsString="0" containsBlank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r:id="rId1" refreshedBy="Tesmel01" refreshedDate="41416.545146643519" createdVersion="3" refreshedVersion="3" minRefreshableVersion="3" recordCount="601">
  <cacheSource type="worksheet">
    <worksheetSource ref="B1:CQ602" sheet="Grille de saisie"/>
  </cacheSource>
  <cacheFields count="94">
    <cacheField name="Question E1" numFmtId="0">
      <sharedItems containsBlank="1" containsMixedTypes="1" containsNumber="1" containsInteger="1" minValue="1" maxValue="3" count="5">
        <s v="Depuis combien de temps demeurez-vous à cette adresse ?"/>
        <n v="2"/>
        <n v="3"/>
        <n v="1"/>
        <m/>
      </sharedItems>
    </cacheField>
    <cacheField name="Question E2" numFmtId="0">
      <sharedItems containsBlank="1" containsMixedTypes="1" containsNumber="1" containsInteger="1" minValue="1" maxValue="4"/>
    </cacheField>
    <cacheField name="Question 1" numFmtId="0">
      <sharedItems containsBlank="1" containsMixedTypes="1" containsNumber="1" containsInteger="1" minValue="1" maxValue="4" count="6">
        <s v="À votre avis, votre quartier est : "/>
        <n v="4"/>
        <n v="2"/>
        <n v="1"/>
        <n v="3"/>
        <m/>
      </sharedItems>
    </cacheField>
    <cacheField name="Question 2" numFmtId="0">
      <sharedItems containsBlank="1" containsMixedTypes="1" containsNumber="1" containsInteger="1" minValue="1" maxValue="8" count="7">
        <s v="Comparativement à il y a 5 ans, les résidants de votre quartier sont … ?"/>
        <n v="1"/>
        <n v="2"/>
        <n v="8"/>
        <n v="3"/>
        <n v="4"/>
        <m/>
      </sharedItems>
    </cacheField>
    <cacheField name="Question 3" numFmtId="0">
      <sharedItems containsBlank="1"/>
    </cacheField>
    <cacheField name="Question 4" numFmtId="0">
      <sharedItems containsBlank="1" containsMixedTypes="1" containsNumber="1" containsInteger="1" minValue="1" maxValue="4"/>
    </cacheField>
    <cacheField name="Question 5.1" numFmtId="0">
      <sharedItems containsBlank="1" containsMixedTypes="1" containsNumber="1" containsInteger="1" minValue="1" maxValue="7"/>
    </cacheField>
    <cacheField name="Question 5.2" numFmtId="0">
      <sharedItems containsBlank="1" containsMixedTypes="1" containsNumber="1" containsInteger="1" minValue="1" maxValue="7"/>
    </cacheField>
    <cacheField name="Question 5.3" numFmtId="0">
      <sharedItems containsBlank="1" containsMixedTypes="1" containsNumber="1" containsInteger="1" minValue="1" maxValue="7"/>
    </cacheField>
    <cacheField name="Question 6" numFmtId="0">
      <sharedItems containsBlank="1" containsMixedTypes="1" containsNumber="1" containsInteger="1" minValue="1" maxValue="5"/>
    </cacheField>
    <cacheField name="Question 7" numFmtId="0">
      <sharedItems containsBlank="1" containsMixedTypes="1" containsNumber="1" containsInteger="1" minValue="1" maxValue="5"/>
    </cacheField>
    <cacheField name="Question 8.1" numFmtId="0">
      <sharedItems containsBlank="1" containsMixedTypes="1" containsNumber="1" containsInteger="1" minValue="1" maxValue="4"/>
    </cacheField>
    <cacheField name="Question 8.2" numFmtId="0">
      <sharedItems containsBlank="1" containsMixedTypes="1" containsNumber="1" containsInteger="1" minValue="1" maxValue="4"/>
    </cacheField>
    <cacheField name="Question 8.3" numFmtId="0">
      <sharedItems containsBlank="1" containsMixedTypes="1" containsNumber="1" containsInteger="1" minValue="1" maxValue="4"/>
    </cacheField>
    <cacheField name="Question 8.4" numFmtId="0">
      <sharedItems containsBlank="1" containsMixedTypes="1" containsNumber="1" containsInteger="1" minValue="1" maxValue="4"/>
    </cacheField>
    <cacheField name="Question 8.5" numFmtId="0">
      <sharedItems containsBlank="1" containsMixedTypes="1" containsNumber="1" containsInteger="1" minValue="1" maxValue="4"/>
    </cacheField>
    <cacheField name="Question 8.6" numFmtId="0">
      <sharedItems containsBlank="1" containsMixedTypes="1" containsNumber="1" containsInteger="1" minValue="1" maxValue="4"/>
    </cacheField>
    <cacheField name="Question 8.7" numFmtId="0">
      <sharedItems containsBlank="1" containsMixedTypes="1" containsNumber="1" containsInteger="1" minValue="1" maxValue="4"/>
    </cacheField>
    <cacheField name="Question 8.8" numFmtId="0">
      <sharedItems containsBlank="1" containsMixedTypes="1" containsNumber="1" containsInteger="1" minValue="1" maxValue="4"/>
    </cacheField>
    <cacheField name="Question 9.1" numFmtId="0">
      <sharedItems containsBlank="1" containsMixedTypes="1" containsNumber="1" containsInteger="1" minValue="1" maxValue="4"/>
    </cacheField>
    <cacheField name="Question 9.2" numFmtId="0">
      <sharedItems containsBlank="1" containsMixedTypes="1" containsNumber="1" containsInteger="1" minValue="1" maxValue="4"/>
    </cacheField>
    <cacheField name="Question 10.1" numFmtId="0">
      <sharedItems containsBlank="1" containsMixedTypes="1" containsNumber="1" containsInteger="1" minValue="1" maxValue="4"/>
    </cacheField>
    <cacheField name="Question 10.2" numFmtId="0">
      <sharedItems containsBlank="1" containsMixedTypes="1" containsNumber="1" containsInteger="1" minValue="1" maxValue="4"/>
    </cacheField>
    <cacheField name="Question 11" numFmtId="0">
      <sharedItems containsBlank="1" containsMixedTypes="1" containsNumber="1" containsInteger="1" minValue="1" maxValue="2"/>
    </cacheField>
    <cacheField name="Question 12" numFmtId="0">
      <sharedItems containsBlank="1" containsMixedTypes="1" containsNumber="1" containsInteger="1" minValue="1" maxValue="2"/>
    </cacheField>
    <cacheField name="Question 12A1" numFmtId="0">
      <sharedItems containsBlank="1" containsMixedTypes="1" containsNumber="1" containsInteger="1" minValue="1" maxValue="1"/>
    </cacheField>
    <cacheField name="Question 12A2" numFmtId="0">
      <sharedItems containsBlank="1" containsMixedTypes="1" containsNumber="1" containsInteger="1" minValue="1" maxValue="1"/>
    </cacheField>
    <cacheField name="Question 12A3" numFmtId="0">
      <sharedItems containsBlank="1" containsMixedTypes="1" containsNumber="1" containsInteger="1" minValue="1" maxValue="1"/>
    </cacheField>
    <cacheField name="Question 12A4" numFmtId="0">
      <sharedItems containsBlank="1" containsMixedTypes="1" containsNumber="1" containsInteger="1" minValue="1" maxValue="1"/>
    </cacheField>
    <cacheField name="Question 12A5" numFmtId="0">
      <sharedItems containsBlank="1" containsMixedTypes="1" containsNumber="1" containsInteger="1" minValue="1" maxValue="1"/>
    </cacheField>
    <cacheField name="Question 12A6" numFmtId="0">
      <sharedItems containsBlank="1" containsMixedTypes="1" containsNumber="1" containsInteger="1" minValue="1" maxValue="1"/>
    </cacheField>
    <cacheField name="Question 12A7" numFmtId="0">
      <sharedItems containsBlank="1" containsMixedTypes="1" containsNumber="1" containsInteger="1" minValue="1" maxValue="1"/>
    </cacheField>
    <cacheField name="Question 12A8" numFmtId="0">
      <sharedItems containsBlank="1" containsMixedTypes="1" containsNumber="1" containsInteger="1" minValue="1" maxValue="1"/>
    </cacheField>
    <cacheField name="Question 12A9" numFmtId="0">
      <sharedItems containsBlank="1"/>
    </cacheField>
    <cacheField name="Question 13" numFmtId="0">
      <sharedItems containsBlank="1" containsMixedTypes="1" containsNumber="1" containsInteger="1" minValue="1" maxValue="2"/>
    </cacheField>
    <cacheField name="Question 13A" numFmtId="0">
      <sharedItems containsBlank="1"/>
    </cacheField>
    <cacheField name="Question 14.1" numFmtId="0">
      <sharedItems containsBlank="1" containsMixedTypes="1" containsNumber="1" containsInteger="1" minValue="1" maxValue="2"/>
    </cacheField>
    <cacheField name="Question 14.2" numFmtId="0">
      <sharedItems containsBlank="1" containsMixedTypes="1" containsNumber="1" containsInteger="1" minValue="1" maxValue="2"/>
    </cacheField>
    <cacheField name="Question 14.3" numFmtId="0">
      <sharedItems containsBlank="1" containsMixedTypes="1" containsNumber="1" containsInteger="1" minValue="1" maxValue="2"/>
    </cacheField>
    <cacheField name="Question 14.4" numFmtId="0">
      <sharedItems containsBlank="1" containsMixedTypes="1" containsNumber="1" containsInteger="1" minValue="1" maxValue="2"/>
    </cacheField>
    <cacheField name="Question 14.5" numFmtId="0">
      <sharedItems containsBlank="1" containsMixedTypes="1" containsNumber="1" containsInteger="1" minValue="1" maxValue="2"/>
    </cacheField>
    <cacheField name="Question 14.6" numFmtId="0">
      <sharedItems containsBlank="1" containsMixedTypes="1" containsNumber="1" containsInteger="1" minValue="1" maxValue="2"/>
    </cacheField>
    <cacheField name="Question 14.7" numFmtId="0">
      <sharedItems containsBlank="1" containsMixedTypes="1" containsNumber="1" containsInteger="1" minValue="1" maxValue="2"/>
    </cacheField>
    <cacheField name="Question 14.8" numFmtId="0">
      <sharedItems containsBlank="1" containsMixedTypes="1" containsNumber="1" containsInteger="1" minValue="1" maxValue="2"/>
    </cacheField>
    <cacheField name="Question 15" numFmtId="0">
      <sharedItems containsBlank="1" containsMixedTypes="1" containsNumber="1" containsInteger="1" minValue="1" maxValue="2"/>
    </cacheField>
    <cacheField name="Question 15A" numFmtId="0">
      <sharedItems containsBlank="1" containsMixedTypes="1" containsNumber="1" containsInteger="1" minValue="1" maxValue="2"/>
    </cacheField>
    <cacheField name="Question 16.1" numFmtId="0">
      <sharedItems containsBlank="1" containsMixedTypes="1" containsNumber="1" containsInteger="1" minValue="1" maxValue="7"/>
    </cacheField>
    <cacheField name="Question 16.2" numFmtId="0">
      <sharedItems containsBlank="1" containsMixedTypes="1" containsNumber="1" containsInteger="1" minValue="1" maxValue="7"/>
    </cacheField>
    <cacheField name="Question 16.3" numFmtId="0">
      <sharedItems containsBlank="1" containsMixedTypes="1" containsNumber="1" containsInteger="1" minValue="1" maxValue="7"/>
    </cacheField>
    <cacheField name="Question 17" numFmtId="0">
      <sharedItems containsBlank="1" containsMixedTypes="1" containsNumber="1" containsInteger="1" minValue="1" maxValue="8"/>
    </cacheField>
    <cacheField name="Question 18" numFmtId="0">
      <sharedItems containsBlank="1" containsMixedTypes="1" containsNumber="1" containsInteger="1" minValue="1" maxValue="4"/>
    </cacheField>
    <cacheField name="Question 19" numFmtId="0">
      <sharedItems containsBlank="1" containsMixedTypes="1" containsNumber="1" containsInteger="1" minValue="1" maxValue="8"/>
    </cacheField>
    <cacheField name="Question 20.1" numFmtId="0">
      <sharedItems containsBlank="1" containsMixedTypes="1" containsNumber="1" containsInteger="1" minValue="1" maxValue="8"/>
    </cacheField>
    <cacheField name="Question 20.2" numFmtId="0">
      <sharedItems containsBlank="1" containsMixedTypes="1" containsNumber="1" containsInteger="1" minValue="1" maxValue="8"/>
    </cacheField>
    <cacheField name="Question 20.3" numFmtId="0">
      <sharedItems containsBlank="1" containsMixedTypes="1" containsNumber="1" containsInteger="1" minValue="1" maxValue="8"/>
    </cacheField>
    <cacheField name="Question 21" numFmtId="0">
      <sharedItems containsBlank="1" containsMixedTypes="1" containsNumber="1" containsInteger="1" minValue="1" maxValue="4"/>
    </cacheField>
    <cacheField name="Question 21A" numFmtId="0">
      <sharedItems containsBlank="1" containsMixedTypes="1" containsNumber="1" containsInteger="1" minValue="1" maxValue="4"/>
    </cacheField>
    <cacheField name="Question 21Peu" numFmtId="0">
      <sharedItems containsBlank="1"/>
    </cacheField>
    <cacheField name="Question 21Pas" numFmtId="0">
      <sharedItems containsBlank="1"/>
    </cacheField>
    <cacheField name="Question 22.1" numFmtId="0">
      <sharedItems containsBlank="1" containsMixedTypes="1" containsNumber="1" containsInteger="1" minValue="1" maxValue="2"/>
    </cacheField>
    <cacheField name="Question 22.2" numFmtId="0">
      <sharedItems containsBlank="1" containsMixedTypes="1" containsNumber="1" containsInteger="1" minValue="1" maxValue="2"/>
    </cacheField>
    <cacheField name="Question 22.3" numFmtId="0">
      <sharedItems containsBlank="1" containsMixedTypes="1" containsNumber="1" containsInteger="1" minValue="1" maxValue="2"/>
    </cacheField>
    <cacheField name="Question 22.4" numFmtId="0">
      <sharedItems containsBlank="1" containsMixedTypes="1" containsNumber="1" containsInteger="1" minValue="1" maxValue="2"/>
    </cacheField>
    <cacheField name="Question 22.5" numFmtId="0">
      <sharedItems containsBlank="1" containsMixedTypes="1" containsNumber="1" containsInteger="1" minValue="1" maxValue="2"/>
    </cacheField>
    <cacheField name="Question 22.6" numFmtId="0">
      <sharedItems containsBlank="1" containsMixedTypes="1" containsNumber="1" containsInteger="1" minValue="1" maxValue="2"/>
    </cacheField>
    <cacheField name="Question 23" numFmtId="0">
      <sharedItems containsBlank="1" containsMixedTypes="1" containsNumber="1" containsInteger="1" minValue="1" maxValue="2"/>
    </cacheField>
    <cacheField name="Question 24" numFmtId="0">
      <sharedItems containsBlank="1" containsMixedTypes="1" containsNumber="1" containsInteger="1" minValue="1" maxValue="2"/>
    </cacheField>
    <cacheField name="Question 25" numFmtId="0">
      <sharedItems containsBlank="1" containsMixedTypes="1" containsNumber="1" containsInteger="1" minValue="1" maxValue="4"/>
    </cacheField>
    <cacheField name="Question 25A" numFmtId="0">
      <sharedItems containsBlank="1" containsMixedTypes="1" containsNumber="1" containsInteger="1" minValue="1" maxValue="98"/>
    </cacheField>
    <cacheField name="Question 25Autre" numFmtId="0">
      <sharedItems containsBlank="1"/>
    </cacheField>
    <cacheField name="Question 26" numFmtId="0">
      <sharedItems containsBlank="1" containsMixedTypes="1" containsNumber="1" containsInteger="1" minValue="1" maxValue="2"/>
    </cacheField>
    <cacheField name="Question 26A" numFmtId="0">
      <sharedItems containsBlank="1" containsMixedTypes="1" containsNumber="1" containsInteger="1" minValue="1" maxValue="4"/>
    </cacheField>
    <cacheField name="Question 26B" numFmtId="0">
      <sharedItems containsBlank="1" containsMixedTypes="1" containsNumber="1" containsInteger="1" minValue="1" maxValue="98"/>
    </cacheField>
    <cacheField name="Question 26Autre" numFmtId="0">
      <sharedItems containsBlank="1"/>
    </cacheField>
    <cacheField name="Question 27" numFmtId="0">
      <sharedItems containsBlank="1" containsMixedTypes="1" containsNumber="1" containsInteger="1" minValue="1" maxValue="8"/>
    </cacheField>
    <cacheField name="Question 28" numFmtId="0">
      <sharedItems containsBlank="1" containsMixedTypes="1" containsNumber="1" containsInteger="1" minValue="1" maxValue="4" count="6">
        <s v="Dans quel quartier habitez-vous ?"/>
        <n v="4"/>
        <n v="1"/>
        <n v="2"/>
        <n v="3"/>
        <m/>
      </sharedItems>
    </cacheField>
    <cacheField name="Question 29" numFmtId="0">
      <sharedItems containsBlank="1" containsMixedTypes="1" containsNumber="1" containsInteger="1" minValue="1" maxValue="5" count="7">
        <s v="Combien de personne de moins de 18 ans habitent dans votre foyer ?"/>
        <n v="5"/>
        <n v="2"/>
        <n v="4"/>
        <n v="1"/>
        <m/>
        <n v="3"/>
      </sharedItems>
    </cacheField>
    <cacheField name="Question 30" numFmtId="0">
      <sharedItems containsBlank="1" containsMixedTypes="1" containsNumber="1" containsInteger="1" minValue="1" maxValue="2" count="4">
        <s v="Êtes-vous :"/>
        <n v="1"/>
        <n v="2"/>
        <m/>
      </sharedItems>
    </cacheField>
    <cacheField name="Question 31" numFmtId="0">
      <sharedItems containsBlank="1" containsMixedTypes="1" containsNumber="1" containsInteger="1" minValue="1946" maxValue="1994"/>
    </cacheField>
    <cacheField name="Question 32" numFmtId="0">
      <sharedItems containsBlank="1" containsMixedTypes="1" containsNumber="1" containsInteger="1" minValue="1" maxValue="3"/>
    </cacheField>
    <cacheField name="Question 32 Autre" numFmtId="0">
      <sharedItems containsBlank="1"/>
    </cacheField>
    <cacheField name="Question 33" numFmtId="0">
      <sharedItems containsBlank="1" containsMixedTypes="1" containsNumber="1" containsInteger="1" minValue="1" maxValue="7"/>
    </cacheField>
    <cacheField name="Question 33 Autre" numFmtId="0">
      <sharedItems containsBlank="1"/>
    </cacheField>
    <cacheField name="Question 34" numFmtId="0">
      <sharedItems containsBlank="1" containsMixedTypes="1" containsNumber="1" containsInteger="1" minValue="1" maxValue="6"/>
    </cacheField>
    <cacheField name="Question 34 Autre" numFmtId="0">
      <sharedItems containsBlank="1"/>
    </cacheField>
    <cacheField name="Question 35" numFmtId="0">
      <sharedItems containsBlank="1" containsMixedTypes="1" containsNumber="1" containsInteger="1" minValue="1" maxValue="4"/>
    </cacheField>
    <cacheField name="Question 35 Autre" numFmtId="0">
      <sharedItems containsBlank="1"/>
    </cacheField>
    <cacheField name="Question 36" numFmtId="0">
      <sharedItems containsBlank="1" containsMixedTypes="1" containsNumber="1" containsInteger="1" minValue="1" maxValue="4"/>
    </cacheField>
    <cacheField name="Répondant" numFmtId="0">
      <sharedItems containsString="0" containsBlank="1" containsNumber="1" containsInteger="1" minValue="1" maxValue="1" count="2">
        <m/>
        <n v="1"/>
      </sharedItems>
    </cacheField>
    <cacheField name="Calcul de l'âge" numFmtId="0">
      <sharedItems containsString="0" containsBlank="1" containsNumber="1" containsInteger="1" minValue="19" maxValue="2013"/>
    </cacheField>
    <cacheField name="L'âge regrouper" numFmtId="0">
      <sharedItems containsString="0" containsBlank="1" containsNumber="1" containsInteger="1" minValue="1" maxValue="4"/>
    </cacheField>
    <cacheField name="Calcul vivre seul (MS)" numFmtId="0">
      <sharedItems containsString="0" containsBlank="1" containsNumber="1" containsInteger="1" minValue="1" maxValue="3"/>
    </cacheField>
    <cacheField name="Calcul ménage (M)" numFmtId="0">
      <sharedItems containsString="0" containsBlank="1" containsNumber="1" containsInteger="1" minValue="1" maxValue="5"/>
    </cacheField>
    <cacheField name="Calcul enfant (ME)" numFmtId="0">
      <sharedItems containsString="0" containsBlank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r:id="rId1" refreshedBy="Tesmel01" refreshedDate="41416.545146990742" createdVersion="3" refreshedVersion="3" minRefreshableVersion="3" recordCount="608">
  <cacheSource type="worksheet">
    <worksheetSource ref="BW1:CQ1048576" sheet="Grille de saisie"/>
  </cacheSource>
  <cacheFields count="20">
    <cacheField name="Question 27" numFmtId="0">
      <sharedItems containsBlank="1" containsMixedTypes="1" containsNumber="1" containsInteger="1" minValue="0" maxValue="8" count="9">
        <s v="Maintenant, comparativement à d'autres personnes de votre âge, dirirez-vous que votre santé est en général …"/>
        <n v="2"/>
        <n v="4"/>
        <n v="5"/>
        <n v="1"/>
        <n v="3"/>
        <n v="8"/>
        <m/>
        <n v="0" u="1"/>
      </sharedItems>
    </cacheField>
    <cacheField name="Question 28" numFmtId="0">
      <sharedItems containsBlank="1" containsMixedTypes="1" containsNumber="1" containsInteger="1" minValue="1" maxValue="4"/>
    </cacheField>
    <cacheField name="Question 29" numFmtId="0">
      <sharedItems containsBlank="1" containsMixedTypes="1" containsNumber="1" containsInteger="1" minValue="1" maxValue="5"/>
    </cacheField>
    <cacheField name="Question 30" numFmtId="0">
      <sharedItems containsBlank="1" containsMixedTypes="1" containsNumber="1" containsInteger="1" minValue="1" maxValue="2" count="4">
        <s v="Êtes-vous :"/>
        <n v="1"/>
        <n v="2"/>
        <m/>
      </sharedItems>
    </cacheField>
    <cacheField name="Question 31" numFmtId="0">
      <sharedItems containsBlank="1" containsMixedTypes="1" containsNumber="1" containsInteger="1" minValue="1946" maxValue="1994"/>
    </cacheField>
    <cacheField name="Question 32" numFmtId="0">
      <sharedItems containsBlank="1" containsMixedTypes="1" containsNumber="1" containsInteger="1" minValue="1" maxValue="3"/>
    </cacheField>
    <cacheField name="Question 32 Autre" numFmtId="0">
      <sharedItems containsBlank="1"/>
    </cacheField>
    <cacheField name="Question 33" numFmtId="0">
      <sharedItems containsBlank="1" containsMixedTypes="1" containsNumber="1" containsInteger="1" minValue="1" maxValue="7"/>
    </cacheField>
    <cacheField name="Question 33 Autre" numFmtId="0">
      <sharedItems containsBlank="1"/>
    </cacheField>
    <cacheField name="Question 34" numFmtId="0">
      <sharedItems containsBlank="1" containsMixedTypes="1" containsNumber="1" containsInteger="1" minValue="1" maxValue="6"/>
    </cacheField>
    <cacheField name="Question 34 Autre" numFmtId="0">
      <sharedItems containsBlank="1"/>
    </cacheField>
    <cacheField name="Question 35" numFmtId="0">
      <sharedItems containsBlank="1" containsMixedTypes="1" containsNumber="1" containsInteger="1" minValue="1" maxValue="4"/>
    </cacheField>
    <cacheField name="Question 35 Autre" numFmtId="0">
      <sharedItems containsBlank="1"/>
    </cacheField>
    <cacheField name="Question 36" numFmtId="0">
      <sharedItems containsBlank="1" containsMixedTypes="1" containsNumber="1" containsInteger="1" minValue="1" maxValue="4"/>
    </cacheField>
    <cacheField name="Répondant" numFmtId="0">
      <sharedItems containsString="0" containsBlank="1" containsNumber="1" containsInteger="1" minValue="1" maxValue="1"/>
    </cacheField>
    <cacheField name="Calcul de l'âge" numFmtId="0">
      <sharedItems containsString="0" containsBlank="1" containsNumber="1" containsInteger="1" minValue="19" maxValue="2013"/>
    </cacheField>
    <cacheField name="L'âge regrouper" numFmtId="0">
      <sharedItems containsString="0" containsBlank="1" containsNumber="1" containsInteger="1" minValue="1" maxValue="4" count="5">
        <m/>
        <n v="1"/>
        <n v="2"/>
        <n v="3"/>
        <n v="4"/>
      </sharedItems>
    </cacheField>
    <cacheField name="Calcul vivre seul (MS)" numFmtId="0">
      <sharedItems containsString="0" containsBlank="1" containsNumber="1" containsInteger="1" minValue="1" maxValue="3"/>
    </cacheField>
    <cacheField name="Calcul ménage (M)" numFmtId="0">
      <sharedItems containsString="0" containsBlank="1" containsNumber="1" containsInteger="1" minValue="1" maxValue="5"/>
    </cacheField>
    <cacheField name="Calcul enfant (ME)" numFmtId="0">
      <sharedItems containsString="0" containsBlank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r:id="rId1" refreshedBy="Tesmel01" refreshedDate="41416.545147569443" createdVersion="3" refreshedVersion="3" minRefreshableVersion="3" recordCount="632">
  <cacheSource type="worksheet">
    <worksheetSource ref="C1:CQ1048576" sheet="Grille de saisie"/>
  </cacheSource>
  <cacheFields count="93">
    <cacheField name="Question E2" numFmtId="0">
      <sharedItems containsBlank="1" containsMixedTypes="1" containsNumber="1" containsInteger="1" minValue="1" maxValue="4" count="6">
        <s v="En vous incluant, combien y a-t-il de personnes de 18 ans ou plus qui habitent votre foyer ?"/>
        <n v="1"/>
        <n v="3"/>
        <n v="2"/>
        <m/>
        <n v="4"/>
      </sharedItems>
    </cacheField>
    <cacheField name="Question 1" numFmtId="0">
      <sharedItems containsBlank="1" containsMixedTypes="1" containsNumber="1" containsInteger="1" minValue="1" maxValue="4"/>
    </cacheField>
    <cacheField name="Question 2" numFmtId="0">
      <sharedItems containsBlank="1" containsMixedTypes="1" containsNumber="1" containsInteger="1" minValue="1" maxValue="8"/>
    </cacheField>
    <cacheField name="Question 3" numFmtId="0">
      <sharedItems containsBlank="1"/>
    </cacheField>
    <cacheField name="Question 4" numFmtId="0">
      <sharedItems containsBlank="1" containsMixedTypes="1" containsNumber="1" containsInteger="1" minValue="1" maxValue="4"/>
    </cacheField>
    <cacheField name="Question 5.1" numFmtId="0">
      <sharedItems containsBlank="1" containsMixedTypes="1" containsNumber="1" containsInteger="1" minValue="1" maxValue="7"/>
    </cacheField>
    <cacheField name="Question 5.2" numFmtId="0">
      <sharedItems containsBlank="1" containsMixedTypes="1" containsNumber="1" containsInteger="1" minValue="1" maxValue="7"/>
    </cacheField>
    <cacheField name="Question 5.3" numFmtId="0">
      <sharedItems containsBlank="1" containsMixedTypes="1" containsNumber="1" containsInteger="1" minValue="1" maxValue="7"/>
    </cacheField>
    <cacheField name="Question 6" numFmtId="0">
      <sharedItems containsBlank="1" containsMixedTypes="1" containsNumber="1" containsInteger="1" minValue="1" maxValue="5"/>
    </cacheField>
    <cacheField name="Question 7" numFmtId="0">
      <sharedItems containsBlank="1" containsMixedTypes="1" containsNumber="1" containsInteger="1" minValue="1" maxValue="5"/>
    </cacheField>
    <cacheField name="Question 8.1" numFmtId="0">
      <sharedItems containsBlank="1" containsMixedTypes="1" containsNumber="1" containsInteger="1" minValue="1" maxValue="4"/>
    </cacheField>
    <cacheField name="Question 8.2" numFmtId="0">
      <sharedItems containsBlank="1" containsMixedTypes="1" containsNumber="1" containsInteger="1" minValue="1" maxValue="4"/>
    </cacheField>
    <cacheField name="Question 8.3" numFmtId="0">
      <sharedItems containsBlank="1" containsMixedTypes="1" containsNumber="1" containsInteger="1" minValue="1" maxValue="4"/>
    </cacheField>
    <cacheField name="Question 8.4" numFmtId="0">
      <sharedItems containsBlank="1" containsMixedTypes="1" containsNumber="1" containsInteger="1" minValue="1" maxValue="4"/>
    </cacheField>
    <cacheField name="Question 8.5" numFmtId="0">
      <sharedItems containsBlank="1" containsMixedTypes="1" containsNumber="1" containsInteger="1" minValue="1" maxValue="4"/>
    </cacheField>
    <cacheField name="Question 8.6" numFmtId="0">
      <sharedItems containsBlank="1" containsMixedTypes="1" containsNumber="1" containsInteger="1" minValue="1" maxValue="4"/>
    </cacheField>
    <cacheField name="Question 8.7" numFmtId="0">
      <sharedItems containsBlank="1" containsMixedTypes="1" containsNumber="1" containsInteger="1" minValue="1" maxValue="4"/>
    </cacheField>
    <cacheField name="Question 8.8" numFmtId="0">
      <sharedItems containsBlank="1" containsMixedTypes="1" containsNumber="1" containsInteger="1" minValue="1" maxValue="4"/>
    </cacheField>
    <cacheField name="Question 9.1" numFmtId="0">
      <sharedItems containsBlank="1" containsMixedTypes="1" containsNumber="1" containsInteger="1" minValue="1" maxValue="4"/>
    </cacheField>
    <cacheField name="Question 9.2" numFmtId="0">
      <sharedItems containsBlank="1" containsMixedTypes="1" containsNumber="1" containsInteger="1" minValue="1" maxValue="4"/>
    </cacheField>
    <cacheField name="Question 10.1" numFmtId="0">
      <sharedItems containsBlank="1" containsMixedTypes="1" containsNumber="1" containsInteger="1" minValue="1" maxValue="4"/>
    </cacheField>
    <cacheField name="Question 10.2" numFmtId="0">
      <sharedItems containsBlank="1" containsMixedTypes="1" containsNumber="1" containsInteger="1" minValue="1" maxValue="4"/>
    </cacheField>
    <cacheField name="Question 11" numFmtId="0">
      <sharedItems containsBlank="1" containsMixedTypes="1" containsNumber="1" containsInteger="1" minValue="1" maxValue="2"/>
    </cacheField>
    <cacheField name="Question 12" numFmtId="0">
      <sharedItems containsBlank="1" containsMixedTypes="1" containsNumber="1" containsInteger="1" minValue="1" maxValue="2"/>
    </cacheField>
    <cacheField name="Question 12A1" numFmtId="0">
      <sharedItems containsBlank="1" containsMixedTypes="1" containsNumber="1" containsInteger="1" minValue="1" maxValue="1"/>
    </cacheField>
    <cacheField name="Question 12A2" numFmtId="0">
      <sharedItems containsBlank="1" containsMixedTypes="1" containsNumber="1" containsInteger="1" minValue="1" maxValue="1"/>
    </cacheField>
    <cacheField name="Question 12A3" numFmtId="0">
      <sharedItems containsBlank="1" containsMixedTypes="1" containsNumber="1" containsInteger="1" minValue="1" maxValue="1"/>
    </cacheField>
    <cacheField name="Question 12A4" numFmtId="0">
      <sharedItems containsBlank="1" containsMixedTypes="1" containsNumber="1" containsInteger="1" minValue="1" maxValue="1"/>
    </cacheField>
    <cacheField name="Question 12A5" numFmtId="0">
      <sharedItems containsBlank="1" containsMixedTypes="1" containsNumber="1" containsInteger="1" minValue="1" maxValue="1"/>
    </cacheField>
    <cacheField name="Question 12A6" numFmtId="0">
      <sharedItems containsBlank="1" containsMixedTypes="1" containsNumber="1" containsInteger="1" minValue="1" maxValue="1"/>
    </cacheField>
    <cacheField name="Question 12A7" numFmtId="0">
      <sharedItems containsBlank="1" containsMixedTypes="1" containsNumber="1" containsInteger="1" minValue="1" maxValue="1"/>
    </cacheField>
    <cacheField name="Question 12A8" numFmtId="0">
      <sharedItems containsBlank="1" containsMixedTypes="1" containsNumber="1" containsInteger="1" minValue="1" maxValue="1"/>
    </cacheField>
    <cacheField name="Question 12A9" numFmtId="0">
      <sharedItems containsBlank="1"/>
    </cacheField>
    <cacheField name="Question 13" numFmtId="0">
      <sharedItems containsBlank="1" containsMixedTypes="1" containsNumber="1" containsInteger="1" minValue="1" maxValue="2"/>
    </cacheField>
    <cacheField name="Question 13A" numFmtId="0">
      <sharedItems containsBlank="1"/>
    </cacheField>
    <cacheField name="Question 14.1" numFmtId="0">
      <sharedItems containsBlank="1" containsMixedTypes="1" containsNumber="1" containsInteger="1" minValue="1" maxValue="2"/>
    </cacheField>
    <cacheField name="Question 14.2" numFmtId="0">
      <sharedItems containsBlank="1" containsMixedTypes="1" containsNumber="1" containsInteger="1" minValue="1" maxValue="2"/>
    </cacheField>
    <cacheField name="Question 14.3" numFmtId="0">
      <sharedItems containsBlank="1" containsMixedTypes="1" containsNumber="1" containsInteger="1" minValue="1" maxValue="2"/>
    </cacheField>
    <cacheField name="Question 14.4" numFmtId="0">
      <sharedItems containsBlank="1" containsMixedTypes="1" containsNumber="1" containsInteger="1" minValue="1" maxValue="2"/>
    </cacheField>
    <cacheField name="Question 14.5" numFmtId="0">
      <sharedItems containsBlank="1" containsMixedTypes="1" containsNumber="1" containsInteger="1" minValue="1" maxValue="2"/>
    </cacheField>
    <cacheField name="Question 14.6" numFmtId="0">
      <sharedItems containsBlank="1" containsMixedTypes="1" containsNumber="1" containsInteger="1" minValue="1" maxValue="2"/>
    </cacheField>
    <cacheField name="Question 14.7" numFmtId="0">
      <sharedItems containsBlank="1" containsMixedTypes="1" containsNumber="1" containsInteger="1" minValue="1" maxValue="2"/>
    </cacheField>
    <cacheField name="Question 14.8" numFmtId="0">
      <sharedItems containsBlank="1" containsMixedTypes="1" containsNumber="1" containsInteger="1" minValue="1" maxValue="2"/>
    </cacheField>
    <cacheField name="Question 15" numFmtId="0">
      <sharedItems containsBlank="1" containsMixedTypes="1" containsNumber="1" containsInteger="1" minValue="1" maxValue="2"/>
    </cacheField>
    <cacheField name="Question 15A" numFmtId="0">
      <sharedItems containsBlank="1" containsMixedTypes="1" containsNumber="1" containsInteger="1" minValue="1" maxValue="2"/>
    </cacheField>
    <cacheField name="Question 16.1" numFmtId="0">
      <sharedItems containsBlank="1" containsMixedTypes="1" containsNumber="1" containsInteger="1" minValue="1" maxValue="7"/>
    </cacheField>
    <cacheField name="Question 16.2" numFmtId="0">
      <sharedItems containsBlank="1" containsMixedTypes="1" containsNumber="1" containsInteger="1" minValue="1" maxValue="7"/>
    </cacheField>
    <cacheField name="Question 16.3" numFmtId="0">
      <sharedItems containsBlank="1" containsMixedTypes="1" containsNumber="1" containsInteger="1" minValue="1" maxValue="7"/>
    </cacheField>
    <cacheField name="Question 17" numFmtId="0">
      <sharedItems containsBlank="1" containsMixedTypes="1" containsNumber="1" containsInteger="1" minValue="1" maxValue="8"/>
    </cacheField>
    <cacheField name="Question 18" numFmtId="0">
      <sharedItems containsBlank="1" containsMixedTypes="1" containsNumber="1" containsInteger="1" minValue="1" maxValue="4"/>
    </cacheField>
    <cacheField name="Question 19" numFmtId="0">
      <sharedItems containsBlank="1" containsMixedTypes="1" containsNumber="1" containsInteger="1" minValue="1" maxValue="8"/>
    </cacheField>
    <cacheField name="Question 20.1" numFmtId="0">
      <sharedItems containsBlank="1" containsMixedTypes="1" containsNumber="1" containsInteger="1" minValue="1" maxValue="8"/>
    </cacheField>
    <cacheField name="Question 20.2" numFmtId="0">
      <sharedItems containsBlank="1" containsMixedTypes="1" containsNumber="1" containsInteger="1" minValue="1" maxValue="8"/>
    </cacheField>
    <cacheField name="Question 20.3" numFmtId="0">
      <sharedItems containsBlank="1" containsMixedTypes="1" containsNumber="1" containsInteger="1" minValue="1" maxValue="8"/>
    </cacheField>
    <cacheField name="Question 21" numFmtId="0">
      <sharedItems containsBlank="1" containsMixedTypes="1" containsNumber="1" containsInteger="1" minValue="1" maxValue="4"/>
    </cacheField>
    <cacheField name="Question 21A" numFmtId="0">
      <sharedItems containsBlank="1" containsMixedTypes="1" containsNumber="1" containsInteger="1" minValue="1" maxValue="4"/>
    </cacheField>
    <cacheField name="Question 21Peu" numFmtId="0">
      <sharedItems containsBlank="1"/>
    </cacheField>
    <cacheField name="Question 21Pas" numFmtId="0">
      <sharedItems containsBlank="1"/>
    </cacheField>
    <cacheField name="Question 22.1" numFmtId="0">
      <sharedItems containsBlank="1" containsMixedTypes="1" containsNumber="1" containsInteger="1" minValue="1" maxValue="2"/>
    </cacheField>
    <cacheField name="Question 22.2" numFmtId="0">
      <sharedItems containsBlank="1" containsMixedTypes="1" containsNumber="1" containsInteger="1" minValue="1" maxValue="2"/>
    </cacheField>
    <cacheField name="Question 22.3" numFmtId="0">
      <sharedItems containsBlank="1" containsMixedTypes="1" containsNumber="1" containsInteger="1" minValue="1" maxValue="2"/>
    </cacheField>
    <cacheField name="Question 22.4" numFmtId="0">
      <sharedItems containsBlank="1" containsMixedTypes="1" containsNumber="1" containsInteger="1" minValue="1" maxValue="2"/>
    </cacheField>
    <cacheField name="Question 22.5" numFmtId="0">
      <sharedItems containsBlank="1" containsMixedTypes="1" containsNumber="1" containsInteger="1" minValue="1" maxValue="2"/>
    </cacheField>
    <cacheField name="Question 22.6" numFmtId="0">
      <sharedItems containsBlank="1" containsMixedTypes="1" containsNumber="1" containsInteger="1" minValue="1" maxValue="2"/>
    </cacheField>
    <cacheField name="Question 23" numFmtId="0">
      <sharedItems containsBlank="1" containsMixedTypes="1" containsNumber="1" containsInteger="1" minValue="1" maxValue="2"/>
    </cacheField>
    <cacheField name="Question 24" numFmtId="0">
      <sharedItems containsBlank="1" containsMixedTypes="1" containsNumber="1" containsInteger="1" minValue="1" maxValue="2"/>
    </cacheField>
    <cacheField name="Question 25" numFmtId="0">
      <sharedItems containsBlank="1" containsMixedTypes="1" containsNumber="1" containsInteger="1" minValue="1" maxValue="4"/>
    </cacheField>
    <cacheField name="Question 25A" numFmtId="0">
      <sharedItems containsBlank="1" containsMixedTypes="1" containsNumber="1" containsInteger="1" minValue="1" maxValue="98"/>
    </cacheField>
    <cacheField name="Question 25Autre" numFmtId="0">
      <sharedItems containsBlank="1"/>
    </cacheField>
    <cacheField name="Question 26" numFmtId="0">
      <sharedItems containsBlank="1" containsMixedTypes="1" containsNumber="1" containsInteger="1" minValue="1" maxValue="2"/>
    </cacheField>
    <cacheField name="Question 26A" numFmtId="0">
      <sharedItems containsBlank="1" containsMixedTypes="1" containsNumber="1" containsInteger="1" minValue="1" maxValue="4"/>
    </cacheField>
    <cacheField name="Question 26B" numFmtId="0">
      <sharedItems containsBlank="1" containsMixedTypes="1" containsNumber="1" containsInteger="1" minValue="1" maxValue="98"/>
    </cacheField>
    <cacheField name="Question 26Autre" numFmtId="0">
      <sharedItems containsBlank="1"/>
    </cacheField>
    <cacheField name="Question 27" numFmtId="0">
      <sharedItems containsBlank="1" containsMixedTypes="1" containsNumber="1" containsInteger="1" minValue="1" maxValue="8"/>
    </cacheField>
    <cacheField name="Question 28" numFmtId="0">
      <sharedItems containsBlank="1" containsMixedTypes="1" containsNumber="1" containsInteger="1" minValue="1" maxValue="4"/>
    </cacheField>
    <cacheField name="Question 29" numFmtId="0">
      <sharedItems containsBlank="1" containsMixedTypes="1" containsNumber="1" containsInteger="1" minValue="1" maxValue="5"/>
    </cacheField>
    <cacheField name="Question 30" numFmtId="0">
      <sharedItems containsBlank="1" containsMixedTypes="1" containsNumber="1" containsInteger="1" minValue="1" maxValue="2" count="4">
        <s v="Êtes-vous :"/>
        <n v="1"/>
        <n v="2"/>
        <m/>
      </sharedItems>
    </cacheField>
    <cacheField name="Question 31" numFmtId="0">
      <sharedItems containsBlank="1" containsMixedTypes="1" containsNumber="1" containsInteger="1" minValue="1946" maxValue="1994"/>
    </cacheField>
    <cacheField name="Question 32" numFmtId="0">
      <sharedItems containsBlank="1" containsMixedTypes="1" containsNumber="1" containsInteger="1" minValue="1" maxValue="3"/>
    </cacheField>
    <cacheField name="Question 32 Autre" numFmtId="0">
      <sharedItems containsBlank="1"/>
    </cacheField>
    <cacheField name="Question 33" numFmtId="0">
      <sharedItems containsBlank="1" containsMixedTypes="1" containsNumber="1" containsInteger="1" minValue="1" maxValue="7"/>
    </cacheField>
    <cacheField name="Question 33 Autre" numFmtId="0">
      <sharedItems containsBlank="1"/>
    </cacheField>
    <cacheField name="Question 34" numFmtId="0">
      <sharedItems containsBlank="1" containsMixedTypes="1" containsNumber="1" containsInteger="1" minValue="1" maxValue="6"/>
    </cacheField>
    <cacheField name="Question 34 Autre" numFmtId="0">
      <sharedItems containsBlank="1"/>
    </cacheField>
    <cacheField name="Question 35" numFmtId="0">
      <sharedItems containsBlank="1" containsMixedTypes="1" containsNumber="1" containsInteger="1" minValue="1" maxValue="4"/>
    </cacheField>
    <cacheField name="Question 35 Autre" numFmtId="0">
      <sharedItems containsBlank="1"/>
    </cacheField>
    <cacheField name="Question 36" numFmtId="0">
      <sharedItems containsBlank="1" containsMixedTypes="1" containsNumber="1" containsInteger="1" minValue="1" maxValue="4"/>
    </cacheField>
    <cacheField name="Répondant" numFmtId="0">
      <sharedItems containsString="0" containsBlank="1" containsNumber="1" containsInteger="1" minValue="1" maxValue="1"/>
    </cacheField>
    <cacheField name="Calcul de l'âge" numFmtId="0">
      <sharedItems containsString="0" containsBlank="1" containsNumber="1" containsInteger="1" minValue="19" maxValue="2013"/>
    </cacheField>
    <cacheField name="L'âge regrouper" numFmtId="0">
      <sharedItems containsString="0" containsBlank="1" containsNumber="1" containsInteger="1" minValue="1" maxValue="4" count="5">
        <m/>
        <n v="1"/>
        <n v="2"/>
        <n v="3"/>
        <n v="4"/>
      </sharedItems>
    </cacheField>
    <cacheField name="Calcul vivre seul (MS)" numFmtId="0">
      <sharedItems containsString="0" containsBlank="1" containsNumber="1" containsInteger="1" minValue="1" maxValue="3"/>
    </cacheField>
    <cacheField name="Calcul ménage (M)" numFmtId="0">
      <sharedItems containsString="0" containsBlank="1" containsNumber="1" containsInteger="1" minValue="1" maxValue="5"/>
    </cacheField>
    <cacheField name="Calcul enfant (ME)" numFmtId="0">
      <sharedItems containsString="0" containsBlank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r:id="rId1" refreshedBy="Tesmel01" refreshedDate="41416.54514814815" createdVersion="3" refreshedVersion="3" minRefreshableVersion="3" recordCount="632">
  <cacheSource type="worksheet">
    <worksheetSource ref="B1:CQ1048576" sheet="Grille de saisie"/>
  </cacheSource>
  <cacheFields count="94">
    <cacheField name="Question E1" numFmtId="0">
      <sharedItems containsBlank="1" containsMixedTypes="1" containsNumber="1" containsInteger="1" minValue="1" maxValue="3" count="5">
        <s v="Depuis combien de temps demeurez-vous à cette adresse ?"/>
        <n v="2"/>
        <n v="3"/>
        <n v="1"/>
        <m/>
      </sharedItems>
    </cacheField>
    <cacheField name="Question E2" numFmtId="0">
      <sharedItems containsBlank="1" containsMixedTypes="1" containsNumber="1" containsInteger="1" minValue="1" maxValue="4"/>
    </cacheField>
    <cacheField name="Question 1" numFmtId="0">
      <sharedItems containsBlank="1" containsMixedTypes="1" containsNumber="1" containsInteger="1" minValue="1" maxValue="4"/>
    </cacheField>
    <cacheField name="Question 2" numFmtId="0">
      <sharedItems containsBlank="1" containsMixedTypes="1" containsNumber="1" containsInteger="1" minValue="1" maxValue="8"/>
    </cacheField>
    <cacheField name="Question 3" numFmtId="0">
      <sharedItems containsBlank="1"/>
    </cacheField>
    <cacheField name="Question 4" numFmtId="0">
      <sharedItems containsBlank="1" containsMixedTypes="1" containsNumber="1" containsInteger="1" minValue="1" maxValue="4"/>
    </cacheField>
    <cacheField name="Question 5.1" numFmtId="0">
      <sharedItems containsBlank="1" containsMixedTypes="1" containsNumber="1" containsInteger="1" minValue="1" maxValue="7"/>
    </cacheField>
    <cacheField name="Question 5.2" numFmtId="0">
      <sharedItems containsBlank="1" containsMixedTypes="1" containsNumber="1" containsInteger="1" minValue="1" maxValue="7"/>
    </cacheField>
    <cacheField name="Question 5.3" numFmtId="0">
      <sharedItems containsBlank="1" containsMixedTypes="1" containsNumber="1" containsInteger="1" minValue="1" maxValue="7"/>
    </cacheField>
    <cacheField name="Question 6" numFmtId="0">
      <sharedItems containsBlank="1" containsMixedTypes="1" containsNumber="1" containsInteger="1" minValue="1" maxValue="5"/>
    </cacheField>
    <cacheField name="Question 7" numFmtId="0">
      <sharedItems containsBlank="1" containsMixedTypes="1" containsNumber="1" containsInteger="1" minValue="1" maxValue="5"/>
    </cacheField>
    <cacheField name="Question 8.1" numFmtId="0">
      <sharedItems containsBlank="1" containsMixedTypes="1" containsNumber="1" containsInteger="1" minValue="1" maxValue="4"/>
    </cacheField>
    <cacheField name="Question 8.2" numFmtId="0">
      <sharedItems containsBlank="1" containsMixedTypes="1" containsNumber="1" containsInteger="1" minValue="1" maxValue="4"/>
    </cacheField>
    <cacheField name="Question 8.3" numFmtId="0">
      <sharedItems containsBlank="1" containsMixedTypes="1" containsNumber="1" containsInteger="1" minValue="1" maxValue="4"/>
    </cacheField>
    <cacheField name="Question 8.4" numFmtId="0">
      <sharedItems containsBlank="1" containsMixedTypes="1" containsNumber="1" containsInteger="1" minValue="1" maxValue="4"/>
    </cacheField>
    <cacheField name="Question 8.5" numFmtId="0">
      <sharedItems containsBlank="1" containsMixedTypes="1" containsNumber="1" containsInteger="1" minValue="1" maxValue="4"/>
    </cacheField>
    <cacheField name="Question 8.6" numFmtId="0">
      <sharedItems containsBlank="1" containsMixedTypes="1" containsNumber="1" containsInteger="1" minValue="1" maxValue="4"/>
    </cacheField>
    <cacheField name="Question 8.7" numFmtId="0">
      <sharedItems containsBlank="1" containsMixedTypes="1" containsNumber="1" containsInteger="1" minValue="1" maxValue="4"/>
    </cacheField>
    <cacheField name="Question 8.8" numFmtId="0">
      <sharedItems containsBlank="1" containsMixedTypes="1" containsNumber="1" containsInteger="1" minValue="1" maxValue="4"/>
    </cacheField>
    <cacheField name="Question 9.1" numFmtId="0">
      <sharedItems containsBlank="1" containsMixedTypes="1" containsNumber="1" containsInteger="1" minValue="1" maxValue="4"/>
    </cacheField>
    <cacheField name="Question 9.2" numFmtId="0">
      <sharedItems containsBlank="1" containsMixedTypes="1" containsNumber="1" containsInteger="1" minValue="1" maxValue="4"/>
    </cacheField>
    <cacheField name="Question 10.1" numFmtId="0">
      <sharedItems containsBlank="1" containsMixedTypes="1" containsNumber="1" containsInteger="1" minValue="1" maxValue="4"/>
    </cacheField>
    <cacheField name="Question 10.2" numFmtId="0">
      <sharedItems containsBlank="1" containsMixedTypes="1" containsNumber="1" containsInteger="1" minValue="1" maxValue="4"/>
    </cacheField>
    <cacheField name="Question 11" numFmtId="0">
      <sharedItems containsBlank="1" containsMixedTypes="1" containsNumber="1" containsInteger="1" minValue="1" maxValue="2"/>
    </cacheField>
    <cacheField name="Question 12" numFmtId="0">
      <sharedItems containsBlank="1" containsMixedTypes="1" containsNumber="1" containsInteger="1" minValue="1" maxValue="2"/>
    </cacheField>
    <cacheField name="Question 12A1" numFmtId="0">
      <sharedItems containsBlank="1" containsMixedTypes="1" containsNumber="1" containsInteger="1" minValue="1" maxValue="1"/>
    </cacheField>
    <cacheField name="Question 12A2" numFmtId="0">
      <sharedItems containsBlank="1" containsMixedTypes="1" containsNumber="1" containsInteger="1" minValue="1" maxValue="1"/>
    </cacheField>
    <cacheField name="Question 12A3" numFmtId="0">
      <sharedItems containsBlank="1" containsMixedTypes="1" containsNumber="1" containsInteger="1" minValue="1" maxValue="1"/>
    </cacheField>
    <cacheField name="Question 12A4" numFmtId="0">
      <sharedItems containsBlank="1" containsMixedTypes="1" containsNumber="1" containsInteger="1" minValue="1" maxValue="1"/>
    </cacheField>
    <cacheField name="Question 12A5" numFmtId="0">
      <sharedItems containsBlank="1" containsMixedTypes="1" containsNumber="1" containsInteger="1" minValue="1" maxValue="1"/>
    </cacheField>
    <cacheField name="Question 12A6" numFmtId="0">
      <sharedItems containsBlank="1" containsMixedTypes="1" containsNumber="1" containsInteger="1" minValue="1" maxValue="1"/>
    </cacheField>
    <cacheField name="Question 12A7" numFmtId="0">
      <sharedItems containsBlank="1" containsMixedTypes="1" containsNumber="1" containsInteger="1" minValue="1" maxValue="1"/>
    </cacheField>
    <cacheField name="Question 12A8" numFmtId="0">
      <sharedItems containsBlank="1" containsMixedTypes="1" containsNumber="1" containsInteger="1" minValue="1" maxValue="1"/>
    </cacheField>
    <cacheField name="Question 12A9" numFmtId="0">
      <sharedItems containsBlank="1"/>
    </cacheField>
    <cacheField name="Question 13" numFmtId="0">
      <sharedItems containsBlank="1" containsMixedTypes="1" containsNumber="1" containsInteger="1" minValue="1" maxValue="2"/>
    </cacheField>
    <cacheField name="Question 13A" numFmtId="0">
      <sharedItems containsBlank="1"/>
    </cacheField>
    <cacheField name="Question 14.1" numFmtId="0">
      <sharedItems containsBlank="1" containsMixedTypes="1" containsNumber="1" containsInteger="1" minValue="1" maxValue="2"/>
    </cacheField>
    <cacheField name="Question 14.2" numFmtId="0">
      <sharedItems containsBlank="1" containsMixedTypes="1" containsNumber="1" containsInteger="1" minValue="1" maxValue="2"/>
    </cacheField>
    <cacheField name="Question 14.3" numFmtId="0">
      <sharedItems containsBlank="1" containsMixedTypes="1" containsNumber="1" containsInteger="1" minValue="1" maxValue="2"/>
    </cacheField>
    <cacheField name="Question 14.4" numFmtId="0">
      <sharedItems containsBlank="1" containsMixedTypes="1" containsNumber="1" containsInteger="1" minValue="1" maxValue="2"/>
    </cacheField>
    <cacheField name="Question 14.5" numFmtId="0">
      <sharedItems containsBlank="1" containsMixedTypes="1" containsNumber="1" containsInteger="1" minValue="1" maxValue="2"/>
    </cacheField>
    <cacheField name="Question 14.6" numFmtId="0">
      <sharedItems containsBlank="1" containsMixedTypes="1" containsNumber="1" containsInteger="1" minValue="1" maxValue="2"/>
    </cacheField>
    <cacheField name="Question 14.7" numFmtId="0">
      <sharedItems containsBlank="1" containsMixedTypes="1" containsNumber="1" containsInteger="1" minValue="1" maxValue="2"/>
    </cacheField>
    <cacheField name="Question 14.8" numFmtId="0">
      <sharedItems containsBlank="1" containsMixedTypes="1" containsNumber="1" containsInteger="1" minValue="1" maxValue="2"/>
    </cacheField>
    <cacheField name="Question 15" numFmtId="0">
      <sharedItems containsBlank="1" containsMixedTypes="1" containsNumber="1" containsInteger="1" minValue="1" maxValue="2"/>
    </cacheField>
    <cacheField name="Question 15A" numFmtId="0">
      <sharedItems containsBlank="1" containsMixedTypes="1" containsNumber="1" containsInteger="1" minValue="1" maxValue="2"/>
    </cacheField>
    <cacheField name="Question 16.1" numFmtId="0">
      <sharedItems containsBlank="1" containsMixedTypes="1" containsNumber="1" containsInteger="1" minValue="1" maxValue="7"/>
    </cacheField>
    <cacheField name="Question 16.2" numFmtId="0">
      <sharedItems containsBlank="1" containsMixedTypes="1" containsNumber="1" containsInteger="1" minValue="1" maxValue="7"/>
    </cacheField>
    <cacheField name="Question 16.3" numFmtId="0">
      <sharedItems containsBlank="1" containsMixedTypes="1" containsNumber="1" containsInteger="1" minValue="1" maxValue="7"/>
    </cacheField>
    <cacheField name="Question 17" numFmtId="0">
      <sharedItems containsBlank="1" containsMixedTypes="1" containsNumber="1" containsInteger="1" minValue="1" maxValue="8"/>
    </cacheField>
    <cacheField name="Question 18" numFmtId="0">
      <sharedItems containsBlank="1" containsMixedTypes="1" containsNumber="1" containsInteger="1" minValue="1" maxValue="4"/>
    </cacheField>
    <cacheField name="Question 19" numFmtId="0">
      <sharedItems containsBlank="1" containsMixedTypes="1" containsNumber="1" containsInteger="1" minValue="1" maxValue="8"/>
    </cacheField>
    <cacheField name="Question 20.1" numFmtId="0">
      <sharedItems containsBlank="1" containsMixedTypes="1" containsNumber="1" containsInteger="1" minValue="1" maxValue="8"/>
    </cacheField>
    <cacheField name="Question 20.2" numFmtId="0">
      <sharedItems containsBlank="1" containsMixedTypes="1" containsNumber="1" containsInteger="1" minValue="1" maxValue="8"/>
    </cacheField>
    <cacheField name="Question 20.3" numFmtId="0">
      <sharedItems containsBlank="1" containsMixedTypes="1" containsNumber="1" containsInteger="1" minValue="1" maxValue="8"/>
    </cacheField>
    <cacheField name="Question 21" numFmtId="0">
      <sharedItems containsBlank="1" containsMixedTypes="1" containsNumber="1" containsInteger="1" minValue="1" maxValue="4"/>
    </cacheField>
    <cacheField name="Question 21A" numFmtId="0">
      <sharedItems containsBlank="1" containsMixedTypes="1" containsNumber="1" containsInteger="1" minValue="1" maxValue="4"/>
    </cacheField>
    <cacheField name="Question 21Peu" numFmtId="0">
      <sharedItems containsBlank="1"/>
    </cacheField>
    <cacheField name="Question 21Pas" numFmtId="0">
      <sharedItems containsBlank="1"/>
    </cacheField>
    <cacheField name="Question 22.1" numFmtId="0">
      <sharedItems containsBlank="1" containsMixedTypes="1" containsNumber="1" containsInteger="1" minValue="1" maxValue="2"/>
    </cacheField>
    <cacheField name="Question 22.2" numFmtId="0">
      <sharedItems containsBlank="1" containsMixedTypes="1" containsNumber="1" containsInteger="1" minValue="1" maxValue="2"/>
    </cacheField>
    <cacheField name="Question 22.3" numFmtId="0">
      <sharedItems containsBlank="1" containsMixedTypes="1" containsNumber="1" containsInteger="1" minValue="1" maxValue="2"/>
    </cacheField>
    <cacheField name="Question 22.4" numFmtId="0">
      <sharedItems containsBlank="1" containsMixedTypes="1" containsNumber="1" containsInteger="1" minValue="1" maxValue="2"/>
    </cacheField>
    <cacheField name="Question 22.5" numFmtId="0">
      <sharedItems containsBlank="1" containsMixedTypes="1" containsNumber="1" containsInteger="1" minValue="1" maxValue="2"/>
    </cacheField>
    <cacheField name="Question 22.6" numFmtId="0">
      <sharedItems containsBlank="1" containsMixedTypes="1" containsNumber="1" containsInteger="1" minValue="1" maxValue="2"/>
    </cacheField>
    <cacheField name="Question 23" numFmtId="0">
      <sharedItems containsBlank="1" containsMixedTypes="1" containsNumber="1" containsInteger="1" minValue="1" maxValue="2"/>
    </cacheField>
    <cacheField name="Question 24" numFmtId="0">
      <sharedItems containsBlank="1" containsMixedTypes="1" containsNumber="1" containsInteger="1" minValue="1" maxValue="2"/>
    </cacheField>
    <cacheField name="Question 25" numFmtId="0">
      <sharedItems containsBlank="1" containsMixedTypes="1" containsNumber="1" containsInteger="1" minValue="1" maxValue="4"/>
    </cacheField>
    <cacheField name="Question 25A" numFmtId="0">
      <sharedItems containsBlank="1" containsMixedTypes="1" containsNumber="1" containsInteger="1" minValue="1" maxValue="98"/>
    </cacheField>
    <cacheField name="Question 25Autre" numFmtId="0">
      <sharedItems containsBlank="1"/>
    </cacheField>
    <cacheField name="Question 26" numFmtId="0">
      <sharedItems containsBlank="1" containsMixedTypes="1" containsNumber="1" containsInteger="1" minValue="1" maxValue="2"/>
    </cacheField>
    <cacheField name="Question 26A" numFmtId="0">
      <sharedItems containsBlank="1" containsMixedTypes="1" containsNumber="1" containsInteger="1" minValue="1" maxValue="4"/>
    </cacheField>
    <cacheField name="Question 26B" numFmtId="0">
      <sharedItems containsBlank="1" containsMixedTypes="1" containsNumber="1" containsInteger="1" minValue="1" maxValue="98"/>
    </cacheField>
    <cacheField name="Question 26Autre" numFmtId="0">
      <sharedItems containsBlank="1"/>
    </cacheField>
    <cacheField name="Question 27" numFmtId="0">
      <sharedItems containsBlank="1" containsMixedTypes="1" containsNumber="1" containsInteger="1" minValue="1" maxValue="8"/>
    </cacheField>
    <cacheField name="Question 28" numFmtId="0">
      <sharedItems containsBlank="1" containsMixedTypes="1" containsNumber="1" containsInteger="1" minValue="1" maxValue="4"/>
    </cacheField>
    <cacheField name="Question 29" numFmtId="0">
      <sharedItems containsBlank="1" containsMixedTypes="1" containsNumber="1" containsInteger="1" minValue="1" maxValue="5"/>
    </cacheField>
    <cacheField name="Question 30" numFmtId="0">
      <sharedItems containsBlank="1" containsMixedTypes="1" containsNumber="1" containsInteger="1" minValue="1" maxValue="2"/>
    </cacheField>
    <cacheField name="Question 31" numFmtId="0">
      <sharedItems containsBlank="1" containsMixedTypes="1" containsNumber="1" containsInteger="1" minValue="1946" maxValue="1994"/>
    </cacheField>
    <cacheField name="Question 32" numFmtId="0">
      <sharedItems containsBlank="1" containsMixedTypes="1" containsNumber="1" containsInteger="1" minValue="1" maxValue="3"/>
    </cacheField>
    <cacheField name="Question 32 Autre" numFmtId="0">
      <sharedItems containsBlank="1"/>
    </cacheField>
    <cacheField name="Question 33" numFmtId="0">
      <sharedItems containsBlank="1" containsMixedTypes="1" containsNumber="1" containsInteger="1" minValue="1" maxValue="7"/>
    </cacheField>
    <cacheField name="Question 33 Autre" numFmtId="0">
      <sharedItems containsBlank="1"/>
    </cacheField>
    <cacheField name="Question 34" numFmtId="0">
      <sharedItems containsBlank="1" containsMixedTypes="1" containsNumber="1" containsInteger="1" minValue="1" maxValue="6"/>
    </cacheField>
    <cacheField name="Question 34 Autre" numFmtId="0">
      <sharedItems containsBlank="1"/>
    </cacheField>
    <cacheField name="Question 35" numFmtId="0">
      <sharedItems containsBlank="1" containsMixedTypes="1" containsNumber="1" containsInteger="1" minValue="1" maxValue="4"/>
    </cacheField>
    <cacheField name="Question 35 Autre" numFmtId="0">
      <sharedItems containsBlank="1"/>
    </cacheField>
    <cacheField name="Question 36" numFmtId="0">
      <sharedItems containsBlank="1" containsMixedTypes="1" containsNumber="1" containsInteger="1" minValue="1" maxValue="4"/>
    </cacheField>
    <cacheField name="Répondant" numFmtId="0">
      <sharedItems containsString="0" containsBlank="1" containsNumber="1" containsInteger="1" minValue="1" maxValue="1"/>
    </cacheField>
    <cacheField name="Calcul de l'âge" numFmtId="0">
      <sharedItems containsString="0" containsBlank="1" containsNumber="1" containsInteger="1" minValue="19" maxValue="2013"/>
    </cacheField>
    <cacheField name="L'âge regrouper" numFmtId="0">
      <sharedItems containsString="0" containsBlank="1" containsNumber="1" containsInteger="1" minValue="1" maxValue="4" count="5">
        <m/>
        <n v="1"/>
        <n v="2"/>
        <n v="3"/>
        <n v="4"/>
      </sharedItems>
    </cacheField>
    <cacheField name="Calcul vivre seul (MS)" numFmtId="0">
      <sharedItems containsString="0" containsBlank="1" containsNumber="1" containsInteger="1" minValue="1" maxValue="3"/>
    </cacheField>
    <cacheField name="Calcul ménage (M)" numFmtId="0">
      <sharedItems containsString="0" containsBlank="1" containsNumber="1" containsInteger="1" minValue="1" maxValue="5"/>
    </cacheField>
    <cacheField name="Calcul enfant (ME)" numFmtId="0">
      <sharedItems containsString="0" containsBlank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r:id="rId1" refreshedBy="Tesmel01" refreshedDate="41416.545148611112" createdVersion="3" refreshedVersion="3" minRefreshableVersion="3" recordCount="632">
  <cacheSource type="worksheet">
    <worksheetSource ref="D1:CQ1048576" sheet="Grille de saisie"/>
  </cacheSource>
  <cacheFields count="92">
    <cacheField name="Question 1" numFmtId="0">
      <sharedItems containsBlank="1" containsMixedTypes="1" containsNumber="1" containsInteger="1" minValue="1" maxValue="4" count="6">
        <s v="À votre avis, votre quartier est : "/>
        <n v="4"/>
        <n v="2"/>
        <n v="1"/>
        <n v="3"/>
        <m/>
      </sharedItems>
    </cacheField>
    <cacheField name="Question 2" numFmtId="0">
      <sharedItems containsBlank="1" containsMixedTypes="1" containsNumber="1" containsInteger="1" minValue="1" maxValue="8"/>
    </cacheField>
    <cacheField name="Question 3" numFmtId="0">
      <sharedItems containsBlank="1"/>
    </cacheField>
    <cacheField name="Question 4" numFmtId="0">
      <sharedItems containsBlank="1" containsMixedTypes="1" containsNumber="1" containsInteger="1" minValue="1" maxValue="4"/>
    </cacheField>
    <cacheField name="Question 5.1" numFmtId="0">
      <sharedItems containsBlank="1" containsMixedTypes="1" containsNumber="1" containsInteger="1" minValue="1" maxValue="7"/>
    </cacheField>
    <cacheField name="Question 5.2" numFmtId="0">
      <sharedItems containsBlank="1" containsMixedTypes="1" containsNumber="1" containsInteger="1" minValue="1" maxValue="7"/>
    </cacheField>
    <cacheField name="Question 5.3" numFmtId="0">
      <sharedItems containsBlank="1" containsMixedTypes="1" containsNumber="1" containsInteger="1" minValue="1" maxValue="7"/>
    </cacheField>
    <cacheField name="Question 6" numFmtId="0">
      <sharedItems containsBlank="1" containsMixedTypes="1" containsNumber="1" containsInteger="1" minValue="1" maxValue="5"/>
    </cacheField>
    <cacheField name="Question 7" numFmtId="0">
      <sharedItems containsBlank="1" containsMixedTypes="1" containsNumber="1" containsInteger="1" minValue="1" maxValue="5"/>
    </cacheField>
    <cacheField name="Question 8.1" numFmtId="0">
      <sharedItems containsBlank="1" containsMixedTypes="1" containsNumber="1" containsInteger="1" minValue="1" maxValue="4"/>
    </cacheField>
    <cacheField name="Question 8.2" numFmtId="0">
      <sharedItems containsBlank="1" containsMixedTypes="1" containsNumber="1" containsInteger="1" minValue="1" maxValue="4"/>
    </cacheField>
    <cacheField name="Question 8.3" numFmtId="0">
      <sharedItems containsBlank="1" containsMixedTypes="1" containsNumber="1" containsInteger="1" minValue="1" maxValue="4"/>
    </cacheField>
    <cacheField name="Question 8.4" numFmtId="0">
      <sharedItems containsBlank="1" containsMixedTypes="1" containsNumber="1" containsInteger="1" minValue="1" maxValue="4"/>
    </cacheField>
    <cacheField name="Question 8.5" numFmtId="0">
      <sharedItems containsBlank="1" containsMixedTypes="1" containsNumber="1" containsInteger="1" minValue="1" maxValue="4"/>
    </cacheField>
    <cacheField name="Question 8.6" numFmtId="0">
      <sharedItems containsBlank="1" containsMixedTypes="1" containsNumber="1" containsInteger="1" minValue="1" maxValue="4"/>
    </cacheField>
    <cacheField name="Question 8.7" numFmtId="0">
      <sharedItems containsBlank="1" containsMixedTypes="1" containsNumber="1" containsInteger="1" minValue="1" maxValue="4"/>
    </cacheField>
    <cacheField name="Question 8.8" numFmtId="0">
      <sharedItems containsBlank="1" containsMixedTypes="1" containsNumber="1" containsInteger="1" minValue="1" maxValue="4"/>
    </cacheField>
    <cacheField name="Question 9.1" numFmtId="0">
      <sharedItems containsBlank="1" containsMixedTypes="1" containsNumber="1" containsInteger="1" minValue="1" maxValue="4"/>
    </cacheField>
    <cacheField name="Question 9.2" numFmtId="0">
      <sharedItems containsBlank="1" containsMixedTypes="1" containsNumber="1" containsInteger="1" minValue="1" maxValue="4"/>
    </cacheField>
    <cacheField name="Question 10.1" numFmtId="0">
      <sharedItems containsBlank="1" containsMixedTypes="1" containsNumber="1" containsInteger="1" minValue="1" maxValue="4"/>
    </cacheField>
    <cacheField name="Question 10.2" numFmtId="0">
      <sharedItems containsBlank="1" containsMixedTypes="1" containsNumber="1" containsInteger="1" minValue="1" maxValue="4"/>
    </cacheField>
    <cacheField name="Question 11" numFmtId="0">
      <sharedItems containsBlank="1" containsMixedTypes="1" containsNumber="1" containsInteger="1" minValue="1" maxValue="2"/>
    </cacheField>
    <cacheField name="Question 12" numFmtId="0">
      <sharedItems containsBlank="1" containsMixedTypes="1" containsNumber="1" containsInteger="1" minValue="1" maxValue="2"/>
    </cacheField>
    <cacheField name="Question 12A1" numFmtId="0">
      <sharedItems containsBlank="1" containsMixedTypes="1" containsNumber="1" containsInteger="1" minValue="1" maxValue="1"/>
    </cacheField>
    <cacheField name="Question 12A2" numFmtId="0">
      <sharedItems containsBlank="1" containsMixedTypes="1" containsNumber="1" containsInteger="1" minValue="1" maxValue="1"/>
    </cacheField>
    <cacheField name="Question 12A3" numFmtId="0">
      <sharedItems containsBlank="1" containsMixedTypes="1" containsNumber="1" containsInteger="1" minValue="1" maxValue="1"/>
    </cacheField>
    <cacheField name="Question 12A4" numFmtId="0">
      <sharedItems containsBlank="1" containsMixedTypes="1" containsNumber="1" containsInteger="1" minValue="1" maxValue="1"/>
    </cacheField>
    <cacheField name="Question 12A5" numFmtId="0">
      <sharedItems containsBlank="1" containsMixedTypes="1" containsNumber="1" containsInteger="1" minValue="1" maxValue="1"/>
    </cacheField>
    <cacheField name="Question 12A6" numFmtId="0">
      <sharedItems containsBlank="1" containsMixedTypes="1" containsNumber="1" containsInteger="1" minValue="1" maxValue="1"/>
    </cacheField>
    <cacheField name="Question 12A7" numFmtId="0">
      <sharedItems containsBlank="1" containsMixedTypes="1" containsNumber="1" containsInteger="1" minValue="1" maxValue="1"/>
    </cacheField>
    <cacheField name="Question 12A8" numFmtId="0">
      <sharedItems containsBlank="1" containsMixedTypes="1" containsNumber="1" containsInteger="1" minValue="1" maxValue="1"/>
    </cacheField>
    <cacheField name="Question 12A9" numFmtId="0">
      <sharedItems containsBlank="1"/>
    </cacheField>
    <cacheField name="Question 13" numFmtId="0">
      <sharedItems containsBlank="1" containsMixedTypes="1" containsNumber="1" containsInteger="1" minValue="1" maxValue="2"/>
    </cacheField>
    <cacheField name="Question 13A" numFmtId="0">
      <sharedItems containsBlank="1"/>
    </cacheField>
    <cacheField name="Question 14.1" numFmtId="0">
      <sharedItems containsBlank="1" containsMixedTypes="1" containsNumber="1" containsInteger="1" minValue="1" maxValue="2"/>
    </cacheField>
    <cacheField name="Question 14.2" numFmtId="0">
      <sharedItems containsBlank="1" containsMixedTypes="1" containsNumber="1" containsInteger="1" minValue="1" maxValue="2"/>
    </cacheField>
    <cacheField name="Question 14.3" numFmtId="0">
      <sharedItems containsBlank="1" containsMixedTypes="1" containsNumber="1" containsInteger="1" minValue="1" maxValue="2"/>
    </cacheField>
    <cacheField name="Question 14.4" numFmtId="0">
      <sharedItems containsBlank="1" containsMixedTypes="1" containsNumber="1" containsInteger="1" minValue="1" maxValue="2"/>
    </cacheField>
    <cacheField name="Question 14.5" numFmtId="0">
      <sharedItems containsBlank="1" containsMixedTypes="1" containsNumber="1" containsInteger="1" minValue="1" maxValue="2"/>
    </cacheField>
    <cacheField name="Question 14.6" numFmtId="0">
      <sharedItems containsBlank="1" containsMixedTypes="1" containsNumber="1" containsInteger="1" minValue="1" maxValue="2"/>
    </cacheField>
    <cacheField name="Question 14.7" numFmtId="0">
      <sharedItems containsBlank="1" containsMixedTypes="1" containsNumber="1" containsInteger="1" minValue="1" maxValue="2"/>
    </cacheField>
    <cacheField name="Question 14.8" numFmtId="0">
      <sharedItems containsBlank="1" containsMixedTypes="1" containsNumber="1" containsInteger="1" minValue="1" maxValue="2"/>
    </cacheField>
    <cacheField name="Question 15" numFmtId="0">
      <sharedItems containsBlank="1" containsMixedTypes="1" containsNumber="1" containsInteger="1" minValue="1" maxValue="2"/>
    </cacheField>
    <cacheField name="Question 15A" numFmtId="0">
      <sharedItems containsBlank="1" containsMixedTypes="1" containsNumber="1" containsInteger="1" minValue="1" maxValue="2"/>
    </cacheField>
    <cacheField name="Question 16.1" numFmtId="0">
      <sharedItems containsBlank="1" containsMixedTypes="1" containsNumber="1" containsInteger="1" minValue="1" maxValue="7"/>
    </cacheField>
    <cacheField name="Question 16.2" numFmtId="0">
      <sharedItems containsBlank="1" containsMixedTypes="1" containsNumber="1" containsInteger="1" minValue="1" maxValue="7"/>
    </cacheField>
    <cacheField name="Question 16.3" numFmtId="0">
      <sharedItems containsBlank="1" containsMixedTypes="1" containsNumber="1" containsInteger="1" minValue="1" maxValue="7"/>
    </cacheField>
    <cacheField name="Question 17" numFmtId="0">
      <sharedItems containsBlank="1" containsMixedTypes="1" containsNumber="1" containsInteger="1" minValue="1" maxValue="8"/>
    </cacheField>
    <cacheField name="Question 18" numFmtId="0">
      <sharedItems containsBlank="1" containsMixedTypes="1" containsNumber="1" containsInteger="1" minValue="1" maxValue="4"/>
    </cacheField>
    <cacheField name="Question 19" numFmtId="0">
      <sharedItems containsBlank="1" containsMixedTypes="1" containsNumber="1" containsInteger="1" minValue="1" maxValue="8"/>
    </cacheField>
    <cacheField name="Question 20.1" numFmtId="0">
      <sharedItems containsBlank="1" containsMixedTypes="1" containsNumber="1" containsInteger="1" minValue="1" maxValue="8"/>
    </cacheField>
    <cacheField name="Question 20.2" numFmtId="0">
      <sharedItems containsBlank="1" containsMixedTypes="1" containsNumber="1" containsInteger="1" minValue="1" maxValue="8"/>
    </cacheField>
    <cacheField name="Question 20.3" numFmtId="0">
      <sharedItems containsBlank="1" containsMixedTypes="1" containsNumber="1" containsInteger="1" minValue="1" maxValue="8"/>
    </cacheField>
    <cacheField name="Question 21" numFmtId="0">
      <sharedItems containsBlank="1" containsMixedTypes="1" containsNumber="1" containsInteger="1" minValue="1" maxValue="4"/>
    </cacheField>
    <cacheField name="Question 21A" numFmtId="0">
      <sharedItems containsBlank="1" containsMixedTypes="1" containsNumber="1" containsInteger="1" minValue="1" maxValue="4"/>
    </cacheField>
    <cacheField name="Question 21Peu" numFmtId="0">
      <sharedItems containsBlank="1"/>
    </cacheField>
    <cacheField name="Question 21Pas" numFmtId="0">
      <sharedItems containsBlank="1"/>
    </cacheField>
    <cacheField name="Question 22.1" numFmtId="0">
      <sharedItems containsBlank="1" containsMixedTypes="1" containsNumber="1" containsInteger="1" minValue="1" maxValue="2"/>
    </cacheField>
    <cacheField name="Question 22.2" numFmtId="0">
      <sharedItems containsBlank="1" containsMixedTypes="1" containsNumber="1" containsInteger="1" minValue="1" maxValue="2"/>
    </cacheField>
    <cacheField name="Question 22.3" numFmtId="0">
      <sharedItems containsBlank="1" containsMixedTypes="1" containsNumber="1" containsInteger="1" minValue="1" maxValue="2"/>
    </cacheField>
    <cacheField name="Question 22.4" numFmtId="0">
      <sharedItems containsBlank="1" containsMixedTypes="1" containsNumber="1" containsInteger="1" minValue="1" maxValue="2"/>
    </cacheField>
    <cacheField name="Question 22.5" numFmtId="0">
      <sharedItems containsBlank="1" containsMixedTypes="1" containsNumber="1" containsInteger="1" minValue="1" maxValue="2"/>
    </cacheField>
    <cacheField name="Question 22.6" numFmtId="0">
      <sharedItems containsBlank="1" containsMixedTypes="1" containsNumber="1" containsInteger="1" minValue="1" maxValue="2"/>
    </cacheField>
    <cacheField name="Question 23" numFmtId="0">
      <sharedItems containsBlank="1" containsMixedTypes="1" containsNumber="1" containsInteger="1" minValue="1" maxValue="2"/>
    </cacheField>
    <cacheField name="Question 24" numFmtId="0">
      <sharedItems containsBlank="1" containsMixedTypes="1" containsNumber="1" containsInteger="1" minValue="1" maxValue="2"/>
    </cacheField>
    <cacheField name="Question 25" numFmtId="0">
      <sharedItems containsBlank="1" containsMixedTypes="1" containsNumber="1" containsInteger="1" minValue="1" maxValue="4"/>
    </cacheField>
    <cacheField name="Question 25A" numFmtId="0">
      <sharedItems containsBlank="1" containsMixedTypes="1" containsNumber="1" containsInteger="1" minValue="1" maxValue="98"/>
    </cacheField>
    <cacheField name="Question 25Autre" numFmtId="0">
      <sharedItems containsBlank="1"/>
    </cacheField>
    <cacheField name="Question 26" numFmtId="0">
      <sharedItems containsBlank="1" containsMixedTypes="1" containsNumber="1" containsInteger="1" minValue="1" maxValue="2"/>
    </cacheField>
    <cacheField name="Question 26A" numFmtId="0">
      <sharedItems containsBlank="1" containsMixedTypes="1" containsNumber="1" containsInteger="1" minValue="1" maxValue="4"/>
    </cacheField>
    <cacheField name="Question 26B" numFmtId="0">
      <sharedItems containsBlank="1" containsMixedTypes="1" containsNumber="1" containsInteger="1" minValue="1" maxValue="98"/>
    </cacheField>
    <cacheField name="Question 26Autre" numFmtId="0">
      <sharedItems containsBlank="1"/>
    </cacheField>
    <cacheField name="Question 27" numFmtId="0">
      <sharedItems containsBlank="1" containsMixedTypes="1" containsNumber="1" containsInteger="1" minValue="1" maxValue="8"/>
    </cacheField>
    <cacheField name="Question 28" numFmtId="0">
      <sharedItems containsBlank="1" containsMixedTypes="1" containsNumber="1" containsInteger="1" minValue="1" maxValue="4"/>
    </cacheField>
    <cacheField name="Question 29" numFmtId="0">
      <sharedItems containsBlank="1" containsMixedTypes="1" containsNumber="1" containsInteger="1" minValue="1" maxValue="5"/>
    </cacheField>
    <cacheField name="Question 30" numFmtId="0">
      <sharedItems containsBlank="1" containsMixedTypes="1" containsNumber="1" containsInteger="1" minValue="1" maxValue="2" count="4">
        <s v="Êtes-vous :"/>
        <n v="1"/>
        <n v="2"/>
        <m/>
      </sharedItems>
    </cacheField>
    <cacheField name="Question 31" numFmtId="0">
      <sharedItems containsBlank="1" containsMixedTypes="1" containsNumber="1" containsInteger="1" minValue="1946" maxValue="1994"/>
    </cacheField>
    <cacheField name="Question 32" numFmtId="0">
      <sharedItems containsBlank="1" containsMixedTypes="1" containsNumber="1" containsInteger="1" minValue="1" maxValue="3"/>
    </cacheField>
    <cacheField name="Question 32 Autre" numFmtId="0">
      <sharedItems containsBlank="1"/>
    </cacheField>
    <cacheField name="Question 33" numFmtId="0">
      <sharedItems containsBlank="1" containsMixedTypes="1" containsNumber="1" containsInteger="1" minValue="1" maxValue="7"/>
    </cacheField>
    <cacheField name="Question 33 Autre" numFmtId="0">
      <sharedItems containsBlank="1"/>
    </cacheField>
    <cacheField name="Question 34" numFmtId="0">
      <sharedItems containsBlank="1" containsMixedTypes="1" containsNumber="1" containsInteger="1" minValue="1" maxValue="6"/>
    </cacheField>
    <cacheField name="Question 34 Autre" numFmtId="0">
      <sharedItems containsBlank="1"/>
    </cacheField>
    <cacheField name="Question 35" numFmtId="0">
      <sharedItems containsBlank="1" containsMixedTypes="1" containsNumber="1" containsInteger="1" minValue="1" maxValue="4"/>
    </cacheField>
    <cacheField name="Question 35 Autre" numFmtId="0">
      <sharedItems containsBlank="1"/>
    </cacheField>
    <cacheField name="Question 36" numFmtId="0">
      <sharedItems containsBlank="1" containsMixedTypes="1" containsNumber="1" containsInteger="1" minValue="1" maxValue="4"/>
    </cacheField>
    <cacheField name="Répondant" numFmtId="0">
      <sharedItems containsString="0" containsBlank="1" containsNumber="1" containsInteger="1" minValue="1" maxValue="1"/>
    </cacheField>
    <cacheField name="Calcul de l'âge" numFmtId="0">
      <sharedItems containsString="0" containsBlank="1" containsNumber="1" containsInteger="1" minValue="19" maxValue="2013"/>
    </cacheField>
    <cacheField name="L'âge regrouper" numFmtId="0">
      <sharedItems containsString="0" containsBlank="1" containsNumber="1" containsInteger="1" minValue="1" maxValue="4" count="5">
        <m/>
        <n v="1"/>
        <n v="2"/>
        <n v="3"/>
        <n v="4"/>
      </sharedItems>
    </cacheField>
    <cacheField name="Calcul vivre seul (MS)" numFmtId="0">
      <sharedItems containsString="0" containsBlank="1" containsNumber="1" containsInteger="1" minValue="1" maxValue="3"/>
    </cacheField>
    <cacheField name="Calcul ménage (M)" numFmtId="0">
      <sharedItems containsString="0" containsBlank="1" containsNumber="1" containsInteger="1" minValue="1" maxValue="5"/>
    </cacheField>
    <cacheField name="Calcul enfant (ME)" numFmtId="0">
      <sharedItems containsString="0" containsBlank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r:id="rId1" refreshedBy="Tesmel01" refreshedDate="41416.545149305559" createdVersion="3" refreshedVersion="3" minRefreshableVersion="3" recordCount="632">
  <cacheSource type="worksheet">
    <worksheetSource ref="E1:CQ1048576" sheet="Grille de saisie"/>
  </cacheSource>
  <cacheFields count="91">
    <cacheField name="Question 2" numFmtId="0">
      <sharedItems containsBlank="1" containsMixedTypes="1" containsNumber="1" containsInteger="1" minValue="1" maxValue="8" count="7">
        <s v="Comparativement à il y a 5 ans, les résidants de votre quartier sont … ?"/>
        <n v="1"/>
        <n v="2"/>
        <n v="8"/>
        <n v="3"/>
        <n v="4"/>
        <m/>
      </sharedItems>
    </cacheField>
    <cacheField name="Question 3" numFmtId="0">
      <sharedItems containsBlank="1"/>
    </cacheField>
    <cacheField name="Question 4" numFmtId="0">
      <sharedItems containsBlank="1" containsMixedTypes="1" containsNumber="1" containsInteger="1" minValue="1" maxValue="4"/>
    </cacheField>
    <cacheField name="Question 5.1" numFmtId="0">
      <sharedItems containsBlank="1" containsMixedTypes="1" containsNumber="1" containsInteger="1" minValue="1" maxValue="7"/>
    </cacheField>
    <cacheField name="Question 5.2" numFmtId="0">
      <sharedItems containsBlank="1" containsMixedTypes="1" containsNumber="1" containsInteger="1" minValue="1" maxValue="7"/>
    </cacheField>
    <cacheField name="Question 5.3" numFmtId="0">
      <sharedItems containsBlank="1" containsMixedTypes="1" containsNumber="1" containsInteger="1" minValue="1" maxValue="7"/>
    </cacheField>
    <cacheField name="Question 6" numFmtId="0">
      <sharedItems containsBlank="1" containsMixedTypes="1" containsNumber="1" containsInteger="1" minValue="1" maxValue="5"/>
    </cacheField>
    <cacheField name="Question 7" numFmtId="0">
      <sharedItems containsBlank="1" containsMixedTypes="1" containsNumber="1" containsInteger="1" minValue="1" maxValue="5"/>
    </cacheField>
    <cacheField name="Question 8.1" numFmtId="0">
      <sharedItems containsBlank="1" containsMixedTypes="1" containsNumber="1" containsInteger="1" minValue="1" maxValue="4"/>
    </cacheField>
    <cacheField name="Question 8.2" numFmtId="0">
      <sharedItems containsBlank="1" containsMixedTypes="1" containsNumber="1" containsInteger="1" minValue="1" maxValue="4"/>
    </cacheField>
    <cacheField name="Question 8.3" numFmtId="0">
      <sharedItems containsBlank="1" containsMixedTypes="1" containsNumber="1" containsInteger="1" minValue="1" maxValue="4"/>
    </cacheField>
    <cacheField name="Question 8.4" numFmtId="0">
      <sharedItems containsBlank="1" containsMixedTypes="1" containsNumber="1" containsInteger="1" minValue="1" maxValue="4"/>
    </cacheField>
    <cacheField name="Question 8.5" numFmtId="0">
      <sharedItems containsBlank="1" containsMixedTypes="1" containsNumber="1" containsInteger="1" minValue="1" maxValue="4"/>
    </cacheField>
    <cacheField name="Question 8.6" numFmtId="0">
      <sharedItems containsBlank="1" containsMixedTypes="1" containsNumber="1" containsInteger="1" minValue="1" maxValue="4"/>
    </cacheField>
    <cacheField name="Question 8.7" numFmtId="0">
      <sharedItems containsBlank="1" containsMixedTypes="1" containsNumber="1" containsInteger="1" minValue="1" maxValue="4"/>
    </cacheField>
    <cacheField name="Question 8.8" numFmtId="0">
      <sharedItems containsBlank="1" containsMixedTypes="1" containsNumber="1" containsInteger="1" minValue="1" maxValue="4"/>
    </cacheField>
    <cacheField name="Question 9.1" numFmtId="0">
      <sharedItems containsBlank="1" containsMixedTypes="1" containsNumber="1" containsInteger="1" minValue="1" maxValue="4"/>
    </cacheField>
    <cacheField name="Question 9.2" numFmtId="0">
      <sharedItems containsBlank="1" containsMixedTypes="1" containsNumber="1" containsInteger="1" minValue="1" maxValue="4"/>
    </cacheField>
    <cacheField name="Question 10.1" numFmtId="0">
      <sharedItems containsBlank="1" containsMixedTypes="1" containsNumber="1" containsInteger="1" minValue="1" maxValue="4"/>
    </cacheField>
    <cacheField name="Question 10.2" numFmtId="0">
      <sharedItems containsBlank="1" containsMixedTypes="1" containsNumber="1" containsInteger="1" minValue="1" maxValue="4"/>
    </cacheField>
    <cacheField name="Question 11" numFmtId="0">
      <sharedItems containsBlank="1" containsMixedTypes="1" containsNumber="1" containsInteger="1" minValue="1" maxValue="2"/>
    </cacheField>
    <cacheField name="Question 12" numFmtId="0">
      <sharedItems containsBlank="1" containsMixedTypes="1" containsNumber="1" containsInteger="1" minValue="1" maxValue="2"/>
    </cacheField>
    <cacheField name="Question 12A1" numFmtId="0">
      <sharedItems containsBlank="1" containsMixedTypes="1" containsNumber="1" containsInteger="1" minValue="1" maxValue="1"/>
    </cacheField>
    <cacheField name="Question 12A2" numFmtId="0">
      <sharedItems containsBlank="1" containsMixedTypes="1" containsNumber="1" containsInteger="1" minValue="1" maxValue="1"/>
    </cacheField>
    <cacheField name="Question 12A3" numFmtId="0">
      <sharedItems containsBlank="1" containsMixedTypes="1" containsNumber="1" containsInteger="1" minValue="1" maxValue="1"/>
    </cacheField>
    <cacheField name="Question 12A4" numFmtId="0">
      <sharedItems containsBlank="1" containsMixedTypes="1" containsNumber="1" containsInteger="1" minValue="1" maxValue="1"/>
    </cacheField>
    <cacheField name="Question 12A5" numFmtId="0">
      <sharedItems containsBlank="1" containsMixedTypes="1" containsNumber="1" containsInteger="1" minValue="1" maxValue="1"/>
    </cacheField>
    <cacheField name="Question 12A6" numFmtId="0">
      <sharedItems containsBlank="1" containsMixedTypes="1" containsNumber="1" containsInteger="1" minValue="1" maxValue="1"/>
    </cacheField>
    <cacheField name="Question 12A7" numFmtId="0">
      <sharedItems containsBlank="1" containsMixedTypes="1" containsNumber="1" containsInteger="1" minValue="1" maxValue="1"/>
    </cacheField>
    <cacheField name="Question 12A8" numFmtId="0">
      <sharedItems containsBlank="1" containsMixedTypes="1" containsNumber="1" containsInteger="1" minValue="1" maxValue="1"/>
    </cacheField>
    <cacheField name="Question 12A9" numFmtId="0">
      <sharedItems containsBlank="1"/>
    </cacheField>
    <cacheField name="Question 13" numFmtId="0">
      <sharedItems containsBlank="1" containsMixedTypes="1" containsNumber="1" containsInteger="1" minValue="1" maxValue="2"/>
    </cacheField>
    <cacheField name="Question 13A" numFmtId="0">
      <sharedItems containsBlank="1"/>
    </cacheField>
    <cacheField name="Question 14.1" numFmtId="0">
      <sharedItems containsBlank="1" containsMixedTypes="1" containsNumber="1" containsInteger="1" minValue="1" maxValue="2"/>
    </cacheField>
    <cacheField name="Question 14.2" numFmtId="0">
      <sharedItems containsBlank="1" containsMixedTypes="1" containsNumber="1" containsInteger="1" minValue="1" maxValue="2"/>
    </cacheField>
    <cacheField name="Question 14.3" numFmtId="0">
      <sharedItems containsBlank="1" containsMixedTypes="1" containsNumber="1" containsInteger="1" minValue="1" maxValue="2"/>
    </cacheField>
    <cacheField name="Question 14.4" numFmtId="0">
      <sharedItems containsBlank="1" containsMixedTypes="1" containsNumber="1" containsInteger="1" minValue="1" maxValue="2"/>
    </cacheField>
    <cacheField name="Question 14.5" numFmtId="0">
      <sharedItems containsBlank="1" containsMixedTypes="1" containsNumber="1" containsInteger="1" minValue="1" maxValue="2"/>
    </cacheField>
    <cacheField name="Question 14.6" numFmtId="0">
      <sharedItems containsBlank="1" containsMixedTypes="1" containsNumber="1" containsInteger="1" minValue="1" maxValue="2"/>
    </cacheField>
    <cacheField name="Question 14.7" numFmtId="0">
      <sharedItems containsBlank="1" containsMixedTypes="1" containsNumber="1" containsInteger="1" minValue="1" maxValue="2"/>
    </cacheField>
    <cacheField name="Question 14.8" numFmtId="0">
      <sharedItems containsBlank="1" containsMixedTypes="1" containsNumber="1" containsInteger="1" minValue="1" maxValue="2"/>
    </cacheField>
    <cacheField name="Question 15" numFmtId="0">
      <sharedItems containsBlank="1" containsMixedTypes="1" containsNumber="1" containsInteger="1" minValue="1" maxValue="2"/>
    </cacheField>
    <cacheField name="Question 15A" numFmtId="0">
      <sharedItems containsBlank="1" containsMixedTypes="1" containsNumber="1" containsInteger="1" minValue="1" maxValue="2"/>
    </cacheField>
    <cacheField name="Question 16.1" numFmtId="0">
      <sharedItems containsBlank="1" containsMixedTypes="1" containsNumber="1" containsInteger="1" minValue="1" maxValue="7"/>
    </cacheField>
    <cacheField name="Question 16.2" numFmtId="0">
      <sharedItems containsBlank="1" containsMixedTypes="1" containsNumber="1" containsInteger="1" minValue="1" maxValue="7"/>
    </cacheField>
    <cacheField name="Question 16.3" numFmtId="0">
      <sharedItems containsBlank="1" containsMixedTypes="1" containsNumber="1" containsInteger="1" minValue="1" maxValue="7"/>
    </cacheField>
    <cacheField name="Question 17" numFmtId="0">
      <sharedItems containsBlank="1" containsMixedTypes="1" containsNumber="1" containsInteger="1" minValue="1" maxValue="8"/>
    </cacheField>
    <cacheField name="Question 18" numFmtId="0">
      <sharedItems containsBlank="1" containsMixedTypes="1" containsNumber="1" containsInteger="1" minValue="1" maxValue="4"/>
    </cacheField>
    <cacheField name="Question 19" numFmtId="0">
      <sharedItems containsBlank="1" containsMixedTypes="1" containsNumber="1" containsInteger="1" minValue="1" maxValue="8"/>
    </cacheField>
    <cacheField name="Question 20.1" numFmtId="0">
      <sharedItems containsBlank="1" containsMixedTypes="1" containsNumber="1" containsInteger="1" minValue="1" maxValue="8"/>
    </cacheField>
    <cacheField name="Question 20.2" numFmtId="0">
      <sharedItems containsBlank="1" containsMixedTypes="1" containsNumber="1" containsInteger="1" minValue="1" maxValue="8"/>
    </cacheField>
    <cacheField name="Question 20.3" numFmtId="0">
      <sharedItems containsBlank="1" containsMixedTypes="1" containsNumber="1" containsInteger="1" minValue="1" maxValue="8"/>
    </cacheField>
    <cacheField name="Question 21" numFmtId="0">
      <sharedItems containsBlank="1" containsMixedTypes="1" containsNumber="1" containsInteger="1" minValue="1" maxValue="4"/>
    </cacheField>
    <cacheField name="Question 21A" numFmtId="0">
      <sharedItems containsBlank="1" containsMixedTypes="1" containsNumber="1" containsInteger="1" minValue="1" maxValue="4"/>
    </cacheField>
    <cacheField name="Question 21Peu" numFmtId="0">
      <sharedItems containsBlank="1"/>
    </cacheField>
    <cacheField name="Question 21Pas" numFmtId="0">
      <sharedItems containsBlank="1"/>
    </cacheField>
    <cacheField name="Question 22.1" numFmtId="0">
      <sharedItems containsBlank="1" containsMixedTypes="1" containsNumber="1" containsInteger="1" minValue="1" maxValue="2"/>
    </cacheField>
    <cacheField name="Question 22.2" numFmtId="0">
      <sharedItems containsBlank="1" containsMixedTypes="1" containsNumber="1" containsInteger="1" minValue="1" maxValue="2"/>
    </cacheField>
    <cacheField name="Question 22.3" numFmtId="0">
      <sharedItems containsBlank="1" containsMixedTypes="1" containsNumber="1" containsInteger="1" minValue="1" maxValue="2"/>
    </cacheField>
    <cacheField name="Question 22.4" numFmtId="0">
      <sharedItems containsBlank="1" containsMixedTypes="1" containsNumber="1" containsInteger="1" minValue="1" maxValue="2"/>
    </cacheField>
    <cacheField name="Question 22.5" numFmtId="0">
      <sharedItems containsBlank="1" containsMixedTypes="1" containsNumber="1" containsInteger="1" minValue="1" maxValue="2"/>
    </cacheField>
    <cacheField name="Question 22.6" numFmtId="0">
      <sharedItems containsBlank="1" containsMixedTypes="1" containsNumber="1" containsInteger="1" minValue="1" maxValue="2"/>
    </cacheField>
    <cacheField name="Question 23" numFmtId="0">
      <sharedItems containsBlank="1" containsMixedTypes="1" containsNumber="1" containsInteger="1" minValue="1" maxValue="2"/>
    </cacheField>
    <cacheField name="Question 24" numFmtId="0">
      <sharedItems containsBlank="1" containsMixedTypes="1" containsNumber="1" containsInteger="1" minValue="1" maxValue="2"/>
    </cacheField>
    <cacheField name="Question 25" numFmtId="0">
      <sharedItems containsBlank="1" containsMixedTypes="1" containsNumber="1" containsInteger="1" minValue="1" maxValue="4"/>
    </cacheField>
    <cacheField name="Question 25A" numFmtId="0">
      <sharedItems containsBlank="1" containsMixedTypes="1" containsNumber="1" containsInteger="1" minValue="1" maxValue="98"/>
    </cacheField>
    <cacheField name="Question 25Autre" numFmtId="0">
      <sharedItems containsBlank="1"/>
    </cacheField>
    <cacheField name="Question 26" numFmtId="0">
      <sharedItems containsBlank="1" containsMixedTypes="1" containsNumber="1" containsInteger="1" minValue="1" maxValue="2"/>
    </cacheField>
    <cacheField name="Question 26A" numFmtId="0">
      <sharedItems containsBlank="1" containsMixedTypes="1" containsNumber="1" containsInteger="1" minValue="1" maxValue="4"/>
    </cacheField>
    <cacheField name="Question 26B" numFmtId="0">
      <sharedItems containsBlank="1" containsMixedTypes="1" containsNumber="1" containsInteger="1" minValue="1" maxValue="98"/>
    </cacheField>
    <cacheField name="Question 26Autre" numFmtId="0">
      <sharedItems containsBlank="1"/>
    </cacheField>
    <cacheField name="Question 27" numFmtId="0">
      <sharedItems containsBlank="1" containsMixedTypes="1" containsNumber="1" containsInteger="1" minValue="1" maxValue="8"/>
    </cacheField>
    <cacheField name="Question 28" numFmtId="0">
      <sharedItems containsBlank="1" containsMixedTypes="1" containsNumber="1" containsInteger="1" minValue="1" maxValue="4"/>
    </cacheField>
    <cacheField name="Question 29" numFmtId="0">
      <sharedItems containsBlank="1" containsMixedTypes="1" containsNumber="1" containsInteger="1" minValue="1" maxValue="5"/>
    </cacheField>
    <cacheField name="Question 30" numFmtId="0">
      <sharedItems containsBlank="1" containsMixedTypes="1" containsNumber="1" containsInteger="1" minValue="1" maxValue="2" count="4">
        <s v="Êtes-vous :"/>
        <n v="1"/>
        <n v="2"/>
        <m/>
      </sharedItems>
    </cacheField>
    <cacheField name="Question 31" numFmtId="0">
      <sharedItems containsBlank="1" containsMixedTypes="1" containsNumber="1" containsInteger="1" minValue="1946" maxValue="1994"/>
    </cacheField>
    <cacheField name="Question 32" numFmtId="0">
      <sharedItems containsBlank="1" containsMixedTypes="1" containsNumber="1" containsInteger="1" minValue="1" maxValue="3"/>
    </cacheField>
    <cacheField name="Question 32 Autre" numFmtId="0">
      <sharedItems containsBlank="1"/>
    </cacheField>
    <cacheField name="Question 33" numFmtId="0">
      <sharedItems containsBlank="1" containsMixedTypes="1" containsNumber="1" containsInteger="1" minValue="1" maxValue="7"/>
    </cacheField>
    <cacheField name="Question 33 Autre" numFmtId="0">
      <sharedItems containsBlank="1"/>
    </cacheField>
    <cacheField name="Question 34" numFmtId="0">
      <sharedItems containsBlank="1" containsMixedTypes="1" containsNumber="1" containsInteger="1" minValue="1" maxValue="6"/>
    </cacheField>
    <cacheField name="Question 34 Autre" numFmtId="0">
      <sharedItems containsBlank="1"/>
    </cacheField>
    <cacheField name="Question 35" numFmtId="0">
      <sharedItems containsBlank="1" containsMixedTypes="1" containsNumber="1" containsInteger="1" minValue="1" maxValue="4"/>
    </cacheField>
    <cacheField name="Question 35 Autre" numFmtId="0">
      <sharedItems containsBlank="1"/>
    </cacheField>
    <cacheField name="Question 36" numFmtId="0">
      <sharedItems containsBlank="1" containsMixedTypes="1" containsNumber="1" containsInteger="1" minValue="1" maxValue="4"/>
    </cacheField>
    <cacheField name="Répondant" numFmtId="0">
      <sharedItems containsString="0" containsBlank="1" containsNumber="1" containsInteger="1" minValue="1" maxValue="1"/>
    </cacheField>
    <cacheField name="Calcul de l'âge" numFmtId="0">
      <sharedItems containsString="0" containsBlank="1" containsNumber="1" containsInteger="1" minValue="19" maxValue="2013"/>
    </cacheField>
    <cacheField name="L'âge regrouper" numFmtId="0">
      <sharedItems containsString="0" containsBlank="1" containsNumber="1" containsInteger="1" minValue="1" maxValue="4" count="5">
        <m/>
        <n v="1"/>
        <n v="2"/>
        <n v="3"/>
        <n v="4"/>
      </sharedItems>
    </cacheField>
    <cacheField name="Calcul vivre seul (MS)" numFmtId="0">
      <sharedItems containsString="0" containsBlank="1" containsNumber="1" containsInteger="1" minValue="1" maxValue="3"/>
    </cacheField>
    <cacheField name="Calcul ménage (M)" numFmtId="0">
      <sharedItems containsString="0" containsBlank="1" containsNumber="1" containsInteger="1" minValue="1" maxValue="5"/>
    </cacheField>
    <cacheField name="Calcul enfant (ME)" numFmtId="0">
      <sharedItems containsString="0" containsBlank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r:id="rId1" refreshedBy="Tesmel01" refreshedDate="41416.545149768521" createdVersion="3" refreshedVersion="3" minRefreshableVersion="3" recordCount="632">
  <cacheSource type="worksheet">
    <worksheetSource ref="F1:CQ1048576" sheet="Grille de saisie"/>
  </cacheSource>
  <cacheFields count="90">
    <cacheField name="Question 3" numFmtId="0">
      <sharedItems containsBlank="1"/>
    </cacheField>
    <cacheField name="Question 4" numFmtId="0">
      <sharedItems containsBlank="1" containsMixedTypes="1" containsNumber="1" containsInteger="1" minValue="1" maxValue="4" count="6">
        <s v="Vous arrive-t-il de ne pas vous sentir personnellement en sécurité dans votre quartier ?"/>
        <n v="1"/>
        <n v="2"/>
        <n v="3"/>
        <n v="4"/>
        <m/>
      </sharedItems>
    </cacheField>
    <cacheField name="Question 5.1" numFmtId="0">
      <sharedItems containsBlank="1" containsMixedTypes="1" containsNumber="1" containsInteger="1" minValue="1" maxValue="7"/>
    </cacheField>
    <cacheField name="Question 5.2" numFmtId="0">
      <sharedItems containsBlank="1" containsMixedTypes="1" containsNumber="1" containsInteger="1" minValue="1" maxValue="7"/>
    </cacheField>
    <cacheField name="Question 5.3" numFmtId="0">
      <sharedItems containsBlank="1" containsMixedTypes="1" containsNumber="1" containsInteger="1" minValue="1" maxValue="7"/>
    </cacheField>
    <cacheField name="Question 6" numFmtId="0">
      <sharedItems containsBlank="1" containsMixedTypes="1" containsNumber="1" containsInteger="1" minValue="1" maxValue="5"/>
    </cacheField>
    <cacheField name="Question 7" numFmtId="0">
      <sharedItems containsBlank="1" containsMixedTypes="1" containsNumber="1" containsInteger="1" minValue="1" maxValue="5"/>
    </cacheField>
    <cacheField name="Question 8.1" numFmtId="0">
      <sharedItems containsBlank="1" containsMixedTypes="1" containsNumber="1" containsInteger="1" minValue="1" maxValue="4"/>
    </cacheField>
    <cacheField name="Question 8.2" numFmtId="0">
      <sharedItems containsBlank="1" containsMixedTypes="1" containsNumber="1" containsInteger="1" minValue="1" maxValue="4"/>
    </cacheField>
    <cacheField name="Question 8.3" numFmtId="0">
      <sharedItems containsBlank="1" containsMixedTypes="1" containsNumber="1" containsInteger="1" minValue="1" maxValue="4"/>
    </cacheField>
    <cacheField name="Question 8.4" numFmtId="0">
      <sharedItems containsBlank="1" containsMixedTypes="1" containsNumber="1" containsInteger="1" minValue="1" maxValue="4"/>
    </cacheField>
    <cacheField name="Question 8.5" numFmtId="0">
      <sharedItems containsBlank="1" containsMixedTypes="1" containsNumber="1" containsInteger="1" minValue="1" maxValue="4"/>
    </cacheField>
    <cacheField name="Question 8.6" numFmtId="0">
      <sharedItems containsBlank="1" containsMixedTypes="1" containsNumber="1" containsInteger="1" minValue="1" maxValue="4"/>
    </cacheField>
    <cacheField name="Question 8.7" numFmtId="0">
      <sharedItems containsBlank="1" containsMixedTypes="1" containsNumber="1" containsInteger="1" minValue="1" maxValue="4"/>
    </cacheField>
    <cacheField name="Question 8.8" numFmtId="0">
      <sharedItems containsBlank="1" containsMixedTypes="1" containsNumber="1" containsInteger="1" minValue="1" maxValue="4"/>
    </cacheField>
    <cacheField name="Question 9.1" numFmtId="0">
      <sharedItems containsBlank="1" containsMixedTypes="1" containsNumber="1" containsInteger="1" minValue="1" maxValue="4"/>
    </cacheField>
    <cacheField name="Question 9.2" numFmtId="0">
      <sharedItems containsBlank="1" containsMixedTypes="1" containsNumber="1" containsInteger="1" minValue="1" maxValue="4"/>
    </cacheField>
    <cacheField name="Question 10.1" numFmtId="0">
      <sharedItems containsBlank="1" containsMixedTypes="1" containsNumber="1" containsInteger="1" minValue="1" maxValue="4"/>
    </cacheField>
    <cacheField name="Question 10.2" numFmtId="0">
      <sharedItems containsBlank="1" containsMixedTypes="1" containsNumber="1" containsInteger="1" minValue="1" maxValue="4"/>
    </cacheField>
    <cacheField name="Question 11" numFmtId="0">
      <sharedItems containsBlank="1" containsMixedTypes="1" containsNumber="1" containsInteger="1" minValue="1" maxValue="2"/>
    </cacheField>
    <cacheField name="Question 12" numFmtId="0">
      <sharedItems containsBlank="1" containsMixedTypes="1" containsNumber="1" containsInteger="1" minValue="1" maxValue="2"/>
    </cacheField>
    <cacheField name="Question 12A1" numFmtId="0">
      <sharedItems containsBlank="1" containsMixedTypes="1" containsNumber="1" containsInteger="1" minValue="1" maxValue="1"/>
    </cacheField>
    <cacheField name="Question 12A2" numFmtId="0">
      <sharedItems containsBlank="1" containsMixedTypes="1" containsNumber="1" containsInteger="1" minValue="1" maxValue="1"/>
    </cacheField>
    <cacheField name="Question 12A3" numFmtId="0">
      <sharedItems containsBlank="1" containsMixedTypes="1" containsNumber="1" containsInteger="1" minValue="1" maxValue="1"/>
    </cacheField>
    <cacheField name="Question 12A4" numFmtId="0">
      <sharedItems containsBlank="1" containsMixedTypes="1" containsNumber="1" containsInteger="1" minValue="1" maxValue="1"/>
    </cacheField>
    <cacheField name="Question 12A5" numFmtId="0">
      <sharedItems containsBlank="1" containsMixedTypes="1" containsNumber="1" containsInteger="1" minValue="1" maxValue="1"/>
    </cacheField>
    <cacheField name="Question 12A6" numFmtId="0">
      <sharedItems containsBlank="1" containsMixedTypes="1" containsNumber="1" containsInteger="1" minValue="1" maxValue="1"/>
    </cacheField>
    <cacheField name="Question 12A7" numFmtId="0">
      <sharedItems containsBlank="1" containsMixedTypes="1" containsNumber="1" containsInteger="1" minValue="1" maxValue="1"/>
    </cacheField>
    <cacheField name="Question 12A8" numFmtId="0">
      <sharedItems containsBlank="1" containsMixedTypes="1" containsNumber="1" containsInteger="1" minValue="1" maxValue="1"/>
    </cacheField>
    <cacheField name="Question 12A9" numFmtId="0">
      <sharedItems containsBlank="1"/>
    </cacheField>
    <cacheField name="Question 13" numFmtId="0">
      <sharedItems containsBlank="1" containsMixedTypes="1" containsNumber="1" containsInteger="1" minValue="1" maxValue="2"/>
    </cacheField>
    <cacheField name="Question 13A" numFmtId="0">
      <sharedItems containsBlank="1"/>
    </cacheField>
    <cacheField name="Question 14.1" numFmtId="0">
      <sharedItems containsBlank="1" containsMixedTypes="1" containsNumber="1" containsInteger="1" minValue="1" maxValue="2"/>
    </cacheField>
    <cacheField name="Question 14.2" numFmtId="0">
      <sharedItems containsBlank="1" containsMixedTypes="1" containsNumber="1" containsInteger="1" minValue="1" maxValue="2"/>
    </cacheField>
    <cacheField name="Question 14.3" numFmtId="0">
      <sharedItems containsBlank="1" containsMixedTypes="1" containsNumber="1" containsInteger="1" minValue="1" maxValue="2"/>
    </cacheField>
    <cacheField name="Question 14.4" numFmtId="0">
      <sharedItems containsBlank="1" containsMixedTypes="1" containsNumber="1" containsInteger="1" minValue="1" maxValue="2"/>
    </cacheField>
    <cacheField name="Question 14.5" numFmtId="0">
      <sharedItems containsBlank="1" containsMixedTypes="1" containsNumber="1" containsInteger="1" minValue="1" maxValue="2"/>
    </cacheField>
    <cacheField name="Question 14.6" numFmtId="0">
      <sharedItems containsBlank="1" containsMixedTypes="1" containsNumber="1" containsInteger="1" minValue="1" maxValue="2"/>
    </cacheField>
    <cacheField name="Question 14.7" numFmtId="0">
      <sharedItems containsBlank="1" containsMixedTypes="1" containsNumber="1" containsInteger="1" minValue="1" maxValue="2"/>
    </cacheField>
    <cacheField name="Question 14.8" numFmtId="0">
      <sharedItems containsBlank="1" containsMixedTypes="1" containsNumber="1" containsInteger="1" minValue="1" maxValue="2"/>
    </cacheField>
    <cacheField name="Question 15" numFmtId="0">
      <sharedItems containsBlank="1" containsMixedTypes="1" containsNumber="1" containsInteger="1" minValue="1" maxValue="2"/>
    </cacheField>
    <cacheField name="Question 15A" numFmtId="0">
      <sharedItems containsBlank="1" containsMixedTypes="1" containsNumber="1" containsInteger="1" minValue="1" maxValue="2"/>
    </cacheField>
    <cacheField name="Question 16.1" numFmtId="0">
      <sharedItems containsBlank="1" containsMixedTypes="1" containsNumber="1" containsInteger="1" minValue="1" maxValue="7"/>
    </cacheField>
    <cacheField name="Question 16.2" numFmtId="0">
      <sharedItems containsBlank="1" containsMixedTypes="1" containsNumber="1" containsInteger="1" minValue="1" maxValue="7"/>
    </cacheField>
    <cacheField name="Question 16.3" numFmtId="0">
      <sharedItems containsBlank="1" containsMixedTypes="1" containsNumber="1" containsInteger="1" minValue="1" maxValue="7"/>
    </cacheField>
    <cacheField name="Question 17" numFmtId="0">
      <sharedItems containsBlank="1" containsMixedTypes="1" containsNumber="1" containsInteger="1" minValue="1" maxValue="8"/>
    </cacheField>
    <cacheField name="Question 18" numFmtId="0">
      <sharedItems containsBlank="1" containsMixedTypes="1" containsNumber="1" containsInteger="1" minValue="1" maxValue="4"/>
    </cacheField>
    <cacheField name="Question 19" numFmtId="0">
      <sharedItems containsBlank="1" containsMixedTypes="1" containsNumber="1" containsInteger="1" minValue="1" maxValue="8"/>
    </cacheField>
    <cacheField name="Question 20.1" numFmtId="0">
      <sharedItems containsBlank="1" containsMixedTypes="1" containsNumber="1" containsInteger="1" minValue="1" maxValue="8"/>
    </cacheField>
    <cacheField name="Question 20.2" numFmtId="0">
      <sharedItems containsBlank="1" containsMixedTypes="1" containsNumber="1" containsInteger="1" minValue="1" maxValue="8"/>
    </cacheField>
    <cacheField name="Question 20.3" numFmtId="0">
      <sharedItems containsBlank="1" containsMixedTypes="1" containsNumber="1" containsInteger="1" minValue="1" maxValue="8"/>
    </cacheField>
    <cacheField name="Question 21" numFmtId="0">
      <sharedItems containsBlank="1" containsMixedTypes="1" containsNumber="1" containsInteger="1" minValue="1" maxValue="4"/>
    </cacheField>
    <cacheField name="Question 21A" numFmtId="0">
      <sharedItems containsBlank="1" containsMixedTypes="1" containsNumber="1" containsInteger="1" minValue="1" maxValue="4"/>
    </cacheField>
    <cacheField name="Question 21Peu" numFmtId="0">
      <sharedItems containsBlank="1"/>
    </cacheField>
    <cacheField name="Question 21Pas" numFmtId="0">
      <sharedItems containsBlank="1"/>
    </cacheField>
    <cacheField name="Question 22.1" numFmtId="0">
      <sharedItems containsBlank="1" containsMixedTypes="1" containsNumber="1" containsInteger="1" minValue="1" maxValue="2"/>
    </cacheField>
    <cacheField name="Question 22.2" numFmtId="0">
      <sharedItems containsBlank="1" containsMixedTypes="1" containsNumber="1" containsInteger="1" minValue="1" maxValue="2"/>
    </cacheField>
    <cacheField name="Question 22.3" numFmtId="0">
      <sharedItems containsBlank="1" containsMixedTypes="1" containsNumber="1" containsInteger="1" minValue="1" maxValue="2"/>
    </cacheField>
    <cacheField name="Question 22.4" numFmtId="0">
      <sharedItems containsBlank="1" containsMixedTypes="1" containsNumber="1" containsInteger="1" minValue="1" maxValue="2"/>
    </cacheField>
    <cacheField name="Question 22.5" numFmtId="0">
      <sharedItems containsBlank="1" containsMixedTypes="1" containsNumber="1" containsInteger="1" minValue="1" maxValue="2"/>
    </cacheField>
    <cacheField name="Question 22.6" numFmtId="0">
      <sharedItems containsBlank="1" containsMixedTypes="1" containsNumber="1" containsInteger="1" minValue="1" maxValue="2"/>
    </cacheField>
    <cacheField name="Question 23" numFmtId="0">
      <sharedItems containsBlank="1" containsMixedTypes="1" containsNumber="1" containsInteger="1" minValue="1" maxValue="2"/>
    </cacheField>
    <cacheField name="Question 24" numFmtId="0">
      <sharedItems containsBlank="1" containsMixedTypes="1" containsNumber="1" containsInteger="1" minValue="1" maxValue="2"/>
    </cacheField>
    <cacheField name="Question 25" numFmtId="0">
      <sharedItems containsBlank="1" containsMixedTypes="1" containsNumber="1" containsInteger="1" minValue="1" maxValue="4"/>
    </cacheField>
    <cacheField name="Question 25A" numFmtId="0">
      <sharedItems containsBlank="1" containsMixedTypes="1" containsNumber="1" containsInteger="1" minValue="1" maxValue="98"/>
    </cacheField>
    <cacheField name="Question 25Autre" numFmtId="0">
      <sharedItems containsBlank="1"/>
    </cacheField>
    <cacheField name="Question 26" numFmtId="0">
      <sharedItems containsBlank="1" containsMixedTypes="1" containsNumber="1" containsInteger="1" minValue="1" maxValue="2"/>
    </cacheField>
    <cacheField name="Question 26A" numFmtId="0">
      <sharedItems containsBlank="1" containsMixedTypes="1" containsNumber="1" containsInteger="1" minValue="1" maxValue="4"/>
    </cacheField>
    <cacheField name="Question 26B" numFmtId="0">
      <sharedItems containsBlank="1" containsMixedTypes="1" containsNumber="1" containsInteger="1" minValue="1" maxValue="98"/>
    </cacheField>
    <cacheField name="Question 26Autre" numFmtId="0">
      <sharedItems containsBlank="1"/>
    </cacheField>
    <cacheField name="Question 27" numFmtId="0">
      <sharedItems containsBlank="1" containsMixedTypes="1" containsNumber="1" containsInteger="1" minValue="1" maxValue="8"/>
    </cacheField>
    <cacheField name="Question 28" numFmtId="0">
      <sharedItems containsBlank="1" containsMixedTypes="1" containsNumber="1" containsInteger="1" minValue="1" maxValue="4"/>
    </cacheField>
    <cacheField name="Question 29" numFmtId="0">
      <sharedItems containsBlank="1" containsMixedTypes="1" containsNumber="1" containsInteger="1" minValue="1" maxValue="5"/>
    </cacheField>
    <cacheField name="Question 30" numFmtId="0">
      <sharedItems containsBlank="1" containsMixedTypes="1" containsNumber="1" containsInteger="1" minValue="1" maxValue="2" count="4">
        <s v="Êtes-vous :"/>
        <n v="1"/>
        <n v="2"/>
        <m/>
      </sharedItems>
    </cacheField>
    <cacheField name="Question 31" numFmtId="0">
      <sharedItems containsBlank="1" containsMixedTypes="1" containsNumber="1" containsInteger="1" minValue="1946" maxValue="1994"/>
    </cacheField>
    <cacheField name="Question 32" numFmtId="0">
      <sharedItems containsBlank="1" containsMixedTypes="1" containsNumber="1" containsInteger="1" minValue="1" maxValue="3"/>
    </cacheField>
    <cacheField name="Question 32 Autre" numFmtId="0">
      <sharedItems containsBlank="1"/>
    </cacheField>
    <cacheField name="Question 33" numFmtId="0">
      <sharedItems containsBlank="1" containsMixedTypes="1" containsNumber="1" containsInteger="1" minValue="1" maxValue="7"/>
    </cacheField>
    <cacheField name="Question 33 Autre" numFmtId="0">
      <sharedItems containsBlank="1"/>
    </cacheField>
    <cacheField name="Question 34" numFmtId="0">
      <sharedItems containsBlank="1" containsMixedTypes="1" containsNumber="1" containsInteger="1" minValue="1" maxValue="6"/>
    </cacheField>
    <cacheField name="Question 34 Autre" numFmtId="0">
      <sharedItems containsBlank="1"/>
    </cacheField>
    <cacheField name="Question 35" numFmtId="0">
      <sharedItems containsBlank="1" containsMixedTypes="1" containsNumber="1" containsInteger="1" minValue="1" maxValue="4"/>
    </cacheField>
    <cacheField name="Question 35 Autre" numFmtId="0">
      <sharedItems containsBlank="1"/>
    </cacheField>
    <cacheField name="Question 36" numFmtId="0">
      <sharedItems containsBlank="1" containsMixedTypes="1" containsNumber="1" containsInteger="1" minValue="1" maxValue="4"/>
    </cacheField>
    <cacheField name="Répondant" numFmtId="0">
      <sharedItems containsString="0" containsBlank="1" containsNumber="1" containsInteger="1" minValue="1" maxValue="1"/>
    </cacheField>
    <cacheField name="Calcul de l'âge" numFmtId="0">
      <sharedItems containsString="0" containsBlank="1" containsNumber="1" containsInteger="1" minValue="19" maxValue="2013"/>
    </cacheField>
    <cacheField name="L'âge regrouper" numFmtId="0">
      <sharedItems containsString="0" containsBlank="1" containsNumber="1" containsInteger="1" minValue="1" maxValue="4"/>
    </cacheField>
    <cacheField name="Calcul vivre seul (MS)" numFmtId="0">
      <sharedItems containsString="0" containsBlank="1" containsNumber="1" containsInteger="1" minValue="1" maxValue="3"/>
    </cacheField>
    <cacheField name="Calcul ménage (M)" numFmtId="0">
      <sharedItems containsString="0" containsBlank="1" containsNumber="1" containsInteger="1" minValue="1" maxValue="5"/>
    </cacheField>
    <cacheField name="Calcul enfant (ME)" numFmtId="0">
      <sharedItems containsString="0" containsBlank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8.xml><?xml version="1.0" encoding="utf-8"?>
<pivotCacheDefinition xmlns="http://schemas.openxmlformats.org/spreadsheetml/2006/main" xmlns:r="http://schemas.openxmlformats.org/officeDocument/2006/relationships" r:id="rId1" refreshedBy="Tesmel01" refreshedDate="41416.545150231483" createdVersion="3" refreshedVersion="3" minRefreshableVersion="3" recordCount="632">
  <cacheSource type="worksheet">
    <worksheetSource ref="G1:CQ1048576" sheet="Grille de saisie"/>
  </cacheSource>
  <cacheFields count="89">
    <cacheField name="Question 4" numFmtId="0">
      <sharedItems containsBlank="1" containsMixedTypes="1" containsNumber="1" containsInteger="1" minValue="1" maxValue="4" count="6">
        <s v="Vous arrive-t-il de ne pas vous sentir personnellement en sécurité dans votre quartier ?"/>
        <n v="1"/>
        <n v="2"/>
        <n v="3"/>
        <n v="4"/>
        <m/>
      </sharedItems>
    </cacheField>
    <cacheField name="Question 5.1" numFmtId="0">
      <sharedItems containsBlank="1" containsMixedTypes="1" containsNumber="1" containsInteger="1" minValue="1" maxValue="7"/>
    </cacheField>
    <cacheField name="Question 5.2" numFmtId="0">
      <sharedItems containsBlank="1" containsMixedTypes="1" containsNumber="1" containsInteger="1" minValue="1" maxValue="7"/>
    </cacheField>
    <cacheField name="Question 5.3" numFmtId="0">
      <sharedItems containsBlank="1" containsMixedTypes="1" containsNumber="1" containsInteger="1" minValue="1" maxValue="7"/>
    </cacheField>
    <cacheField name="Question 6" numFmtId="0">
      <sharedItems containsBlank="1" containsMixedTypes="1" containsNumber="1" containsInteger="1" minValue="1" maxValue="5"/>
    </cacheField>
    <cacheField name="Question 7" numFmtId="0">
      <sharedItems containsBlank="1" containsMixedTypes="1" containsNumber="1" containsInteger="1" minValue="1" maxValue="5"/>
    </cacheField>
    <cacheField name="Question 8.1" numFmtId="0">
      <sharedItems containsBlank="1" containsMixedTypes="1" containsNumber="1" containsInteger="1" minValue="1" maxValue="4"/>
    </cacheField>
    <cacheField name="Question 8.2" numFmtId="0">
      <sharedItems containsBlank="1" containsMixedTypes="1" containsNumber="1" containsInteger="1" minValue="1" maxValue="4"/>
    </cacheField>
    <cacheField name="Question 8.3" numFmtId="0">
      <sharedItems containsBlank="1" containsMixedTypes="1" containsNumber="1" containsInteger="1" minValue="1" maxValue="4"/>
    </cacheField>
    <cacheField name="Question 8.4" numFmtId="0">
      <sharedItems containsBlank="1" containsMixedTypes="1" containsNumber="1" containsInteger="1" minValue="1" maxValue="4"/>
    </cacheField>
    <cacheField name="Question 8.5" numFmtId="0">
      <sharedItems containsBlank="1" containsMixedTypes="1" containsNumber="1" containsInteger="1" minValue="1" maxValue="4"/>
    </cacheField>
    <cacheField name="Question 8.6" numFmtId="0">
      <sharedItems containsBlank="1" containsMixedTypes="1" containsNumber="1" containsInteger="1" minValue="1" maxValue="4"/>
    </cacheField>
    <cacheField name="Question 8.7" numFmtId="0">
      <sharedItems containsBlank="1" containsMixedTypes="1" containsNumber="1" containsInteger="1" minValue="1" maxValue="4"/>
    </cacheField>
    <cacheField name="Question 8.8" numFmtId="0">
      <sharedItems containsBlank="1" containsMixedTypes="1" containsNumber="1" containsInteger="1" minValue="1" maxValue="4"/>
    </cacheField>
    <cacheField name="Question 9.1" numFmtId="0">
      <sharedItems containsBlank="1" containsMixedTypes="1" containsNumber="1" containsInteger="1" minValue="1" maxValue="4"/>
    </cacheField>
    <cacheField name="Question 9.2" numFmtId="0">
      <sharedItems containsBlank="1" containsMixedTypes="1" containsNumber="1" containsInteger="1" minValue="1" maxValue="4"/>
    </cacheField>
    <cacheField name="Question 10.1" numFmtId="0">
      <sharedItems containsBlank="1" containsMixedTypes="1" containsNumber="1" containsInteger="1" minValue="1" maxValue="4"/>
    </cacheField>
    <cacheField name="Question 10.2" numFmtId="0">
      <sharedItems containsBlank="1" containsMixedTypes="1" containsNumber="1" containsInteger="1" minValue="1" maxValue="4"/>
    </cacheField>
    <cacheField name="Question 11" numFmtId="0">
      <sharedItems containsBlank="1" containsMixedTypes="1" containsNumber="1" containsInteger="1" minValue="1" maxValue="2"/>
    </cacheField>
    <cacheField name="Question 12" numFmtId="0">
      <sharedItems containsBlank="1" containsMixedTypes="1" containsNumber="1" containsInteger="1" minValue="1" maxValue="2"/>
    </cacheField>
    <cacheField name="Question 12A1" numFmtId="0">
      <sharedItems containsBlank="1" containsMixedTypes="1" containsNumber="1" containsInteger="1" minValue="1" maxValue="1"/>
    </cacheField>
    <cacheField name="Question 12A2" numFmtId="0">
      <sharedItems containsBlank="1" containsMixedTypes="1" containsNumber="1" containsInteger="1" minValue="1" maxValue="1"/>
    </cacheField>
    <cacheField name="Question 12A3" numFmtId="0">
      <sharedItems containsBlank="1" containsMixedTypes="1" containsNumber="1" containsInteger="1" minValue="1" maxValue="1"/>
    </cacheField>
    <cacheField name="Question 12A4" numFmtId="0">
      <sharedItems containsBlank="1" containsMixedTypes="1" containsNumber="1" containsInteger="1" minValue="1" maxValue="1"/>
    </cacheField>
    <cacheField name="Question 12A5" numFmtId="0">
      <sharedItems containsBlank="1" containsMixedTypes="1" containsNumber="1" containsInteger="1" minValue="1" maxValue="1"/>
    </cacheField>
    <cacheField name="Question 12A6" numFmtId="0">
      <sharedItems containsBlank="1" containsMixedTypes="1" containsNumber="1" containsInteger="1" minValue="1" maxValue="1"/>
    </cacheField>
    <cacheField name="Question 12A7" numFmtId="0">
      <sharedItems containsBlank="1" containsMixedTypes="1" containsNumber="1" containsInteger="1" minValue="1" maxValue="1"/>
    </cacheField>
    <cacheField name="Question 12A8" numFmtId="0">
      <sharedItems containsBlank="1" containsMixedTypes="1" containsNumber="1" containsInteger="1" minValue="1" maxValue="1"/>
    </cacheField>
    <cacheField name="Question 12A9" numFmtId="0">
      <sharedItems containsBlank="1"/>
    </cacheField>
    <cacheField name="Question 13" numFmtId="0">
      <sharedItems containsBlank="1" containsMixedTypes="1" containsNumber="1" containsInteger="1" minValue="1" maxValue="2"/>
    </cacheField>
    <cacheField name="Question 13A" numFmtId="0">
      <sharedItems containsBlank="1"/>
    </cacheField>
    <cacheField name="Question 14.1" numFmtId="0">
      <sharedItems containsBlank="1" containsMixedTypes="1" containsNumber="1" containsInteger="1" minValue="1" maxValue="2"/>
    </cacheField>
    <cacheField name="Question 14.2" numFmtId="0">
      <sharedItems containsBlank="1" containsMixedTypes="1" containsNumber="1" containsInteger="1" minValue="1" maxValue="2"/>
    </cacheField>
    <cacheField name="Question 14.3" numFmtId="0">
      <sharedItems containsBlank="1" containsMixedTypes="1" containsNumber="1" containsInteger="1" minValue="1" maxValue="2"/>
    </cacheField>
    <cacheField name="Question 14.4" numFmtId="0">
      <sharedItems containsBlank="1" containsMixedTypes="1" containsNumber="1" containsInteger="1" minValue="1" maxValue="2"/>
    </cacheField>
    <cacheField name="Question 14.5" numFmtId="0">
      <sharedItems containsBlank="1" containsMixedTypes="1" containsNumber="1" containsInteger="1" minValue="1" maxValue="2"/>
    </cacheField>
    <cacheField name="Question 14.6" numFmtId="0">
      <sharedItems containsBlank="1" containsMixedTypes="1" containsNumber="1" containsInteger="1" minValue="1" maxValue="2"/>
    </cacheField>
    <cacheField name="Question 14.7" numFmtId="0">
      <sharedItems containsBlank="1" containsMixedTypes="1" containsNumber="1" containsInteger="1" minValue="1" maxValue="2"/>
    </cacheField>
    <cacheField name="Question 14.8" numFmtId="0">
      <sharedItems containsBlank="1" containsMixedTypes="1" containsNumber="1" containsInteger="1" minValue="1" maxValue="2"/>
    </cacheField>
    <cacheField name="Question 15" numFmtId="0">
      <sharedItems containsBlank="1" containsMixedTypes="1" containsNumber="1" containsInteger="1" minValue="1" maxValue="2"/>
    </cacheField>
    <cacheField name="Question 15A" numFmtId="0">
      <sharedItems containsBlank="1" containsMixedTypes="1" containsNumber="1" containsInteger="1" minValue="1" maxValue="2"/>
    </cacheField>
    <cacheField name="Question 16.1" numFmtId="0">
      <sharedItems containsBlank="1" containsMixedTypes="1" containsNumber="1" containsInteger="1" minValue="1" maxValue="7"/>
    </cacheField>
    <cacheField name="Question 16.2" numFmtId="0">
      <sharedItems containsBlank="1" containsMixedTypes="1" containsNumber="1" containsInteger="1" minValue="1" maxValue="7"/>
    </cacheField>
    <cacheField name="Question 16.3" numFmtId="0">
      <sharedItems containsBlank="1" containsMixedTypes="1" containsNumber="1" containsInteger="1" minValue="1" maxValue="7"/>
    </cacheField>
    <cacheField name="Question 17" numFmtId="0">
      <sharedItems containsBlank="1" containsMixedTypes="1" containsNumber="1" containsInteger="1" minValue="1" maxValue="8"/>
    </cacheField>
    <cacheField name="Question 18" numFmtId="0">
      <sharedItems containsBlank="1" containsMixedTypes="1" containsNumber="1" containsInteger="1" minValue="1" maxValue="4"/>
    </cacheField>
    <cacheField name="Question 19" numFmtId="0">
      <sharedItems containsBlank="1" containsMixedTypes="1" containsNumber="1" containsInteger="1" minValue="1" maxValue="8"/>
    </cacheField>
    <cacheField name="Question 20.1" numFmtId="0">
      <sharedItems containsBlank="1" containsMixedTypes="1" containsNumber="1" containsInteger="1" minValue="1" maxValue="8"/>
    </cacheField>
    <cacheField name="Question 20.2" numFmtId="0">
      <sharedItems containsBlank="1" containsMixedTypes="1" containsNumber="1" containsInteger="1" minValue="1" maxValue="8"/>
    </cacheField>
    <cacheField name="Question 20.3" numFmtId="0">
      <sharedItems containsBlank="1" containsMixedTypes="1" containsNumber="1" containsInteger="1" minValue="1" maxValue="8"/>
    </cacheField>
    <cacheField name="Question 21" numFmtId="0">
      <sharedItems containsBlank="1" containsMixedTypes="1" containsNumber="1" containsInteger="1" minValue="1" maxValue="4"/>
    </cacheField>
    <cacheField name="Question 21A" numFmtId="0">
      <sharedItems containsBlank="1" containsMixedTypes="1" containsNumber="1" containsInteger="1" minValue="1" maxValue="4"/>
    </cacheField>
    <cacheField name="Question 21Peu" numFmtId="0">
      <sharedItems containsBlank="1"/>
    </cacheField>
    <cacheField name="Question 21Pas" numFmtId="0">
      <sharedItems containsBlank="1"/>
    </cacheField>
    <cacheField name="Question 22.1" numFmtId="0">
      <sharedItems containsBlank="1" containsMixedTypes="1" containsNumber="1" containsInteger="1" minValue="1" maxValue="2"/>
    </cacheField>
    <cacheField name="Question 22.2" numFmtId="0">
      <sharedItems containsBlank="1" containsMixedTypes="1" containsNumber="1" containsInteger="1" minValue="1" maxValue="2"/>
    </cacheField>
    <cacheField name="Question 22.3" numFmtId="0">
      <sharedItems containsBlank="1" containsMixedTypes="1" containsNumber="1" containsInteger="1" minValue="1" maxValue="2"/>
    </cacheField>
    <cacheField name="Question 22.4" numFmtId="0">
      <sharedItems containsBlank="1" containsMixedTypes="1" containsNumber="1" containsInteger="1" minValue="1" maxValue="2"/>
    </cacheField>
    <cacheField name="Question 22.5" numFmtId="0">
      <sharedItems containsBlank="1" containsMixedTypes="1" containsNumber="1" containsInteger="1" minValue="1" maxValue="2"/>
    </cacheField>
    <cacheField name="Question 22.6" numFmtId="0">
      <sharedItems containsBlank="1" containsMixedTypes="1" containsNumber="1" containsInteger="1" minValue="1" maxValue="2"/>
    </cacheField>
    <cacheField name="Question 23" numFmtId="0">
      <sharedItems containsBlank="1" containsMixedTypes="1" containsNumber="1" containsInteger="1" minValue="1" maxValue="2"/>
    </cacheField>
    <cacheField name="Question 24" numFmtId="0">
      <sharedItems containsBlank="1" containsMixedTypes="1" containsNumber="1" containsInteger="1" minValue="1" maxValue="2"/>
    </cacheField>
    <cacheField name="Question 25" numFmtId="0">
      <sharedItems containsBlank="1" containsMixedTypes="1" containsNumber="1" containsInteger="1" minValue="1" maxValue="4"/>
    </cacheField>
    <cacheField name="Question 25A" numFmtId="0">
      <sharedItems containsBlank="1" containsMixedTypes="1" containsNumber="1" containsInteger="1" minValue="1" maxValue="98"/>
    </cacheField>
    <cacheField name="Question 25Autre" numFmtId="0">
      <sharedItems containsBlank="1"/>
    </cacheField>
    <cacheField name="Question 26" numFmtId="0">
      <sharedItems containsBlank="1" containsMixedTypes="1" containsNumber="1" containsInteger="1" minValue="1" maxValue="2"/>
    </cacheField>
    <cacheField name="Question 26A" numFmtId="0">
      <sharedItems containsBlank="1" containsMixedTypes="1" containsNumber="1" containsInteger="1" minValue="1" maxValue="4"/>
    </cacheField>
    <cacheField name="Question 26B" numFmtId="0">
      <sharedItems containsBlank="1" containsMixedTypes="1" containsNumber="1" containsInteger="1" minValue="1" maxValue="98"/>
    </cacheField>
    <cacheField name="Question 26Autre" numFmtId="0">
      <sharedItems containsBlank="1"/>
    </cacheField>
    <cacheField name="Question 27" numFmtId="0">
      <sharedItems containsBlank="1" containsMixedTypes="1" containsNumber="1" containsInteger="1" minValue="1" maxValue="8"/>
    </cacheField>
    <cacheField name="Question 28" numFmtId="0">
      <sharedItems containsBlank="1" containsMixedTypes="1" containsNumber="1" containsInteger="1" minValue="1" maxValue="4"/>
    </cacheField>
    <cacheField name="Question 29" numFmtId="0">
      <sharedItems containsBlank="1" containsMixedTypes="1" containsNumber="1" containsInteger="1" minValue="1" maxValue="5"/>
    </cacheField>
    <cacheField name="Question 30" numFmtId="0">
      <sharedItems containsBlank="1" containsMixedTypes="1" containsNumber="1" containsInteger="1" minValue="1" maxValue="2"/>
    </cacheField>
    <cacheField name="Question 31" numFmtId="0">
      <sharedItems containsBlank="1" containsMixedTypes="1" containsNumber="1" containsInteger="1" minValue="1946" maxValue="1994"/>
    </cacheField>
    <cacheField name="Question 32" numFmtId="0">
      <sharedItems containsBlank="1" containsMixedTypes="1" containsNumber="1" containsInteger="1" minValue="1" maxValue="3"/>
    </cacheField>
    <cacheField name="Question 32 Autre" numFmtId="0">
      <sharedItems containsBlank="1"/>
    </cacheField>
    <cacheField name="Question 33" numFmtId="0">
      <sharedItems containsBlank="1" containsMixedTypes="1" containsNumber="1" containsInteger="1" minValue="1" maxValue="7"/>
    </cacheField>
    <cacheField name="Question 33 Autre" numFmtId="0">
      <sharedItems containsBlank="1"/>
    </cacheField>
    <cacheField name="Question 34" numFmtId="0">
      <sharedItems containsBlank="1" containsMixedTypes="1" containsNumber="1" containsInteger="1" minValue="1" maxValue="6"/>
    </cacheField>
    <cacheField name="Question 34 Autre" numFmtId="0">
      <sharedItems containsBlank="1"/>
    </cacheField>
    <cacheField name="Question 35" numFmtId="0">
      <sharedItems containsBlank="1" containsMixedTypes="1" containsNumber="1" containsInteger="1" minValue="1" maxValue="4"/>
    </cacheField>
    <cacheField name="Question 35 Autre" numFmtId="0">
      <sharedItems containsBlank="1"/>
    </cacheField>
    <cacheField name="Question 36" numFmtId="0">
      <sharedItems containsBlank="1" containsMixedTypes="1" containsNumber="1" containsInteger="1" minValue="1" maxValue="4"/>
    </cacheField>
    <cacheField name="Répondant" numFmtId="0">
      <sharedItems containsString="0" containsBlank="1" containsNumber="1" containsInteger="1" minValue="1" maxValue="1"/>
    </cacheField>
    <cacheField name="Calcul de l'âge" numFmtId="0">
      <sharedItems containsString="0" containsBlank="1" containsNumber="1" containsInteger="1" minValue="19" maxValue="2013"/>
    </cacheField>
    <cacheField name="L'âge regrouper" numFmtId="0">
      <sharedItems containsString="0" containsBlank="1" containsNumber="1" containsInteger="1" minValue="1" maxValue="4" count="5">
        <m/>
        <n v="1"/>
        <n v="2"/>
        <n v="3"/>
        <n v="4"/>
      </sharedItems>
    </cacheField>
    <cacheField name="Calcul vivre seul (MS)" numFmtId="0">
      <sharedItems containsString="0" containsBlank="1" containsNumber="1" containsInteger="1" minValue="1" maxValue="3"/>
    </cacheField>
    <cacheField name="Calcul ménage (M)" numFmtId="0">
      <sharedItems containsString="0" containsBlank="1" containsNumber="1" containsInteger="1" minValue="1" maxValue="5"/>
    </cacheField>
    <cacheField name="Calcul enfant (ME)" numFmtId="0">
      <sharedItems containsString="0" containsBlank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9.xml><?xml version="1.0" encoding="utf-8"?>
<pivotCacheDefinition xmlns="http://schemas.openxmlformats.org/spreadsheetml/2006/main" xmlns:r="http://schemas.openxmlformats.org/officeDocument/2006/relationships" r:id="rId1" refreshedBy="Tesmel01" refreshedDate="41416.545150694445" createdVersion="3" refreshedVersion="3" minRefreshableVersion="3" recordCount="632">
  <cacheSource type="worksheet">
    <worksheetSource ref="H1:CQ1048576" sheet="Grille de saisie"/>
  </cacheSource>
  <cacheFields count="88">
    <cacheField name="Question 5.1" numFmtId="0">
      <sharedItems containsBlank="1" containsMixedTypes="1" containsNumber="1" containsInteger="1" minValue="1" maxValue="7" count="7">
        <s v="Dites-nous à combien vous évaluez le risque d'être personnellement intimidé(e) ou agressé(e) dans votre quartier : Lorsque vous sortez seul(e) PENDANT LE JOUR, ce risque est : "/>
        <n v="7"/>
        <n v="4"/>
        <n v="2"/>
        <n v="1"/>
        <n v="3"/>
        <m/>
      </sharedItems>
    </cacheField>
    <cacheField name="Question 5.2" numFmtId="0">
      <sharedItems containsBlank="1" containsMixedTypes="1" containsNumber="1" containsInteger="1" minValue="1" maxValue="7"/>
    </cacheField>
    <cacheField name="Question 5.3" numFmtId="0">
      <sharedItems containsBlank="1" containsMixedTypes="1" containsNumber="1" containsInteger="1" minValue="1" maxValue="7"/>
    </cacheField>
    <cacheField name="Question 6" numFmtId="0">
      <sharedItems containsBlank="1" containsMixedTypes="1" containsNumber="1" containsInteger="1" minValue="1" maxValue="5"/>
    </cacheField>
    <cacheField name="Question 7" numFmtId="0">
      <sharedItems containsBlank="1" containsMixedTypes="1" containsNumber="1" containsInteger="1" minValue="1" maxValue="5"/>
    </cacheField>
    <cacheField name="Question 8.1" numFmtId="0">
      <sharedItems containsBlank="1" containsMixedTypes="1" containsNumber="1" containsInteger="1" minValue="1" maxValue="4"/>
    </cacheField>
    <cacheField name="Question 8.2" numFmtId="0">
      <sharedItems containsBlank="1" containsMixedTypes="1" containsNumber="1" containsInteger="1" minValue="1" maxValue="4"/>
    </cacheField>
    <cacheField name="Question 8.3" numFmtId="0">
      <sharedItems containsBlank="1" containsMixedTypes="1" containsNumber="1" containsInteger="1" minValue="1" maxValue="4"/>
    </cacheField>
    <cacheField name="Question 8.4" numFmtId="0">
      <sharedItems containsBlank="1" containsMixedTypes="1" containsNumber="1" containsInteger="1" minValue="1" maxValue="4"/>
    </cacheField>
    <cacheField name="Question 8.5" numFmtId="0">
      <sharedItems containsBlank="1" containsMixedTypes="1" containsNumber="1" containsInteger="1" minValue="1" maxValue="4"/>
    </cacheField>
    <cacheField name="Question 8.6" numFmtId="0">
      <sharedItems containsBlank="1" containsMixedTypes="1" containsNumber="1" containsInteger="1" minValue="1" maxValue="4"/>
    </cacheField>
    <cacheField name="Question 8.7" numFmtId="0">
      <sharedItems containsBlank="1" containsMixedTypes="1" containsNumber="1" containsInteger="1" minValue="1" maxValue="4"/>
    </cacheField>
    <cacheField name="Question 8.8" numFmtId="0">
      <sharedItems containsBlank="1" containsMixedTypes="1" containsNumber="1" containsInteger="1" minValue="1" maxValue="4"/>
    </cacheField>
    <cacheField name="Question 9.1" numFmtId="0">
      <sharedItems containsBlank="1" containsMixedTypes="1" containsNumber="1" containsInteger="1" minValue="1" maxValue="4"/>
    </cacheField>
    <cacheField name="Question 9.2" numFmtId="0">
      <sharedItems containsBlank="1" containsMixedTypes="1" containsNumber="1" containsInteger="1" minValue="1" maxValue="4"/>
    </cacheField>
    <cacheField name="Question 10.1" numFmtId="0">
      <sharedItems containsBlank="1" containsMixedTypes="1" containsNumber="1" containsInteger="1" minValue="1" maxValue="4"/>
    </cacheField>
    <cacheField name="Question 10.2" numFmtId="0">
      <sharedItems containsBlank="1" containsMixedTypes="1" containsNumber="1" containsInteger="1" minValue="1" maxValue="4"/>
    </cacheField>
    <cacheField name="Question 11" numFmtId="0">
      <sharedItems containsBlank="1" containsMixedTypes="1" containsNumber="1" containsInteger="1" minValue="1" maxValue="2"/>
    </cacheField>
    <cacheField name="Question 12" numFmtId="0">
      <sharedItems containsBlank="1" containsMixedTypes="1" containsNumber="1" containsInteger="1" minValue="1" maxValue="2"/>
    </cacheField>
    <cacheField name="Question 12A1" numFmtId="0">
      <sharedItems containsBlank="1" containsMixedTypes="1" containsNumber="1" containsInteger="1" minValue="1" maxValue="1"/>
    </cacheField>
    <cacheField name="Question 12A2" numFmtId="0">
      <sharedItems containsBlank="1" containsMixedTypes="1" containsNumber="1" containsInteger="1" minValue="1" maxValue="1"/>
    </cacheField>
    <cacheField name="Question 12A3" numFmtId="0">
      <sharedItems containsBlank="1" containsMixedTypes="1" containsNumber="1" containsInteger="1" minValue="1" maxValue="1"/>
    </cacheField>
    <cacheField name="Question 12A4" numFmtId="0">
      <sharedItems containsBlank="1" containsMixedTypes="1" containsNumber="1" containsInteger="1" minValue="1" maxValue="1"/>
    </cacheField>
    <cacheField name="Question 12A5" numFmtId="0">
      <sharedItems containsBlank="1" containsMixedTypes="1" containsNumber="1" containsInteger="1" minValue="1" maxValue="1"/>
    </cacheField>
    <cacheField name="Question 12A6" numFmtId="0">
      <sharedItems containsBlank="1" containsMixedTypes="1" containsNumber="1" containsInteger="1" minValue="1" maxValue="1"/>
    </cacheField>
    <cacheField name="Question 12A7" numFmtId="0">
      <sharedItems containsBlank="1" containsMixedTypes="1" containsNumber="1" containsInteger="1" minValue="1" maxValue="1"/>
    </cacheField>
    <cacheField name="Question 12A8" numFmtId="0">
      <sharedItems containsBlank="1" containsMixedTypes="1" containsNumber="1" containsInteger="1" minValue="1" maxValue="1"/>
    </cacheField>
    <cacheField name="Question 12A9" numFmtId="0">
      <sharedItems containsBlank="1"/>
    </cacheField>
    <cacheField name="Question 13" numFmtId="0">
      <sharedItems containsBlank="1" containsMixedTypes="1" containsNumber="1" containsInteger="1" minValue="1" maxValue="2"/>
    </cacheField>
    <cacheField name="Question 13A" numFmtId="0">
      <sharedItems containsBlank="1"/>
    </cacheField>
    <cacheField name="Question 14.1" numFmtId="0">
      <sharedItems containsBlank="1" containsMixedTypes="1" containsNumber="1" containsInteger="1" minValue="1" maxValue="2"/>
    </cacheField>
    <cacheField name="Question 14.2" numFmtId="0">
      <sharedItems containsBlank="1" containsMixedTypes="1" containsNumber="1" containsInteger="1" minValue="1" maxValue="2"/>
    </cacheField>
    <cacheField name="Question 14.3" numFmtId="0">
      <sharedItems containsBlank="1" containsMixedTypes="1" containsNumber="1" containsInteger="1" minValue="1" maxValue="2"/>
    </cacheField>
    <cacheField name="Question 14.4" numFmtId="0">
      <sharedItems containsBlank="1" containsMixedTypes="1" containsNumber="1" containsInteger="1" minValue="1" maxValue="2"/>
    </cacheField>
    <cacheField name="Question 14.5" numFmtId="0">
      <sharedItems containsBlank="1" containsMixedTypes="1" containsNumber="1" containsInteger="1" minValue="1" maxValue="2"/>
    </cacheField>
    <cacheField name="Question 14.6" numFmtId="0">
      <sharedItems containsBlank="1" containsMixedTypes="1" containsNumber="1" containsInteger="1" minValue="1" maxValue="2"/>
    </cacheField>
    <cacheField name="Question 14.7" numFmtId="0">
      <sharedItems containsBlank="1" containsMixedTypes="1" containsNumber="1" containsInteger="1" minValue="1" maxValue="2"/>
    </cacheField>
    <cacheField name="Question 14.8" numFmtId="0">
      <sharedItems containsBlank="1" containsMixedTypes="1" containsNumber="1" containsInteger="1" minValue="1" maxValue="2"/>
    </cacheField>
    <cacheField name="Question 15" numFmtId="0">
      <sharedItems containsBlank="1" containsMixedTypes="1" containsNumber="1" containsInteger="1" minValue="1" maxValue="2"/>
    </cacheField>
    <cacheField name="Question 15A" numFmtId="0">
      <sharedItems containsBlank="1" containsMixedTypes="1" containsNumber="1" containsInteger="1" minValue="1" maxValue="2"/>
    </cacheField>
    <cacheField name="Question 16.1" numFmtId="0">
      <sharedItems containsBlank="1" containsMixedTypes="1" containsNumber="1" containsInteger="1" minValue="1" maxValue="7"/>
    </cacheField>
    <cacheField name="Question 16.2" numFmtId="0">
      <sharedItems containsBlank="1" containsMixedTypes="1" containsNumber="1" containsInteger="1" minValue="1" maxValue="7"/>
    </cacheField>
    <cacheField name="Question 16.3" numFmtId="0">
      <sharedItems containsBlank="1" containsMixedTypes="1" containsNumber="1" containsInteger="1" minValue="1" maxValue="7"/>
    </cacheField>
    <cacheField name="Question 17" numFmtId="0">
      <sharedItems containsBlank="1" containsMixedTypes="1" containsNumber="1" containsInteger="1" minValue="1" maxValue="8"/>
    </cacheField>
    <cacheField name="Question 18" numFmtId="0">
      <sharedItems containsBlank="1" containsMixedTypes="1" containsNumber="1" containsInteger="1" minValue="1" maxValue="4"/>
    </cacheField>
    <cacheField name="Question 19" numFmtId="0">
      <sharedItems containsBlank="1" containsMixedTypes="1" containsNumber="1" containsInteger="1" minValue="1" maxValue="8"/>
    </cacheField>
    <cacheField name="Question 20.1" numFmtId="0">
      <sharedItems containsBlank="1" containsMixedTypes="1" containsNumber="1" containsInteger="1" minValue="1" maxValue="8"/>
    </cacheField>
    <cacheField name="Question 20.2" numFmtId="0">
      <sharedItems containsBlank="1" containsMixedTypes="1" containsNumber="1" containsInteger="1" minValue="1" maxValue="8"/>
    </cacheField>
    <cacheField name="Question 20.3" numFmtId="0">
      <sharedItems containsBlank="1" containsMixedTypes="1" containsNumber="1" containsInteger="1" minValue="1" maxValue="8"/>
    </cacheField>
    <cacheField name="Question 21" numFmtId="0">
      <sharedItems containsBlank="1" containsMixedTypes="1" containsNumber="1" containsInteger="1" minValue="1" maxValue="4"/>
    </cacheField>
    <cacheField name="Question 21A" numFmtId="0">
      <sharedItems containsBlank="1" containsMixedTypes="1" containsNumber="1" containsInteger="1" minValue="1" maxValue="4"/>
    </cacheField>
    <cacheField name="Question 21Peu" numFmtId="0">
      <sharedItems containsBlank="1"/>
    </cacheField>
    <cacheField name="Question 21Pas" numFmtId="0">
      <sharedItems containsBlank="1"/>
    </cacheField>
    <cacheField name="Question 22.1" numFmtId="0">
      <sharedItems containsBlank="1" containsMixedTypes="1" containsNumber="1" containsInteger="1" minValue="1" maxValue="2"/>
    </cacheField>
    <cacheField name="Question 22.2" numFmtId="0">
      <sharedItems containsBlank="1" containsMixedTypes="1" containsNumber="1" containsInteger="1" minValue="1" maxValue="2"/>
    </cacheField>
    <cacheField name="Question 22.3" numFmtId="0">
      <sharedItems containsBlank="1" containsMixedTypes="1" containsNumber="1" containsInteger="1" minValue="1" maxValue="2"/>
    </cacheField>
    <cacheField name="Question 22.4" numFmtId="0">
      <sharedItems containsBlank="1" containsMixedTypes="1" containsNumber="1" containsInteger="1" minValue="1" maxValue="2"/>
    </cacheField>
    <cacheField name="Question 22.5" numFmtId="0">
      <sharedItems containsBlank="1" containsMixedTypes="1" containsNumber="1" containsInteger="1" minValue="1" maxValue="2"/>
    </cacheField>
    <cacheField name="Question 22.6" numFmtId="0">
      <sharedItems containsBlank="1" containsMixedTypes="1" containsNumber="1" containsInteger="1" minValue="1" maxValue="2"/>
    </cacheField>
    <cacheField name="Question 23" numFmtId="0">
      <sharedItems containsBlank="1" containsMixedTypes="1" containsNumber="1" containsInteger="1" minValue="1" maxValue="2"/>
    </cacheField>
    <cacheField name="Question 24" numFmtId="0">
      <sharedItems containsBlank="1" containsMixedTypes="1" containsNumber="1" containsInteger="1" minValue="1" maxValue="2"/>
    </cacheField>
    <cacheField name="Question 25" numFmtId="0">
      <sharedItems containsBlank="1" containsMixedTypes="1" containsNumber="1" containsInteger="1" minValue="1" maxValue="4"/>
    </cacheField>
    <cacheField name="Question 25A" numFmtId="0">
      <sharedItems containsBlank="1" containsMixedTypes="1" containsNumber="1" containsInteger="1" minValue="1" maxValue="98"/>
    </cacheField>
    <cacheField name="Question 25Autre" numFmtId="0">
      <sharedItems containsBlank="1"/>
    </cacheField>
    <cacheField name="Question 26" numFmtId="0">
      <sharedItems containsBlank="1" containsMixedTypes="1" containsNumber="1" containsInteger="1" minValue="1" maxValue="2"/>
    </cacheField>
    <cacheField name="Question 26A" numFmtId="0">
      <sharedItems containsBlank="1" containsMixedTypes="1" containsNumber="1" containsInteger="1" minValue="1" maxValue="4"/>
    </cacheField>
    <cacheField name="Question 26B" numFmtId="0">
      <sharedItems containsBlank="1" containsMixedTypes="1" containsNumber="1" containsInteger="1" minValue="1" maxValue="98"/>
    </cacheField>
    <cacheField name="Question 26Autre" numFmtId="0">
      <sharedItems containsBlank="1"/>
    </cacheField>
    <cacheField name="Question 27" numFmtId="0">
      <sharedItems containsBlank="1" containsMixedTypes="1" containsNumber="1" containsInteger="1" minValue="1" maxValue="8"/>
    </cacheField>
    <cacheField name="Question 28" numFmtId="0">
      <sharedItems containsBlank="1" containsMixedTypes="1" containsNumber="1" containsInteger="1" minValue="1" maxValue="4"/>
    </cacheField>
    <cacheField name="Question 29" numFmtId="0">
      <sharedItems containsBlank="1" containsMixedTypes="1" containsNumber="1" containsInteger="1" minValue="1" maxValue="5"/>
    </cacheField>
    <cacheField name="Question 30" numFmtId="0">
      <sharedItems containsBlank="1" containsMixedTypes="1" containsNumber="1" containsInteger="1" minValue="1" maxValue="2" count="4">
        <s v="Êtes-vous :"/>
        <n v="1"/>
        <n v="2"/>
        <m/>
      </sharedItems>
    </cacheField>
    <cacheField name="Question 31" numFmtId="0">
      <sharedItems containsBlank="1" containsMixedTypes="1" containsNumber="1" containsInteger="1" minValue="1946" maxValue="1994"/>
    </cacheField>
    <cacheField name="Question 32" numFmtId="0">
      <sharedItems containsBlank="1" containsMixedTypes="1" containsNumber="1" containsInteger="1" minValue="1" maxValue="3"/>
    </cacheField>
    <cacheField name="Question 32 Autre" numFmtId="0">
      <sharedItems containsBlank="1"/>
    </cacheField>
    <cacheField name="Question 33" numFmtId="0">
      <sharedItems containsBlank="1" containsMixedTypes="1" containsNumber="1" containsInteger="1" minValue="1" maxValue="7"/>
    </cacheField>
    <cacheField name="Question 33 Autre" numFmtId="0">
      <sharedItems containsBlank="1"/>
    </cacheField>
    <cacheField name="Question 34" numFmtId="0">
      <sharedItems containsBlank="1" containsMixedTypes="1" containsNumber="1" containsInteger="1" minValue="1" maxValue="6"/>
    </cacheField>
    <cacheField name="Question 34 Autre" numFmtId="0">
      <sharedItems containsBlank="1"/>
    </cacheField>
    <cacheField name="Question 35" numFmtId="0">
      <sharedItems containsBlank="1" containsMixedTypes="1" containsNumber="1" containsInteger="1" minValue="1" maxValue="4"/>
    </cacheField>
    <cacheField name="Question 35 Autre" numFmtId="0">
      <sharedItems containsBlank="1"/>
    </cacheField>
    <cacheField name="Question 36" numFmtId="0">
      <sharedItems containsBlank="1" containsMixedTypes="1" containsNumber="1" containsInteger="1" minValue="1" maxValue="4"/>
    </cacheField>
    <cacheField name="Répondant" numFmtId="0">
      <sharedItems containsString="0" containsBlank="1" containsNumber="1" containsInteger="1" minValue="1" maxValue="1"/>
    </cacheField>
    <cacheField name="Calcul de l'âge" numFmtId="0">
      <sharedItems containsString="0" containsBlank="1" containsNumber="1" containsInteger="1" minValue="19" maxValue="2013"/>
    </cacheField>
    <cacheField name="L'âge regrouper" numFmtId="0">
      <sharedItems containsString="0" containsBlank="1" containsNumber="1" containsInteger="1" minValue="1" maxValue="4" count="5">
        <m/>
        <n v="1"/>
        <n v="2"/>
        <n v="3"/>
        <n v="4"/>
      </sharedItems>
    </cacheField>
    <cacheField name="Calcul vivre seul (MS)" numFmtId="0">
      <sharedItems containsString="0" containsBlank="1" containsNumber="1" containsInteger="1" minValue="1" maxValue="3"/>
    </cacheField>
    <cacheField name="Calcul ménage (M)" numFmtId="0">
      <sharedItems containsString="0" containsBlank="1" containsNumber="1" containsInteger="1" minValue="1" maxValue="5"/>
    </cacheField>
    <cacheField name="Calcul enfant (ME)" numFmtId="0">
      <sharedItems containsString="0" containsBlank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Tesmel01" refreshedDate="41416.545142013892" createdVersion="3" refreshedVersion="3" minRefreshableVersion="3" recordCount="608">
  <cacheSource type="worksheet">
    <worksheetSource ref="BP1:CQ1048576" sheet="Grille de saisie"/>
  </cacheSource>
  <cacheFields count="27">
    <cacheField name="Question 25" numFmtId="0">
      <sharedItems containsBlank="1" containsMixedTypes="1" containsNumber="1" containsInteger="1" minValue="1" maxValue="4" count="6">
        <s v="Au cours des deux dernières années avez-vous été victime dans votre quartier d'une quelconque forme de discrimination ?"/>
        <n v="1"/>
        <n v="2"/>
        <n v="3"/>
        <n v="4"/>
        <m/>
      </sharedItems>
    </cacheField>
    <cacheField name="Question 25A" numFmtId="0">
      <sharedItems containsBlank="1" containsMixedTypes="1" containsNumber="1" containsInteger="1" minValue="1" maxValue="98"/>
    </cacheField>
    <cacheField name="Question 25Autre" numFmtId="0">
      <sharedItems containsBlank="1"/>
    </cacheField>
    <cacheField name="Question 26" numFmtId="0">
      <sharedItems containsBlank="1" containsMixedTypes="1" containsNumber="1" containsInteger="1" minValue="1" maxValue="2"/>
    </cacheField>
    <cacheField name="Question 26A" numFmtId="0">
      <sharedItems containsBlank="1" containsMixedTypes="1" containsNumber="1" containsInteger="1" minValue="1" maxValue="4"/>
    </cacheField>
    <cacheField name="Question 26B" numFmtId="0">
      <sharedItems containsBlank="1" containsMixedTypes="1" containsNumber="1" containsInteger="1" minValue="1" maxValue="98"/>
    </cacheField>
    <cacheField name="Question 26Autre" numFmtId="0">
      <sharedItems containsBlank="1"/>
    </cacheField>
    <cacheField name="Question 27" numFmtId="0">
      <sharedItems containsBlank="1" containsMixedTypes="1" containsNumber="1" containsInteger="1" minValue="1" maxValue="8"/>
    </cacheField>
    <cacheField name="Question 28" numFmtId="0">
      <sharedItems containsBlank="1" containsMixedTypes="1" containsNumber="1" containsInteger="1" minValue="1" maxValue="4"/>
    </cacheField>
    <cacheField name="Question 29" numFmtId="0">
      <sharedItems containsBlank="1" containsMixedTypes="1" containsNumber="1" containsInteger="1" minValue="1" maxValue="5"/>
    </cacheField>
    <cacheField name="Question 30" numFmtId="0">
      <sharedItems containsBlank="1" containsMixedTypes="1" containsNumber="1" containsInteger="1" minValue="1" maxValue="2" count="4">
        <s v="Êtes-vous :"/>
        <n v="1"/>
        <n v="2"/>
        <m/>
      </sharedItems>
    </cacheField>
    <cacheField name="Question 31" numFmtId="0">
      <sharedItems containsBlank="1" containsMixedTypes="1" containsNumber="1" containsInteger="1" minValue="1946" maxValue="1994"/>
    </cacheField>
    <cacheField name="Question 32" numFmtId="0">
      <sharedItems containsBlank="1" containsMixedTypes="1" containsNumber="1" containsInteger="1" minValue="1" maxValue="3"/>
    </cacheField>
    <cacheField name="Question 32 Autre" numFmtId="0">
      <sharedItems containsBlank="1"/>
    </cacheField>
    <cacheField name="Question 33" numFmtId="0">
      <sharedItems containsBlank="1" containsMixedTypes="1" containsNumber="1" containsInteger="1" minValue="1" maxValue="7"/>
    </cacheField>
    <cacheField name="Question 33 Autre" numFmtId="0">
      <sharedItems containsBlank="1"/>
    </cacheField>
    <cacheField name="Question 34" numFmtId="0">
      <sharedItems containsBlank="1" containsMixedTypes="1" containsNumber="1" containsInteger="1" minValue="1" maxValue="6"/>
    </cacheField>
    <cacheField name="Question 34 Autre" numFmtId="0">
      <sharedItems containsBlank="1"/>
    </cacheField>
    <cacheField name="Question 35" numFmtId="0">
      <sharedItems containsBlank="1" containsMixedTypes="1" containsNumber="1" containsInteger="1" minValue="1" maxValue="4"/>
    </cacheField>
    <cacheField name="Question 35 Autre" numFmtId="0">
      <sharedItems containsBlank="1"/>
    </cacheField>
    <cacheField name="Question 36" numFmtId="0">
      <sharedItems containsBlank="1" containsMixedTypes="1" containsNumber="1" containsInteger="1" minValue="1" maxValue="4"/>
    </cacheField>
    <cacheField name="Répondant" numFmtId="0">
      <sharedItems containsString="0" containsBlank="1" containsNumber="1" containsInteger="1" minValue="1" maxValue="1"/>
    </cacheField>
    <cacheField name="Calcul de l'âge" numFmtId="0">
      <sharedItems containsString="0" containsBlank="1" containsNumber="1" containsInteger="1" minValue="19" maxValue="2013"/>
    </cacheField>
    <cacheField name="L'âge regrouper" numFmtId="0">
      <sharedItems containsString="0" containsBlank="1" containsNumber="1" containsInteger="1" minValue="1" maxValue="4" count="5">
        <m/>
        <n v="1"/>
        <n v="2"/>
        <n v="3"/>
        <n v="4"/>
      </sharedItems>
    </cacheField>
    <cacheField name="Calcul vivre seul (MS)" numFmtId="0">
      <sharedItems containsString="0" containsBlank="1" containsNumber="1" containsInteger="1" minValue="1" maxValue="3"/>
    </cacheField>
    <cacheField name="Calcul ménage (M)" numFmtId="0">
      <sharedItems containsString="0" containsBlank="1" containsNumber="1" containsInteger="1" minValue="1" maxValue="5"/>
    </cacheField>
    <cacheField name="Calcul enfant (ME)" numFmtId="0">
      <sharedItems containsString="0" containsBlank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0.xml><?xml version="1.0" encoding="utf-8"?>
<pivotCacheDefinition xmlns="http://schemas.openxmlformats.org/spreadsheetml/2006/main" xmlns:r="http://schemas.openxmlformats.org/officeDocument/2006/relationships" r:id="rId1" refreshedBy="Tesmel01" refreshedDate="41416.545151273145" createdVersion="3" refreshedVersion="3" minRefreshableVersion="3" recordCount="632">
  <cacheSource type="worksheet">
    <worksheetSource ref="I1:CQ1048576" sheet="Grille de saisie"/>
  </cacheSource>
  <cacheFields count="87">
    <cacheField name="Question 5.2" numFmtId="0">
      <sharedItems containsBlank="1" containsMixedTypes="1" containsNumber="1" containsInteger="1" minValue="1" maxValue="7" count="7">
        <s v="Dites-nous à combien vous évaluez le risque d'être personnellement intimidé(e) ou agressé(e) dans votre quartier : Lorsque vous sortez seul(e) APRÈS LA TOMBÉE DU JOUR, ce risque est : "/>
        <n v="3"/>
        <n v="2"/>
        <n v="1"/>
        <n v="7"/>
        <n v="4"/>
        <m/>
      </sharedItems>
    </cacheField>
    <cacheField name="Question 5.3" numFmtId="0">
      <sharedItems containsBlank="1" containsMixedTypes="1" containsNumber="1" containsInteger="1" minValue="1" maxValue="7"/>
    </cacheField>
    <cacheField name="Question 6" numFmtId="0">
      <sharedItems containsBlank="1" containsMixedTypes="1" containsNumber="1" containsInteger="1" minValue="1" maxValue="5"/>
    </cacheField>
    <cacheField name="Question 7" numFmtId="0">
      <sharedItems containsBlank="1" containsMixedTypes="1" containsNumber="1" containsInteger="1" minValue="1" maxValue="5"/>
    </cacheField>
    <cacheField name="Question 8.1" numFmtId="0">
      <sharedItems containsBlank="1" containsMixedTypes="1" containsNumber="1" containsInteger="1" minValue="1" maxValue="4"/>
    </cacheField>
    <cacheField name="Question 8.2" numFmtId="0">
      <sharedItems containsBlank="1" containsMixedTypes="1" containsNumber="1" containsInteger="1" minValue="1" maxValue="4"/>
    </cacheField>
    <cacheField name="Question 8.3" numFmtId="0">
      <sharedItems containsBlank="1" containsMixedTypes="1" containsNumber="1" containsInteger="1" minValue="1" maxValue="4"/>
    </cacheField>
    <cacheField name="Question 8.4" numFmtId="0">
      <sharedItems containsBlank="1" containsMixedTypes="1" containsNumber="1" containsInteger="1" minValue="1" maxValue="4"/>
    </cacheField>
    <cacheField name="Question 8.5" numFmtId="0">
      <sharedItems containsBlank="1" containsMixedTypes="1" containsNumber="1" containsInteger="1" minValue="1" maxValue="4"/>
    </cacheField>
    <cacheField name="Question 8.6" numFmtId="0">
      <sharedItems containsBlank="1" containsMixedTypes="1" containsNumber="1" containsInteger="1" minValue="1" maxValue="4"/>
    </cacheField>
    <cacheField name="Question 8.7" numFmtId="0">
      <sharedItems containsBlank="1" containsMixedTypes="1" containsNumber="1" containsInteger="1" minValue="1" maxValue="4"/>
    </cacheField>
    <cacheField name="Question 8.8" numFmtId="0">
      <sharedItems containsBlank="1" containsMixedTypes="1" containsNumber="1" containsInteger="1" minValue="1" maxValue="4"/>
    </cacheField>
    <cacheField name="Question 9.1" numFmtId="0">
      <sharedItems containsBlank="1" containsMixedTypes="1" containsNumber="1" containsInteger="1" minValue="1" maxValue="4"/>
    </cacheField>
    <cacheField name="Question 9.2" numFmtId="0">
      <sharedItems containsBlank="1" containsMixedTypes="1" containsNumber="1" containsInteger="1" minValue="1" maxValue="4"/>
    </cacheField>
    <cacheField name="Question 10.1" numFmtId="0">
      <sharedItems containsBlank="1" containsMixedTypes="1" containsNumber="1" containsInteger="1" minValue="1" maxValue="4"/>
    </cacheField>
    <cacheField name="Question 10.2" numFmtId="0">
      <sharedItems containsBlank="1" containsMixedTypes="1" containsNumber="1" containsInteger="1" minValue="1" maxValue="4"/>
    </cacheField>
    <cacheField name="Question 11" numFmtId="0">
      <sharedItems containsBlank="1" containsMixedTypes="1" containsNumber="1" containsInteger="1" minValue="1" maxValue="2"/>
    </cacheField>
    <cacheField name="Question 12" numFmtId="0">
      <sharedItems containsBlank="1" containsMixedTypes="1" containsNumber="1" containsInteger="1" minValue="1" maxValue="2"/>
    </cacheField>
    <cacheField name="Question 12A1" numFmtId="0">
      <sharedItems containsBlank="1" containsMixedTypes="1" containsNumber="1" containsInteger="1" minValue="1" maxValue="1"/>
    </cacheField>
    <cacheField name="Question 12A2" numFmtId="0">
      <sharedItems containsBlank="1" containsMixedTypes="1" containsNumber="1" containsInteger="1" minValue="1" maxValue="1"/>
    </cacheField>
    <cacheField name="Question 12A3" numFmtId="0">
      <sharedItems containsBlank="1" containsMixedTypes="1" containsNumber="1" containsInteger="1" minValue="1" maxValue="1"/>
    </cacheField>
    <cacheField name="Question 12A4" numFmtId="0">
      <sharedItems containsBlank="1" containsMixedTypes="1" containsNumber="1" containsInteger="1" minValue="1" maxValue="1"/>
    </cacheField>
    <cacheField name="Question 12A5" numFmtId="0">
      <sharedItems containsBlank="1" containsMixedTypes="1" containsNumber="1" containsInteger="1" minValue="1" maxValue="1"/>
    </cacheField>
    <cacheField name="Question 12A6" numFmtId="0">
      <sharedItems containsBlank="1" containsMixedTypes="1" containsNumber="1" containsInteger="1" minValue="1" maxValue="1"/>
    </cacheField>
    <cacheField name="Question 12A7" numFmtId="0">
      <sharedItems containsBlank="1" containsMixedTypes="1" containsNumber="1" containsInteger="1" minValue="1" maxValue="1"/>
    </cacheField>
    <cacheField name="Question 12A8" numFmtId="0">
      <sharedItems containsBlank="1" containsMixedTypes="1" containsNumber="1" containsInteger="1" minValue="1" maxValue="1"/>
    </cacheField>
    <cacheField name="Question 12A9" numFmtId="0">
      <sharedItems containsBlank="1"/>
    </cacheField>
    <cacheField name="Question 13" numFmtId="0">
      <sharedItems containsBlank="1" containsMixedTypes="1" containsNumber="1" containsInteger="1" minValue="1" maxValue="2"/>
    </cacheField>
    <cacheField name="Question 13A" numFmtId="0">
      <sharedItems containsBlank="1"/>
    </cacheField>
    <cacheField name="Question 14.1" numFmtId="0">
      <sharedItems containsBlank="1" containsMixedTypes="1" containsNumber="1" containsInteger="1" minValue="1" maxValue="2"/>
    </cacheField>
    <cacheField name="Question 14.2" numFmtId="0">
      <sharedItems containsBlank="1" containsMixedTypes="1" containsNumber="1" containsInteger="1" minValue="1" maxValue="2"/>
    </cacheField>
    <cacheField name="Question 14.3" numFmtId="0">
      <sharedItems containsBlank="1" containsMixedTypes="1" containsNumber="1" containsInteger="1" minValue="1" maxValue="2"/>
    </cacheField>
    <cacheField name="Question 14.4" numFmtId="0">
      <sharedItems containsBlank="1" containsMixedTypes="1" containsNumber="1" containsInteger="1" minValue="1" maxValue="2"/>
    </cacheField>
    <cacheField name="Question 14.5" numFmtId="0">
      <sharedItems containsBlank="1" containsMixedTypes="1" containsNumber="1" containsInteger="1" minValue="1" maxValue="2"/>
    </cacheField>
    <cacheField name="Question 14.6" numFmtId="0">
      <sharedItems containsBlank="1" containsMixedTypes="1" containsNumber="1" containsInteger="1" minValue="1" maxValue="2"/>
    </cacheField>
    <cacheField name="Question 14.7" numFmtId="0">
      <sharedItems containsBlank="1" containsMixedTypes="1" containsNumber="1" containsInteger="1" minValue="1" maxValue="2"/>
    </cacheField>
    <cacheField name="Question 14.8" numFmtId="0">
      <sharedItems containsBlank="1" containsMixedTypes="1" containsNumber="1" containsInteger="1" minValue="1" maxValue="2"/>
    </cacheField>
    <cacheField name="Question 15" numFmtId="0">
      <sharedItems containsBlank="1" containsMixedTypes="1" containsNumber="1" containsInteger="1" minValue="1" maxValue="2"/>
    </cacheField>
    <cacheField name="Question 15A" numFmtId="0">
      <sharedItems containsBlank="1" containsMixedTypes="1" containsNumber="1" containsInteger="1" minValue="1" maxValue="2"/>
    </cacheField>
    <cacheField name="Question 16.1" numFmtId="0">
      <sharedItems containsBlank="1" containsMixedTypes="1" containsNumber="1" containsInteger="1" minValue="1" maxValue="7"/>
    </cacheField>
    <cacheField name="Question 16.2" numFmtId="0">
      <sharedItems containsBlank="1" containsMixedTypes="1" containsNumber="1" containsInteger="1" minValue="1" maxValue="7"/>
    </cacheField>
    <cacheField name="Question 16.3" numFmtId="0">
      <sharedItems containsBlank="1" containsMixedTypes="1" containsNumber="1" containsInteger="1" minValue="1" maxValue="7"/>
    </cacheField>
    <cacheField name="Question 17" numFmtId="0">
      <sharedItems containsBlank="1" containsMixedTypes="1" containsNumber="1" containsInteger="1" minValue="1" maxValue="8"/>
    </cacheField>
    <cacheField name="Question 18" numFmtId="0">
      <sharedItems containsBlank="1" containsMixedTypes="1" containsNumber="1" containsInteger="1" minValue="1" maxValue="4"/>
    </cacheField>
    <cacheField name="Question 19" numFmtId="0">
      <sharedItems containsBlank="1" containsMixedTypes="1" containsNumber="1" containsInteger="1" minValue="1" maxValue="8"/>
    </cacheField>
    <cacheField name="Question 20.1" numFmtId="0">
      <sharedItems containsBlank="1" containsMixedTypes="1" containsNumber="1" containsInteger="1" minValue="1" maxValue="8"/>
    </cacheField>
    <cacheField name="Question 20.2" numFmtId="0">
      <sharedItems containsBlank="1" containsMixedTypes="1" containsNumber="1" containsInteger="1" minValue="1" maxValue="8"/>
    </cacheField>
    <cacheField name="Question 20.3" numFmtId="0">
      <sharedItems containsBlank="1" containsMixedTypes="1" containsNumber="1" containsInteger="1" minValue="1" maxValue="8"/>
    </cacheField>
    <cacheField name="Question 21" numFmtId="0">
      <sharedItems containsBlank="1" containsMixedTypes="1" containsNumber="1" containsInteger="1" minValue="1" maxValue="4"/>
    </cacheField>
    <cacheField name="Question 21A" numFmtId="0">
      <sharedItems containsBlank="1" containsMixedTypes="1" containsNumber="1" containsInteger="1" minValue="1" maxValue="4"/>
    </cacheField>
    <cacheField name="Question 21Peu" numFmtId="0">
      <sharedItems containsBlank="1"/>
    </cacheField>
    <cacheField name="Question 21Pas" numFmtId="0">
      <sharedItems containsBlank="1"/>
    </cacheField>
    <cacheField name="Question 22.1" numFmtId="0">
      <sharedItems containsBlank="1" containsMixedTypes="1" containsNumber="1" containsInteger="1" minValue="1" maxValue="2"/>
    </cacheField>
    <cacheField name="Question 22.2" numFmtId="0">
      <sharedItems containsBlank="1" containsMixedTypes="1" containsNumber="1" containsInteger="1" minValue="1" maxValue="2"/>
    </cacheField>
    <cacheField name="Question 22.3" numFmtId="0">
      <sharedItems containsBlank="1" containsMixedTypes="1" containsNumber="1" containsInteger="1" minValue="1" maxValue="2"/>
    </cacheField>
    <cacheField name="Question 22.4" numFmtId="0">
      <sharedItems containsBlank="1" containsMixedTypes="1" containsNumber="1" containsInteger="1" minValue="1" maxValue="2"/>
    </cacheField>
    <cacheField name="Question 22.5" numFmtId="0">
      <sharedItems containsBlank="1" containsMixedTypes="1" containsNumber="1" containsInteger="1" minValue="1" maxValue="2"/>
    </cacheField>
    <cacheField name="Question 22.6" numFmtId="0">
      <sharedItems containsBlank="1" containsMixedTypes="1" containsNumber="1" containsInteger="1" minValue="1" maxValue="2"/>
    </cacheField>
    <cacheField name="Question 23" numFmtId="0">
      <sharedItems containsBlank="1" containsMixedTypes="1" containsNumber="1" containsInteger="1" minValue="1" maxValue="2"/>
    </cacheField>
    <cacheField name="Question 24" numFmtId="0">
      <sharedItems containsBlank="1" containsMixedTypes="1" containsNumber="1" containsInteger="1" minValue="1" maxValue="2"/>
    </cacheField>
    <cacheField name="Question 25" numFmtId="0">
      <sharedItems containsBlank="1" containsMixedTypes="1" containsNumber="1" containsInteger="1" minValue="1" maxValue="4"/>
    </cacheField>
    <cacheField name="Question 25A" numFmtId="0">
      <sharedItems containsBlank="1" containsMixedTypes="1" containsNumber="1" containsInteger="1" minValue="1" maxValue="98"/>
    </cacheField>
    <cacheField name="Question 25Autre" numFmtId="0">
      <sharedItems containsBlank="1"/>
    </cacheField>
    <cacheField name="Question 26" numFmtId="0">
      <sharedItems containsBlank="1" containsMixedTypes="1" containsNumber="1" containsInteger="1" minValue="1" maxValue="2"/>
    </cacheField>
    <cacheField name="Question 26A" numFmtId="0">
      <sharedItems containsBlank="1" containsMixedTypes="1" containsNumber="1" containsInteger="1" minValue="1" maxValue="4"/>
    </cacheField>
    <cacheField name="Question 26B" numFmtId="0">
      <sharedItems containsBlank="1" containsMixedTypes="1" containsNumber="1" containsInteger="1" minValue="1" maxValue="98"/>
    </cacheField>
    <cacheField name="Question 26Autre" numFmtId="0">
      <sharedItems containsBlank="1"/>
    </cacheField>
    <cacheField name="Question 27" numFmtId="0">
      <sharedItems containsBlank="1" containsMixedTypes="1" containsNumber="1" containsInteger="1" minValue="1" maxValue="8"/>
    </cacheField>
    <cacheField name="Question 28" numFmtId="0">
      <sharedItems containsBlank="1" containsMixedTypes="1" containsNumber="1" containsInteger="1" minValue="1" maxValue="4"/>
    </cacheField>
    <cacheField name="Question 29" numFmtId="0">
      <sharedItems containsBlank="1" containsMixedTypes="1" containsNumber="1" containsInteger="1" minValue="1" maxValue="5"/>
    </cacheField>
    <cacheField name="Question 30" numFmtId="0">
      <sharedItems containsBlank="1" containsMixedTypes="1" containsNumber="1" containsInteger="1" minValue="1" maxValue="2" count="4">
        <s v="Êtes-vous :"/>
        <n v="1"/>
        <n v="2"/>
        <m/>
      </sharedItems>
    </cacheField>
    <cacheField name="Question 31" numFmtId="0">
      <sharedItems containsBlank="1" containsMixedTypes="1" containsNumber="1" containsInteger="1" minValue="1946" maxValue="1994"/>
    </cacheField>
    <cacheField name="Question 32" numFmtId="0">
      <sharedItems containsBlank="1" containsMixedTypes="1" containsNumber="1" containsInteger="1" minValue="1" maxValue="3"/>
    </cacheField>
    <cacheField name="Question 32 Autre" numFmtId="0">
      <sharedItems containsBlank="1"/>
    </cacheField>
    <cacheField name="Question 33" numFmtId="0">
      <sharedItems containsBlank="1" containsMixedTypes="1" containsNumber="1" containsInteger="1" minValue="1" maxValue="7"/>
    </cacheField>
    <cacheField name="Question 33 Autre" numFmtId="0">
      <sharedItems containsBlank="1"/>
    </cacheField>
    <cacheField name="Question 34" numFmtId="0">
      <sharedItems containsBlank="1" containsMixedTypes="1" containsNumber="1" containsInteger="1" minValue="1" maxValue="6"/>
    </cacheField>
    <cacheField name="Question 34 Autre" numFmtId="0">
      <sharedItems containsBlank="1"/>
    </cacheField>
    <cacheField name="Question 35" numFmtId="0">
      <sharedItems containsBlank="1" containsMixedTypes="1" containsNumber="1" containsInteger="1" minValue="1" maxValue="4"/>
    </cacheField>
    <cacheField name="Question 35 Autre" numFmtId="0">
      <sharedItems containsBlank="1"/>
    </cacheField>
    <cacheField name="Question 36" numFmtId="0">
      <sharedItems containsBlank="1" containsMixedTypes="1" containsNumber="1" containsInteger="1" minValue="1" maxValue="4"/>
    </cacheField>
    <cacheField name="Répondant" numFmtId="0">
      <sharedItems containsString="0" containsBlank="1" containsNumber="1" containsInteger="1" minValue="1" maxValue="1"/>
    </cacheField>
    <cacheField name="Calcul de l'âge" numFmtId="0">
      <sharedItems containsString="0" containsBlank="1" containsNumber="1" containsInteger="1" minValue="19" maxValue="2013"/>
    </cacheField>
    <cacheField name="L'âge regrouper" numFmtId="0">
      <sharedItems containsString="0" containsBlank="1" containsNumber="1" containsInteger="1" minValue="1" maxValue="4" count="5">
        <m/>
        <n v="1"/>
        <n v="2"/>
        <n v="3"/>
        <n v="4"/>
      </sharedItems>
    </cacheField>
    <cacheField name="Calcul vivre seul (MS)" numFmtId="0">
      <sharedItems containsString="0" containsBlank="1" containsNumber="1" containsInteger="1" minValue="1" maxValue="3"/>
    </cacheField>
    <cacheField name="Calcul ménage (M)" numFmtId="0">
      <sharedItems containsString="0" containsBlank="1" containsNumber="1" containsInteger="1" minValue="1" maxValue="5"/>
    </cacheField>
    <cacheField name="Calcul enfant (ME)" numFmtId="0">
      <sharedItems containsString="0" containsBlank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1.xml><?xml version="1.0" encoding="utf-8"?>
<pivotCacheDefinition xmlns="http://schemas.openxmlformats.org/spreadsheetml/2006/main" xmlns:r="http://schemas.openxmlformats.org/officeDocument/2006/relationships" r:id="rId1" refreshedBy="Tesmel01" refreshedDate="41416.545151851853" createdVersion="3" refreshedVersion="3" minRefreshableVersion="3" recordCount="632">
  <cacheSource type="worksheet">
    <worksheetSource ref="J1:CQ1048576" sheet="Grille de saisie"/>
  </cacheSource>
  <cacheFields count="86">
    <cacheField name="Question 5.3" numFmtId="0">
      <sharedItems containsBlank="1" containsMixedTypes="1" containsNumber="1" containsInteger="1" minValue="1" maxValue="7" count="7">
        <s v="Dites-nous à combien vous évaluez le risque d'être personnellement intimidé(e) ou agressé(e) dans votre quartier : Lorsque vous attendez ou prenez le transport en commun, ce risque est …"/>
        <n v="4"/>
        <n v="1"/>
        <n v="2"/>
        <n v="3"/>
        <n v="7"/>
        <m/>
      </sharedItems>
    </cacheField>
    <cacheField name="Question 6" numFmtId="0">
      <sharedItems containsBlank="1" containsMixedTypes="1" containsNumber="1" containsInteger="1" minValue="1" maxValue="5"/>
    </cacheField>
    <cacheField name="Question 7" numFmtId="0">
      <sharedItems containsBlank="1" containsMixedTypes="1" containsNumber="1" containsInteger="1" minValue="1" maxValue="5"/>
    </cacheField>
    <cacheField name="Question 8.1" numFmtId="0">
      <sharedItems containsBlank="1" containsMixedTypes="1" containsNumber="1" containsInteger="1" minValue="1" maxValue="4"/>
    </cacheField>
    <cacheField name="Question 8.2" numFmtId="0">
      <sharedItems containsBlank="1" containsMixedTypes="1" containsNumber="1" containsInteger="1" minValue="1" maxValue="4"/>
    </cacheField>
    <cacheField name="Question 8.3" numFmtId="0">
      <sharedItems containsBlank="1" containsMixedTypes="1" containsNumber="1" containsInteger="1" minValue="1" maxValue="4"/>
    </cacheField>
    <cacheField name="Question 8.4" numFmtId="0">
      <sharedItems containsBlank="1" containsMixedTypes="1" containsNumber="1" containsInteger="1" minValue="1" maxValue="4"/>
    </cacheField>
    <cacheField name="Question 8.5" numFmtId="0">
      <sharedItems containsBlank="1" containsMixedTypes="1" containsNumber="1" containsInteger="1" minValue="1" maxValue="4"/>
    </cacheField>
    <cacheField name="Question 8.6" numFmtId="0">
      <sharedItems containsBlank="1" containsMixedTypes="1" containsNumber="1" containsInteger="1" minValue="1" maxValue="4"/>
    </cacheField>
    <cacheField name="Question 8.7" numFmtId="0">
      <sharedItems containsBlank="1" containsMixedTypes="1" containsNumber="1" containsInteger="1" minValue="1" maxValue="4"/>
    </cacheField>
    <cacheField name="Question 8.8" numFmtId="0">
      <sharedItems containsBlank="1" containsMixedTypes="1" containsNumber="1" containsInteger="1" minValue="1" maxValue="4"/>
    </cacheField>
    <cacheField name="Question 9.1" numFmtId="0">
      <sharedItems containsBlank="1" containsMixedTypes="1" containsNumber="1" containsInteger="1" minValue="1" maxValue="4"/>
    </cacheField>
    <cacheField name="Question 9.2" numFmtId="0">
      <sharedItems containsBlank="1" containsMixedTypes="1" containsNumber="1" containsInteger="1" minValue="1" maxValue="4"/>
    </cacheField>
    <cacheField name="Question 10.1" numFmtId="0">
      <sharedItems containsBlank="1" containsMixedTypes="1" containsNumber="1" containsInteger="1" minValue="1" maxValue="4"/>
    </cacheField>
    <cacheField name="Question 10.2" numFmtId="0">
      <sharedItems containsBlank="1" containsMixedTypes="1" containsNumber="1" containsInteger="1" minValue="1" maxValue="4"/>
    </cacheField>
    <cacheField name="Question 11" numFmtId="0">
      <sharedItems containsBlank="1" containsMixedTypes="1" containsNumber="1" containsInteger="1" minValue="1" maxValue="2"/>
    </cacheField>
    <cacheField name="Question 12" numFmtId="0">
      <sharedItems containsBlank="1" containsMixedTypes="1" containsNumber="1" containsInteger="1" minValue="1" maxValue="2"/>
    </cacheField>
    <cacheField name="Question 12A1" numFmtId="0">
      <sharedItems containsBlank="1" containsMixedTypes="1" containsNumber="1" containsInteger="1" minValue="1" maxValue="1"/>
    </cacheField>
    <cacheField name="Question 12A2" numFmtId="0">
      <sharedItems containsBlank="1" containsMixedTypes="1" containsNumber="1" containsInteger="1" minValue="1" maxValue="1"/>
    </cacheField>
    <cacheField name="Question 12A3" numFmtId="0">
      <sharedItems containsBlank="1" containsMixedTypes="1" containsNumber="1" containsInteger="1" minValue="1" maxValue="1"/>
    </cacheField>
    <cacheField name="Question 12A4" numFmtId="0">
      <sharedItems containsBlank="1" containsMixedTypes="1" containsNumber="1" containsInteger="1" minValue="1" maxValue="1"/>
    </cacheField>
    <cacheField name="Question 12A5" numFmtId="0">
      <sharedItems containsBlank="1" containsMixedTypes="1" containsNumber="1" containsInteger="1" minValue="1" maxValue="1"/>
    </cacheField>
    <cacheField name="Question 12A6" numFmtId="0">
      <sharedItems containsBlank="1" containsMixedTypes="1" containsNumber="1" containsInteger="1" minValue="1" maxValue="1"/>
    </cacheField>
    <cacheField name="Question 12A7" numFmtId="0">
      <sharedItems containsBlank="1" containsMixedTypes="1" containsNumber="1" containsInteger="1" minValue="1" maxValue="1"/>
    </cacheField>
    <cacheField name="Question 12A8" numFmtId="0">
      <sharedItems containsBlank="1" containsMixedTypes="1" containsNumber="1" containsInteger="1" minValue="1" maxValue="1"/>
    </cacheField>
    <cacheField name="Question 12A9" numFmtId="0">
      <sharedItems containsBlank="1"/>
    </cacheField>
    <cacheField name="Question 13" numFmtId="0">
      <sharedItems containsBlank="1" containsMixedTypes="1" containsNumber="1" containsInteger="1" minValue="1" maxValue="2"/>
    </cacheField>
    <cacheField name="Question 13A" numFmtId="0">
      <sharedItems containsBlank="1"/>
    </cacheField>
    <cacheField name="Question 14.1" numFmtId="0">
      <sharedItems containsBlank="1" containsMixedTypes="1" containsNumber="1" containsInteger="1" minValue="1" maxValue="2"/>
    </cacheField>
    <cacheField name="Question 14.2" numFmtId="0">
      <sharedItems containsBlank="1" containsMixedTypes="1" containsNumber="1" containsInteger="1" minValue="1" maxValue="2"/>
    </cacheField>
    <cacheField name="Question 14.3" numFmtId="0">
      <sharedItems containsBlank="1" containsMixedTypes="1" containsNumber="1" containsInteger="1" minValue="1" maxValue="2"/>
    </cacheField>
    <cacheField name="Question 14.4" numFmtId="0">
      <sharedItems containsBlank="1" containsMixedTypes="1" containsNumber="1" containsInteger="1" minValue="1" maxValue="2"/>
    </cacheField>
    <cacheField name="Question 14.5" numFmtId="0">
      <sharedItems containsBlank="1" containsMixedTypes="1" containsNumber="1" containsInteger="1" minValue="1" maxValue="2"/>
    </cacheField>
    <cacheField name="Question 14.6" numFmtId="0">
      <sharedItems containsBlank="1" containsMixedTypes="1" containsNumber="1" containsInteger="1" minValue="1" maxValue="2"/>
    </cacheField>
    <cacheField name="Question 14.7" numFmtId="0">
      <sharedItems containsBlank="1" containsMixedTypes="1" containsNumber="1" containsInteger="1" minValue="1" maxValue="2"/>
    </cacheField>
    <cacheField name="Question 14.8" numFmtId="0">
      <sharedItems containsBlank="1" containsMixedTypes="1" containsNumber="1" containsInteger="1" minValue="1" maxValue="2"/>
    </cacheField>
    <cacheField name="Question 15" numFmtId="0">
      <sharedItems containsBlank="1" containsMixedTypes="1" containsNumber="1" containsInteger="1" minValue="1" maxValue="2"/>
    </cacheField>
    <cacheField name="Question 15A" numFmtId="0">
      <sharedItems containsBlank="1" containsMixedTypes="1" containsNumber="1" containsInteger="1" minValue="1" maxValue="2"/>
    </cacheField>
    <cacheField name="Question 16.1" numFmtId="0">
      <sharedItems containsBlank="1" containsMixedTypes="1" containsNumber="1" containsInteger="1" minValue="1" maxValue="7"/>
    </cacheField>
    <cacheField name="Question 16.2" numFmtId="0">
      <sharedItems containsBlank="1" containsMixedTypes="1" containsNumber="1" containsInteger="1" minValue="1" maxValue="7"/>
    </cacheField>
    <cacheField name="Question 16.3" numFmtId="0">
      <sharedItems containsBlank="1" containsMixedTypes="1" containsNumber="1" containsInteger="1" minValue="1" maxValue="7"/>
    </cacheField>
    <cacheField name="Question 17" numFmtId="0">
      <sharedItems containsBlank="1" containsMixedTypes="1" containsNumber="1" containsInteger="1" minValue="1" maxValue="8"/>
    </cacheField>
    <cacheField name="Question 18" numFmtId="0">
      <sharedItems containsBlank="1" containsMixedTypes="1" containsNumber="1" containsInteger="1" minValue="1" maxValue="4"/>
    </cacheField>
    <cacheField name="Question 19" numFmtId="0">
      <sharedItems containsBlank="1" containsMixedTypes="1" containsNumber="1" containsInteger="1" minValue="1" maxValue="8"/>
    </cacheField>
    <cacheField name="Question 20.1" numFmtId="0">
      <sharedItems containsBlank="1" containsMixedTypes="1" containsNumber="1" containsInteger="1" minValue="1" maxValue="8"/>
    </cacheField>
    <cacheField name="Question 20.2" numFmtId="0">
      <sharedItems containsBlank="1" containsMixedTypes="1" containsNumber="1" containsInteger="1" minValue="1" maxValue="8"/>
    </cacheField>
    <cacheField name="Question 20.3" numFmtId="0">
      <sharedItems containsBlank="1" containsMixedTypes="1" containsNumber="1" containsInteger="1" minValue="1" maxValue="8"/>
    </cacheField>
    <cacheField name="Question 21" numFmtId="0">
      <sharedItems containsBlank="1" containsMixedTypes="1" containsNumber="1" containsInteger="1" minValue="1" maxValue="4"/>
    </cacheField>
    <cacheField name="Question 21A" numFmtId="0">
      <sharedItems containsBlank="1" containsMixedTypes="1" containsNumber="1" containsInteger="1" minValue="1" maxValue="4"/>
    </cacheField>
    <cacheField name="Question 21Peu" numFmtId="0">
      <sharedItems containsBlank="1"/>
    </cacheField>
    <cacheField name="Question 21Pas" numFmtId="0">
      <sharedItems containsBlank="1"/>
    </cacheField>
    <cacheField name="Question 22.1" numFmtId="0">
      <sharedItems containsBlank="1" containsMixedTypes="1" containsNumber="1" containsInteger="1" minValue="1" maxValue="2"/>
    </cacheField>
    <cacheField name="Question 22.2" numFmtId="0">
      <sharedItems containsBlank="1" containsMixedTypes="1" containsNumber="1" containsInteger="1" minValue="1" maxValue="2"/>
    </cacheField>
    <cacheField name="Question 22.3" numFmtId="0">
      <sharedItems containsBlank="1" containsMixedTypes="1" containsNumber="1" containsInteger="1" minValue="1" maxValue="2"/>
    </cacheField>
    <cacheField name="Question 22.4" numFmtId="0">
      <sharedItems containsBlank="1" containsMixedTypes="1" containsNumber="1" containsInteger="1" minValue="1" maxValue="2"/>
    </cacheField>
    <cacheField name="Question 22.5" numFmtId="0">
      <sharedItems containsBlank="1" containsMixedTypes="1" containsNumber="1" containsInteger="1" minValue="1" maxValue="2"/>
    </cacheField>
    <cacheField name="Question 22.6" numFmtId="0">
      <sharedItems containsBlank="1" containsMixedTypes="1" containsNumber="1" containsInteger="1" minValue="1" maxValue="2"/>
    </cacheField>
    <cacheField name="Question 23" numFmtId="0">
      <sharedItems containsBlank="1" containsMixedTypes="1" containsNumber="1" containsInteger="1" minValue="1" maxValue="2"/>
    </cacheField>
    <cacheField name="Question 24" numFmtId="0">
      <sharedItems containsBlank="1" containsMixedTypes="1" containsNumber="1" containsInteger="1" minValue="1" maxValue="2"/>
    </cacheField>
    <cacheField name="Question 25" numFmtId="0">
      <sharedItems containsBlank="1" containsMixedTypes="1" containsNumber="1" containsInteger="1" minValue="1" maxValue="4"/>
    </cacheField>
    <cacheField name="Question 25A" numFmtId="0">
      <sharedItems containsBlank="1" containsMixedTypes="1" containsNumber="1" containsInteger="1" minValue="1" maxValue="98"/>
    </cacheField>
    <cacheField name="Question 25Autre" numFmtId="0">
      <sharedItems containsBlank="1"/>
    </cacheField>
    <cacheField name="Question 26" numFmtId="0">
      <sharedItems containsBlank="1" containsMixedTypes="1" containsNumber="1" containsInteger="1" minValue="1" maxValue="2"/>
    </cacheField>
    <cacheField name="Question 26A" numFmtId="0">
      <sharedItems containsBlank="1" containsMixedTypes="1" containsNumber="1" containsInteger="1" minValue="1" maxValue="4"/>
    </cacheField>
    <cacheField name="Question 26B" numFmtId="0">
      <sharedItems containsBlank="1" containsMixedTypes="1" containsNumber="1" containsInteger="1" minValue="1" maxValue="98"/>
    </cacheField>
    <cacheField name="Question 26Autre" numFmtId="0">
      <sharedItems containsBlank="1"/>
    </cacheField>
    <cacheField name="Question 27" numFmtId="0">
      <sharedItems containsBlank="1" containsMixedTypes="1" containsNumber="1" containsInteger="1" minValue="1" maxValue="8"/>
    </cacheField>
    <cacheField name="Question 28" numFmtId="0">
      <sharedItems containsBlank="1" containsMixedTypes="1" containsNumber="1" containsInteger="1" minValue="1" maxValue="4"/>
    </cacheField>
    <cacheField name="Question 29" numFmtId="0">
      <sharedItems containsBlank="1" containsMixedTypes="1" containsNumber="1" containsInteger="1" minValue="1" maxValue="5"/>
    </cacheField>
    <cacheField name="Question 30" numFmtId="0">
      <sharedItems containsBlank="1" containsMixedTypes="1" containsNumber="1" containsInteger="1" minValue="1" maxValue="2" count="4">
        <s v="Êtes-vous :"/>
        <n v="1"/>
        <n v="2"/>
        <m/>
      </sharedItems>
    </cacheField>
    <cacheField name="Question 31" numFmtId="0">
      <sharedItems containsBlank="1" containsMixedTypes="1" containsNumber="1" containsInteger="1" minValue="1946" maxValue="1994"/>
    </cacheField>
    <cacheField name="Question 32" numFmtId="0">
      <sharedItems containsBlank="1" containsMixedTypes="1" containsNumber="1" containsInteger="1" minValue="1" maxValue="3"/>
    </cacheField>
    <cacheField name="Question 32 Autre" numFmtId="0">
      <sharedItems containsBlank="1"/>
    </cacheField>
    <cacheField name="Question 33" numFmtId="0">
      <sharedItems containsBlank="1" containsMixedTypes="1" containsNumber="1" containsInteger="1" minValue="1" maxValue="7"/>
    </cacheField>
    <cacheField name="Question 33 Autre" numFmtId="0">
      <sharedItems containsBlank="1"/>
    </cacheField>
    <cacheField name="Question 34" numFmtId="0">
      <sharedItems containsBlank="1" containsMixedTypes="1" containsNumber="1" containsInteger="1" minValue="1" maxValue="6"/>
    </cacheField>
    <cacheField name="Question 34 Autre" numFmtId="0">
      <sharedItems containsBlank="1"/>
    </cacheField>
    <cacheField name="Question 35" numFmtId="0">
      <sharedItems containsBlank="1" containsMixedTypes="1" containsNumber="1" containsInteger="1" minValue="1" maxValue="4"/>
    </cacheField>
    <cacheField name="Question 35 Autre" numFmtId="0">
      <sharedItems containsBlank="1"/>
    </cacheField>
    <cacheField name="Question 36" numFmtId="0">
      <sharedItems containsBlank="1" containsMixedTypes="1" containsNumber="1" containsInteger="1" minValue="1" maxValue="4"/>
    </cacheField>
    <cacheField name="Répondant" numFmtId="0">
      <sharedItems containsString="0" containsBlank="1" containsNumber="1" containsInteger="1" minValue="1" maxValue="1"/>
    </cacheField>
    <cacheField name="Calcul de l'âge" numFmtId="0">
      <sharedItems containsString="0" containsBlank="1" containsNumber="1" containsInteger="1" minValue="19" maxValue="2013"/>
    </cacheField>
    <cacheField name="L'âge regrouper" numFmtId="0">
      <sharedItems containsString="0" containsBlank="1" containsNumber="1" containsInteger="1" minValue="1" maxValue="4" count="5">
        <m/>
        <n v="1"/>
        <n v="2"/>
        <n v="3"/>
        <n v="4"/>
      </sharedItems>
    </cacheField>
    <cacheField name="Calcul vivre seul (MS)" numFmtId="0">
      <sharedItems containsString="0" containsBlank="1" containsNumber="1" containsInteger="1" minValue="1" maxValue="3"/>
    </cacheField>
    <cacheField name="Calcul ménage (M)" numFmtId="0">
      <sharedItems containsString="0" containsBlank="1" containsNumber="1" containsInteger="1" minValue="1" maxValue="5"/>
    </cacheField>
    <cacheField name="Calcul enfant (ME)" numFmtId="0">
      <sharedItems containsString="0" containsBlank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2.xml><?xml version="1.0" encoding="utf-8"?>
<pivotCacheDefinition xmlns="http://schemas.openxmlformats.org/spreadsheetml/2006/main" xmlns:r="http://schemas.openxmlformats.org/officeDocument/2006/relationships" r:id="rId1" refreshedBy="Tesmel01" refreshedDate="41416.545152430554" createdVersion="3" refreshedVersion="3" minRefreshableVersion="3" recordCount="632">
  <cacheSource type="worksheet">
    <worksheetSource ref="K1:CQ1048576" sheet="Grille de saisie"/>
  </cacheSource>
  <cacheFields count="85">
    <cacheField name="Question 6" numFmtId="0">
      <sharedItems containsBlank="1" containsMixedTypes="1" containsNumber="1" containsInteger="1" minValue="1" maxValue="5" count="7">
        <s v="Dites-nous à combien vous évaluez le risque que les jeunes de moins de 18 ans qui vivent avec vous (à temps plein ou à temps partiel) soient intimidés ou agressés lorqu'ils vont dehors dans votre quartier. Ce risque est …"/>
        <n v="1"/>
        <n v="2"/>
        <n v="4"/>
        <n v="3"/>
        <n v="5"/>
        <m/>
      </sharedItems>
    </cacheField>
    <cacheField name="Question 7" numFmtId="0">
      <sharedItems containsBlank="1" containsMixedTypes="1" containsNumber="1" containsInteger="1" minValue="1" maxValue="5"/>
    </cacheField>
    <cacheField name="Question 8.1" numFmtId="0">
      <sharedItems containsBlank="1" containsMixedTypes="1" containsNumber="1" containsInteger="1" minValue="1" maxValue="4"/>
    </cacheField>
    <cacheField name="Question 8.2" numFmtId="0">
      <sharedItems containsBlank="1" containsMixedTypes="1" containsNumber="1" containsInteger="1" minValue="1" maxValue="4"/>
    </cacheField>
    <cacheField name="Question 8.3" numFmtId="0">
      <sharedItems containsBlank="1" containsMixedTypes="1" containsNumber="1" containsInteger="1" minValue="1" maxValue="4"/>
    </cacheField>
    <cacheField name="Question 8.4" numFmtId="0">
      <sharedItems containsBlank="1" containsMixedTypes="1" containsNumber="1" containsInteger="1" minValue="1" maxValue="4"/>
    </cacheField>
    <cacheField name="Question 8.5" numFmtId="0">
      <sharedItems containsBlank="1" containsMixedTypes="1" containsNumber="1" containsInteger="1" minValue="1" maxValue="4"/>
    </cacheField>
    <cacheField name="Question 8.6" numFmtId="0">
      <sharedItems containsBlank="1" containsMixedTypes="1" containsNumber="1" containsInteger="1" minValue="1" maxValue="4"/>
    </cacheField>
    <cacheField name="Question 8.7" numFmtId="0">
      <sharedItems containsBlank="1" containsMixedTypes="1" containsNumber="1" containsInteger="1" minValue="1" maxValue="4"/>
    </cacheField>
    <cacheField name="Question 8.8" numFmtId="0">
      <sharedItems containsBlank="1" containsMixedTypes="1" containsNumber="1" containsInteger="1" minValue="1" maxValue="4"/>
    </cacheField>
    <cacheField name="Question 9.1" numFmtId="0">
      <sharedItems containsBlank="1" containsMixedTypes="1" containsNumber="1" containsInteger="1" minValue="1" maxValue="4"/>
    </cacheField>
    <cacheField name="Question 9.2" numFmtId="0">
      <sharedItems containsBlank="1" containsMixedTypes="1" containsNumber="1" containsInteger="1" minValue="1" maxValue="4"/>
    </cacheField>
    <cacheField name="Question 10.1" numFmtId="0">
      <sharedItems containsBlank="1" containsMixedTypes="1" containsNumber="1" containsInteger="1" minValue="1" maxValue="4"/>
    </cacheField>
    <cacheField name="Question 10.2" numFmtId="0">
      <sharedItems containsBlank="1" containsMixedTypes="1" containsNumber="1" containsInteger="1" minValue="1" maxValue="4"/>
    </cacheField>
    <cacheField name="Question 11" numFmtId="0">
      <sharedItems containsBlank="1" containsMixedTypes="1" containsNumber="1" containsInteger="1" minValue="1" maxValue="2"/>
    </cacheField>
    <cacheField name="Question 12" numFmtId="0">
      <sharedItems containsBlank="1" containsMixedTypes="1" containsNumber="1" containsInteger="1" minValue="1" maxValue="2"/>
    </cacheField>
    <cacheField name="Question 12A1" numFmtId="0">
      <sharedItems containsBlank="1" containsMixedTypes="1" containsNumber="1" containsInteger="1" minValue="1" maxValue="1"/>
    </cacheField>
    <cacheField name="Question 12A2" numFmtId="0">
      <sharedItems containsBlank="1" containsMixedTypes="1" containsNumber="1" containsInteger="1" minValue="1" maxValue="1"/>
    </cacheField>
    <cacheField name="Question 12A3" numFmtId="0">
      <sharedItems containsBlank="1" containsMixedTypes="1" containsNumber="1" containsInteger="1" minValue="1" maxValue="1"/>
    </cacheField>
    <cacheField name="Question 12A4" numFmtId="0">
      <sharedItems containsBlank="1" containsMixedTypes="1" containsNumber="1" containsInteger="1" minValue="1" maxValue="1"/>
    </cacheField>
    <cacheField name="Question 12A5" numFmtId="0">
      <sharedItems containsBlank="1" containsMixedTypes="1" containsNumber="1" containsInteger="1" minValue="1" maxValue="1"/>
    </cacheField>
    <cacheField name="Question 12A6" numFmtId="0">
      <sharedItems containsBlank="1" containsMixedTypes="1" containsNumber="1" containsInteger="1" minValue="1" maxValue="1"/>
    </cacheField>
    <cacheField name="Question 12A7" numFmtId="0">
      <sharedItems containsBlank="1" containsMixedTypes="1" containsNumber="1" containsInteger="1" minValue="1" maxValue="1"/>
    </cacheField>
    <cacheField name="Question 12A8" numFmtId="0">
      <sharedItems containsBlank="1" containsMixedTypes="1" containsNumber="1" containsInteger="1" minValue="1" maxValue="1"/>
    </cacheField>
    <cacheField name="Question 12A9" numFmtId="0">
      <sharedItems containsBlank="1"/>
    </cacheField>
    <cacheField name="Question 13" numFmtId="0">
      <sharedItems containsBlank="1" containsMixedTypes="1" containsNumber="1" containsInteger="1" minValue="1" maxValue="2"/>
    </cacheField>
    <cacheField name="Question 13A" numFmtId="0">
      <sharedItems containsBlank="1"/>
    </cacheField>
    <cacheField name="Question 14.1" numFmtId="0">
      <sharedItems containsBlank="1" containsMixedTypes="1" containsNumber="1" containsInteger="1" minValue="1" maxValue="2"/>
    </cacheField>
    <cacheField name="Question 14.2" numFmtId="0">
      <sharedItems containsBlank="1" containsMixedTypes="1" containsNumber="1" containsInteger="1" minValue="1" maxValue="2"/>
    </cacheField>
    <cacheField name="Question 14.3" numFmtId="0">
      <sharedItems containsBlank="1" containsMixedTypes="1" containsNumber="1" containsInteger="1" minValue="1" maxValue="2"/>
    </cacheField>
    <cacheField name="Question 14.4" numFmtId="0">
      <sharedItems containsBlank="1" containsMixedTypes="1" containsNumber="1" containsInteger="1" minValue="1" maxValue="2"/>
    </cacheField>
    <cacheField name="Question 14.5" numFmtId="0">
      <sharedItems containsBlank="1" containsMixedTypes="1" containsNumber="1" containsInteger="1" minValue="1" maxValue="2"/>
    </cacheField>
    <cacheField name="Question 14.6" numFmtId="0">
      <sharedItems containsBlank="1" containsMixedTypes="1" containsNumber="1" containsInteger="1" minValue="1" maxValue="2"/>
    </cacheField>
    <cacheField name="Question 14.7" numFmtId="0">
      <sharedItems containsBlank="1" containsMixedTypes="1" containsNumber="1" containsInteger="1" minValue="1" maxValue="2"/>
    </cacheField>
    <cacheField name="Question 14.8" numFmtId="0">
      <sharedItems containsBlank="1" containsMixedTypes="1" containsNumber="1" containsInteger="1" minValue="1" maxValue="2"/>
    </cacheField>
    <cacheField name="Question 15" numFmtId="0">
      <sharedItems containsBlank="1" containsMixedTypes="1" containsNumber="1" containsInteger="1" minValue="1" maxValue="2"/>
    </cacheField>
    <cacheField name="Question 15A" numFmtId="0">
      <sharedItems containsBlank="1" containsMixedTypes="1" containsNumber="1" containsInteger="1" minValue="1" maxValue="2"/>
    </cacheField>
    <cacheField name="Question 16.1" numFmtId="0">
      <sharedItems containsBlank="1" containsMixedTypes="1" containsNumber="1" containsInteger="1" minValue="1" maxValue="7"/>
    </cacheField>
    <cacheField name="Question 16.2" numFmtId="0">
      <sharedItems containsBlank="1" containsMixedTypes="1" containsNumber="1" containsInteger="1" minValue="1" maxValue="7"/>
    </cacheField>
    <cacheField name="Question 16.3" numFmtId="0">
      <sharedItems containsBlank="1" containsMixedTypes="1" containsNumber="1" containsInteger="1" minValue="1" maxValue="7"/>
    </cacheField>
    <cacheField name="Question 17" numFmtId="0">
      <sharedItems containsBlank="1" containsMixedTypes="1" containsNumber="1" containsInteger="1" minValue="1" maxValue="8"/>
    </cacheField>
    <cacheField name="Question 18" numFmtId="0">
      <sharedItems containsBlank="1" containsMixedTypes="1" containsNumber="1" containsInteger="1" minValue="1" maxValue="4"/>
    </cacheField>
    <cacheField name="Question 19" numFmtId="0">
      <sharedItems containsBlank="1" containsMixedTypes="1" containsNumber="1" containsInteger="1" minValue="1" maxValue="8"/>
    </cacheField>
    <cacheField name="Question 20.1" numFmtId="0">
      <sharedItems containsBlank="1" containsMixedTypes="1" containsNumber="1" containsInteger="1" minValue="1" maxValue="8"/>
    </cacheField>
    <cacheField name="Question 20.2" numFmtId="0">
      <sharedItems containsBlank="1" containsMixedTypes="1" containsNumber="1" containsInteger="1" minValue="1" maxValue="8"/>
    </cacheField>
    <cacheField name="Question 20.3" numFmtId="0">
      <sharedItems containsBlank="1" containsMixedTypes="1" containsNumber="1" containsInteger="1" minValue="1" maxValue="8"/>
    </cacheField>
    <cacheField name="Question 21" numFmtId="0">
      <sharedItems containsBlank="1" containsMixedTypes="1" containsNumber="1" containsInteger="1" minValue="1" maxValue="4"/>
    </cacheField>
    <cacheField name="Question 21A" numFmtId="0">
      <sharedItems containsBlank="1" containsMixedTypes="1" containsNumber="1" containsInteger="1" minValue="1" maxValue="4"/>
    </cacheField>
    <cacheField name="Question 21Peu" numFmtId="0">
      <sharedItems containsBlank="1"/>
    </cacheField>
    <cacheField name="Question 21Pas" numFmtId="0">
      <sharedItems containsBlank="1"/>
    </cacheField>
    <cacheField name="Question 22.1" numFmtId="0">
      <sharedItems containsBlank="1" containsMixedTypes="1" containsNumber="1" containsInteger="1" minValue="1" maxValue="2"/>
    </cacheField>
    <cacheField name="Question 22.2" numFmtId="0">
      <sharedItems containsBlank="1" containsMixedTypes="1" containsNumber="1" containsInteger="1" minValue="1" maxValue="2"/>
    </cacheField>
    <cacheField name="Question 22.3" numFmtId="0">
      <sharedItems containsBlank="1" containsMixedTypes="1" containsNumber="1" containsInteger="1" minValue="1" maxValue="2"/>
    </cacheField>
    <cacheField name="Question 22.4" numFmtId="0">
      <sharedItems containsBlank="1" containsMixedTypes="1" containsNumber="1" containsInteger="1" minValue="1" maxValue="2"/>
    </cacheField>
    <cacheField name="Question 22.5" numFmtId="0">
      <sharedItems containsBlank="1" containsMixedTypes="1" containsNumber="1" containsInteger="1" minValue="1" maxValue="2"/>
    </cacheField>
    <cacheField name="Question 22.6" numFmtId="0">
      <sharedItems containsBlank="1" containsMixedTypes="1" containsNumber="1" containsInteger="1" minValue="1" maxValue="2"/>
    </cacheField>
    <cacheField name="Question 23" numFmtId="0">
      <sharedItems containsBlank="1" containsMixedTypes="1" containsNumber="1" containsInteger="1" minValue="1" maxValue="2"/>
    </cacheField>
    <cacheField name="Question 24" numFmtId="0">
      <sharedItems containsBlank="1" containsMixedTypes="1" containsNumber="1" containsInteger="1" minValue="1" maxValue="2"/>
    </cacheField>
    <cacheField name="Question 25" numFmtId="0">
      <sharedItems containsBlank="1" containsMixedTypes="1" containsNumber="1" containsInteger="1" minValue="1" maxValue="4"/>
    </cacheField>
    <cacheField name="Question 25A" numFmtId="0">
      <sharedItems containsBlank="1" containsMixedTypes="1" containsNumber="1" containsInteger="1" minValue="1" maxValue="98"/>
    </cacheField>
    <cacheField name="Question 25Autre" numFmtId="0">
      <sharedItems containsBlank="1"/>
    </cacheField>
    <cacheField name="Question 26" numFmtId="0">
      <sharedItems containsBlank="1" containsMixedTypes="1" containsNumber="1" containsInteger="1" minValue="1" maxValue="2"/>
    </cacheField>
    <cacheField name="Question 26A" numFmtId="0">
      <sharedItems containsBlank="1" containsMixedTypes="1" containsNumber="1" containsInteger="1" minValue="1" maxValue="4"/>
    </cacheField>
    <cacheField name="Question 26B" numFmtId="0">
      <sharedItems containsBlank="1" containsMixedTypes="1" containsNumber="1" containsInteger="1" minValue="1" maxValue="98"/>
    </cacheField>
    <cacheField name="Question 26Autre" numFmtId="0">
      <sharedItems containsBlank="1"/>
    </cacheField>
    <cacheField name="Question 27" numFmtId="0">
      <sharedItems containsBlank="1" containsMixedTypes="1" containsNumber="1" containsInteger="1" minValue="1" maxValue="8"/>
    </cacheField>
    <cacheField name="Question 28" numFmtId="0">
      <sharedItems containsBlank="1" containsMixedTypes="1" containsNumber="1" containsInteger="1" minValue="1" maxValue="4"/>
    </cacheField>
    <cacheField name="Question 29" numFmtId="0">
      <sharedItems containsBlank="1" containsMixedTypes="1" containsNumber="1" containsInteger="1" minValue="1" maxValue="5"/>
    </cacheField>
    <cacheField name="Question 30" numFmtId="0">
      <sharedItems containsBlank="1" containsMixedTypes="1" containsNumber="1" containsInteger="1" minValue="1" maxValue="2" count="4">
        <s v="Êtes-vous :"/>
        <n v="1"/>
        <n v="2"/>
        <m/>
      </sharedItems>
    </cacheField>
    <cacheField name="Question 31" numFmtId="0">
      <sharedItems containsBlank="1" containsMixedTypes="1" containsNumber="1" containsInteger="1" minValue="1946" maxValue="1994"/>
    </cacheField>
    <cacheField name="Question 32" numFmtId="0">
      <sharedItems containsBlank="1" containsMixedTypes="1" containsNumber="1" containsInteger="1" minValue="1" maxValue="3"/>
    </cacheField>
    <cacheField name="Question 32 Autre" numFmtId="0">
      <sharedItems containsBlank="1"/>
    </cacheField>
    <cacheField name="Question 33" numFmtId="0">
      <sharedItems containsBlank="1" containsMixedTypes="1" containsNumber="1" containsInteger="1" minValue="1" maxValue="7"/>
    </cacheField>
    <cacheField name="Question 33 Autre" numFmtId="0">
      <sharedItems containsBlank="1"/>
    </cacheField>
    <cacheField name="Question 34" numFmtId="0">
      <sharedItems containsBlank="1" containsMixedTypes="1" containsNumber="1" containsInteger="1" minValue="1" maxValue="6"/>
    </cacheField>
    <cacheField name="Question 34 Autre" numFmtId="0">
      <sharedItems containsBlank="1"/>
    </cacheField>
    <cacheField name="Question 35" numFmtId="0">
      <sharedItems containsBlank="1" containsMixedTypes="1" containsNumber="1" containsInteger="1" minValue="1" maxValue="4"/>
    </cacheField>
    <cacheField name="Question 35 Autre" numFmtId="0">
      <sharedItems containsBlank="1"/>
    </cacheField>
    <cacheField name="Question 36" numFmtId="0">
      <sharedItems containsBlank="1" containsMixedTypes="1" containsNumber="1" containsInteger="1" minValue="1" maxValue="4"/>
    </cacheField>
    <cacheField name="Répondant" numFmtId="0">
      <sharedItems containsString="0" containsBlank="1" containsNumber="1" containsInteger="1" minValue="1" maxValue="1"/>
    </cacheField>
    <cacheField name="Calcul de l'âge" numFmtId="0">
      <sharedItems containsString="0" containsBlank="1" containsNumber="1" containsInteger="1" minValue="19" maxValue="2013"/>
    </cacheField>
    <cacheField name="L'âge regrouper" numFmtId="0">
      <sharedItems containsString="0" containsBlank="1" containsNumber="1" containsInteger="1" minValue="1" maxValue="4" count="5">
        <m/>
        <n v="1"/>
        <n v="2"/>
        <n v="3"/>
        <n v="4"/>
      </sharedItems>
    </cacheField>
    <cacheField name="Calcul vivre seul (MS)" numFmtId="0">
      <sharedItems containsString="0" containsBlank="1" containsNumber="1" containsInteger="1" minValue="1" maxValue="3"/>
    </cacheField>
    <cacheField name="Calcul ménage (M)" numFmtId="0">
      <sharedItems containsString="0" containsBlank="1" containsNumber="1" containsInteger="1" minValue="1" maxValue="5"/>
    </cacheField>
    <cacheField name="Calcul enfant (ME)" numFmtId="0">
      <sharedItems containsString="0" containsBlank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3.xml><?xml version="1.0" encoding="utf-8"?>
<pivotCacheDefinition xmlns="http://schemas.openxmlformats.org/spreadsheetml/2006/main" xmlns:r="http://schemas.openxmlformats.org/officeDocument/2006/relationships" r:id="rId1" refreshedBy="Tesmel01" refreshedDate="41416.545153009261" createdVersion="3" refreshedVersion="3" minRefreshableVersion="3" recordCount="632">
  <cacheSource type="worksheet">
    <worksheetSource ref="L1:CQ1048576" sheet="Grille de saisie"/>
  </cacheSource>
  <cacheFields count="84">
    <cacheField name="Question 7" numFmtId="0">
      <sharedItems containsBlank="1" containsMixedTypes="1" containsNumber="1" containsInteger="1" minValue="1" maxValue="5" count="7">
        <s v="Habituellement, combien de fois sortez-vous seul(e) dans votre quartier APRÈS LA TOMBÉE DU JOUR ? Est-ce ... "/>
        <n v="1"/>
        <n v="2"/>
        <n v="4"/>
        <n v="5"/>
        <n v="3"/>
        <m/>
      </sharedItems>
    </cacheField>
    <cacheField name="Question 8.1" numFmtId="0">
      <sharedItems containsBlank="1" containsMixedTypes="1" containsNumber="1" containsInteger="1" minValue="1" maxValue="4"/>
    </cacheField>
    <cacheField name="Question 8.2" numFmtId="0">
      <sharedItems containsBlank="1" containsMixedTypes="1" containsNumber="1" containsInteger="1" minValue="1" maxValue="4"/>
    </cacheField>
    <cacheField name="Question 8.3" numFmtId="0">
      <sharedItems containsBlank="1" containsMixedTypes="1" containsNumber="1" containsInteger="1" minValue="1" maxValue="4"/>
    </cacheField>
    <cacheField name="Question 8.4" numFmtId="0">
      <sharedItems containsBlank="1" containsMixedTypes="1" containsNumber="1" containsInteger="1" minValue="1" maxValue="4"/>
    </cacheField>
    <cacheField name="Question 8.5" numFmtId="0">
      <sharedItems containsBlank="1" containsMixedTypes="1" containsNumber="1" containsInteger="1" minValue="1" maxValue="4"/>
    </cacheField>
    <cacheField name="Question 8.6" numFmtId="0">
      <sharedItems containsBlank="1" containsMixedTypes="1" containsNumber="1" containsInteger="1" minValue="1" maxValue="4"/>
    </cacheField>
    <cacheField name="Question 8.7" numFmtId="0">
      <sharedItems containsBlank="1" containsMixedTypes="1" containsNumber="1" containsInteger="1" minValue="1" maxValue="4"/>
    </cacheField>
    <cacheField name="Question 8.8" numFmtId="0">
      <sharedItems containsBlank="1" containsMixedTypes="1" containsNumber="1" containsInteger="1" minValue="1" maxValue="4"/>
    </cacheField>
    <cacheField name="Question 9.1" numFmtId="0">
      <sharedItems containsBlank="1" containsMixedTypes="1" containsNumber="1" containsInteger="1" minValue="1" maxValue="4"/>
    </cacheField>
    <cacheField name="Question 9.2" numFmtId="0">
      <sharedItems containsBlank="1" containsMixedTypes="1" containsNumber="1" containsInteger="1" minValue="1" maxValue="4"/>
    </cacheField>
    <cacheField name="Question 10.1" numFmtId="0">
      <sharedItems containsBlank="1" containsMixedTypes="1" containsNumber="1" containsInteger="1" minValue="1" maxValue="4"/>
    </cacheField>
    <cacheField name="Question 10.2" numFmtId="0">
      <sharedItems containsBlank="1" containsMixedTypes="1" containsNumber="1" containsInteger="1" minValue="1" maxValue="4"/>
    </cacheField>
    <cacheField name="Question 11" numFmtId="0">
      <sharedItems containsBlank="1" containsMixedTypes="1" containsNumber="1" containsInteger="1" minValue="1" maxValue="2"/>
    </cacheField>
    <cacheField name="Question 12" numFmtId="0">
      <sharedItems containsBlank="1" containsMixedTypes="1" containsNumber="1" containsInteger="1" minValue="1" maxValue="2"/>
    </cacheField>
    <cacheField name="Question 12A1" numFmtId="0">
      <sharedItems containsBlank="1" containsMixedTypes="1" containsNumber="1" containsInteger="1" minValue="1" maxValue="1"/>
    </cacheField>
    <cacheField name="Question 12A2" numFmtId="0">
      <sharedItems containsBlank="1" containsMixedTypes="1" containsNumber="1" containsInteger="1" minValue="1" maxValue="1"/>
    </cacheField>
    <cacheField name="Question 12A3" numFmtId="0">
      <sharedItems containsBlank="1" containsMixedTypes="1" containsNumber="1" containsInteger="1" minValue="1" maxValue="1"/>
    </cacheField>
    <cacheField name="Question 12A4" numFmtId="0">
      <sharedItems containsBlank="1" containsMixedTypes="1" containsNumber="1" containsInteger="1" minValue="1" maxValue="1"/>
    </cacheField>
    <cacheField name="Question 12A5" numFmtId="0">
      <sharedItems containsBlank="1" containsMixedTypes="1" containsNumber="1" containsInteger="1" minValue="1" maxValue="1"/>
    </cacheField>
    <cacheField name="Question 12A6" numFmtId="0">
      <sharedItems containsBlank="1" containsMixedTypes="1" containsNumber="1" containsInteger="1" minValue="1" maxValue="1"/>
    </cacheField>
    <cacheField name="Question 12A7" numFmtId="0">
      <sharedItems containsBlank="1" containsMixedTypes="1" containsNumber="1" containsInteger="1" minValue="1" maxValue="1"/>
    </cacheField>
    <cacheField name="Question 12A8" numFmtId="0">
      <sharedItems containsBlank="1" containsMixedTypes="1" containsNumber="1" containsInteger="1" minValue="1" maxValue="1"/>
    </cacheField>
    <cacheField name="Question 12A9" numFmtId="0">
      <sharedItems containsBlank="1"/>
    </cacheField>
    <cacheField name="Question 13" numFmtId="0">
      <sharedItems containsBlank="1" containsMixedTypes="1" containsNumber="1" containsInteger="1" minValue="1" maxValue="2"/>
    </cacheField>
    <cacheField name="Question 13A" numFmtId="0">
      <sharedItems containsBlank="1"/>
    </cacheField>
    <cacheField name="Question 14.1" numFmtId="0">
      <sharedItems containsBlank="1" containsMixedTypes="1" containsNumber="1" containsInteger="1" minValue="1" maxValue="2"/>
    </cacheField>
    <cacheField name="Question 14.2" numFmtId="0">
      <sharedItems containsBlank="1" containsMixedTypes="1" containsNumber="1" containsInteger="1" minValue="1" maxValue="2"/>
    </cacheField>
    <cacheField name="Question 14.3" numFmtId="0">
      <sharedItems containsBlank="1" containsMixedTypes="1" containsNumber="1" containsInteger="1" minValue="1" maxValue="2"/>
    </cacheField>
    <cacheField name="Question 14.4" numFmtId="0">
      <sharedItems containsBlank="1" containsMixedTypes="1" containsNumber="1" containsInteger="1" minValue="1" maxValue="2"/>
    </cacheField>
    <cacheField name="Question 14.5" numFmtId="0">
      <sharedItems containsBlank="1" containsMixedTypes="1" containsNumber="1" containsInteger="1" minValue="1" maxValue="2"/>
    </cacheField>
    <cacheField name="Question 14.6" numFmtId="0">
      <sharedItems containsBlank="1" containsMixedTypes="1" containsNumber="1" containsInteger="1" minValue="1" maxValue="2"/>
    </cacheField>
    <cacheField name="Question 14.7" numFmtId="0">
      <sharedItems containsBlank="1" containsMixedTypes="1" containsNumber="1" containsInteger="1" minValue="1" maxValue="2"/>
    </cacheField>
    <cacheField name="Question 14.8" numFmtId="0">
      <sharedItems containsBlank="1" containsMixedTypes="1" containsNumber="1" containsInteger="1" minValue="1" maxValue="2"/>
    </cacheField>
    <cacheField name="Question 15" numFmtId="0">
      <sharedItems containsBlank="1" containsMixedTypes="1" containsNumber="1" containsInteger="1" minValue="1" maxValue="2"/>
    </cacheField>
    <cacheField name="Question 15A" numFmtId="0">
      <sharedItems containsBlank="1" containsMixedTypes="1" containsNumber="1" containsInteger="1" minValue="1" maxValue="2"/>
    </cacheField>
    <cacheField name="Question 16.1" numFmtId="0">
      <sharedItems containsBlank="1" containsMixedTypes="1" containsNumber="1" containsInteger="1" minValue="1" maxValue="7"/>
    </cacheField>
    <cacheField name="Question 16.2" numFmtId="0">
      <sharedItems containsBlank="1" containsMixedTypes="1" containsNumber="1" containsInteger="1" minValue="1" maxValue="7"/>
    </cacheField>
    <cacheField name="Question 16.3" numFmtId="0">
      <sharedItems containsBlank="1" containsMixedTypes="1" containsNumber="1" containsInteger="1" minValue="1" maxValue="7"/>
    </cacheField>
    <cacheField name="Question 17" numFmtId="0">
      <sharedItems containsBlank="1" containsMixedTypes="1" containsNumber="1" containsInteger="1" minValue="1" maxValue="8"/>
    </cacheField>
    <cacheField name="Question 18" numFmtId="0">
      <sharedItems containsBlank="1" containsMixedTypes="1" containsNumber="1" containsInteger="1" minValue="1" maxValue="4"/>
    </cacheField>
    <cacheField name="Question 19" numFmtId="0">
      <sharedItems containsBlank="1" containsMixedTypes="1" containsNumber="1" containsInteger="1" minValue="1" maxValue="8"/>
    </cacheField>
    <cacheField name="Question 20.1" numFmtId="0">
      <sharedItems containsBlank="1" containsMixedTypes="1" containsNumber="1" containsInteger="1" minValue="1" maxValue="8"/>
    </cacheField>
    <cacheField name="Question 20.2" numFmtId="0">
      <sharedItems containsBlank="1" containsMixedTypes="1" containsNumber="1" containsInteger="1" minValue="1" maxValue="8"/>
    </cacheField>
    <cacheField name="Question 20.3" numFmtId="0">
      <sharedItems containsBlank="1" containsMixedTypes="1" containsNumber="1" containsInteger="1" minValue="1" maxValue="8"/>
    </cacheField>
    <cacheField name="Question 21" numFmtId="0">
      <sharedItems containsBlank="1" containsMixedTypes="1" containsNumber="1" containsInteger="1" minValue="1" maxValue="4"/>
    </cacheField>
    <cacheField name="Question 21A" numFmtId="0">
      <sharedItems containsBlank="1" containsMixedTypes="1" containsNumber="1" containsInteger="1" minValue="1" maxValue="4"/>
    </cacheField>
    <cacheField name="Question 21Peu" numFmtId="0">
      <sharedItems containsBlank="1"/>
    </cacheField>
    <cacheField name="Question 21Pas" numFmtId="0">
      <sharedItems containsBlank="1"/>
    </cacheField>
    <cacheField name="Question 22.1" numFmtId="0">
      <sharedItems containsBlank="1" containsMixedTypes="1" containsNumber="1" containsInteger="1" minValue="1" maxValue="2"/>
    </cacheField>
    <cacheField name="Question 22.2" numFmtId="0">
      <sharedItems containsBlank="1" containsMixedTypes="1" containsNumber="1" containsInteger="1" minValue="1" maxValue="2"/>
    </cacheField>
    <cacheField name="Question 22.3" numFmtId="0">
      <sharedItems containsBlank="1" containsMixedTypes="1" containsNumber="1" containsInteger="1" minValue="1" maxValue="2"/>
    </cacheField>
    <cacheField name="Question 22.4" numFmtId="0">
      <sharedItems containsBlank="1" containsMixedTypes="1" containsNumber="1" containsInteger="1" minValue="1" maxValue="2"/>
    </cacheField>
    <cacheField name="Question 22.5" numFmtId="0">
      <sharedItems containsBlank="1" containsMixedTypes="1" containsNumber="1" containsInteger="1" minValue="1" maxValue="2"/>
    </cacheField>
    <cacheField name="Question 22.6" numFmtId="0">
      <sharedItems containsBlank="1" containsMixedTypes="1" containsNumber="1" containsInteger="1" minValue="1" maxValue="2"/>
    </cacheField>
    <cacheField name="Question 23" numFmtId="0">
      <sharedItems containsBlank="1" containsMixedTypes="1" containsNumber="1" containsInteger="1" minValue="1" maxValue="2"/>
    </cacheField>
    <cacheField name="Question 24" numFmtId="0">
      <sharedItems containsBlank="1" containsMixedTypes="1" containsNumber="1" containsInteger="1" minValue="1" maxValue="2"/>
    </cacheField>
    <cacheField name="Question 25" numFmtId="0">
      <sharedItems containsBlank="1" containsMixedTypes="1" containsNumber="1" containsInteger="1" minValue="1" maxValue="4"/>
    </cacheField>
    <cacheField name="Question 25A" numFmtId="0">
      <sharedItems containsBlank="1" containsMixedTypes="1" containsNumber="1" containsInteger="1" minValue="1" maxValue="98"/>
    </cacheField>
    <cacheField name="Question 25Autre" numFmtId="0">
      <sharedItems containsBlank="1"/>
    </cacheField>
    <cacheField name="Question 26" numFmtId="0">
      <sharedItems containsBlank="1" containsMixedTypes="1" containsNumber="1" containsInteger="1" minValue="1" maxValue="2"/>
    </cacheField>
    <cacheField name="Question 26A" numFmtId="0">
      <sharedItems containsBlank="1" containsMixedTypes="1" containsNumber="1" containsInteger="1" minValue="1" maxValue="4"/>
    </cacheField>
    <cacheField name="Question 26B" numFmtId="0">
      <sharedItems containsBlank="1" containsMixedTypes="1" containsNumber="1" containsInteger="1" minValue="1" maxValue="98"/>
    </cacheField>
    <cacheField name="Question 26Autre" numFmtId="0">
      <sharedItems containsBlank="1"/>
    </cacheField>
    <cacheField name="Question 27" numFmtId="0">
      <sharedItems containsBlank="1" containsMixedTypes="1" containsNumber="1" containsInteger="1" minValue="1" maxValue="8"/>
    </cacheField>
    <cacheField name="Question 28" numFmtId="0">
      <sharedItems containsBlank="1" containsMixedTypes="1" containsNumber="1" containsInteger="1" minValue="1" maxValue="4"/>
    </cacheField>
    <cacheField name="Question 29" numFmtId="0">
      <sharedItems containsBlank="1" containsMixedTypes="1" containsNumber="1" containsInteger="1" minValue="1" maxValue="5"/>
    </cacheField>
    <cacheField name="Question 30" numFmtId="0">
      <sharedItems containsBlank="1" containsMixedTypes="1" containsNumber="1" containsInteger="1" minValue="1" maxValue="2" count="4">
        <s v="Êtes-vous :"/>
        <n v="1"/>
        <n v="2"/>
        <m/>
      </sharedItems>
    </cacheField>
    <cacheField name="Question 31" numFmtId="0">
      <sharedItems containsBlank="1" containsMixedTypes="1" containsNumber="1" containsInteger="1" minValue="1946" maxValue="1994"/>
    </cacheField>
    <cacheField name="Question 32" numFmtId="0">
      <sharedItems containsBlank="1" containsMixedTypes="1" containsNumber="1" containsInteger="1" minValue="1" maxValue="3"/>
    </cacheField>
    <cacheField name="Question 32 Autre" numFmtId="0">
      <sharedItems containsBlank="1"/>
    </cacheField>
    <cacheField name="Question 33" numFmtId="0">
      <sharedItems containsBlank="1" containsMixedTypes="1" containsNumber="1" containsInteger="1" minValue="1" maxValue="7"/>
    </cacheField>
    <cacheField name="Question 33 Autre" numFmtId="0">
      <sharedItems containsBlank="1"/>
    </cacheField>
    <cacheField name="Question 34" numFmtId="0">
      <sharedItems containsBlank="1" containsMixedTypes="1" containsNumber="1" containsInteger="1" minValue="1" maxValue="6"/>
    </cacheField>
    <cacheField name="Question 34 Autre" numFmtId="0">
      <sharedItems containsBlank="1"/>
    </cacheField>
    <cacheField name="Question 35" numFmtId="0">
      <sharedItems containsBlank="1" containsMixedTypes="1" containsNumber="1" containsInteger="1" minValue="1" maxValue="4"/>
    </cacheField>
    <cacheField name="Question 35 Autre" numFmtId="0">
      <sharedItems containsBlank="1"/>
    </cacheField>
    <cacheField name="Question 36" numFmtId="0">
      <sharedItems containsBlank="1" containsMixedTypes="1" containsNumber="1" containsInteger="1" minValue="1" maxValue="4"/>
    </cacheField>
    <cacheField name="Répondant" numFmtId="0">
      <sharedItems containsString="0" containsBlank="1" containsNumber="1" containsInteger="1" minValue="1" maxValue="1"/>
    </cacheField>
    <cacheField name="Calcul de l'âge" numFmtId="0">
      <sharedItems containsString="0" containsBlank="1" containsNumber="1" containsInteger="1" minValue="19" maxValue="2013"/>
    </cacheField>
    <cacheField name="L'âge regrouper" numFmtId="0">
      <sharedItems containsString="0" containsBlank="1" containsNumber="1" containsInteger="1" minValue="1" maxValue="4" count="5">
        <m/>
        <n v="1"/>
        <n v="2"/>
        <n v="3"/>
        <n v="4"/>
      </sharedItems>
    </cacheField>
    <cacheField name="Calcul vivre seul (MS)" numFmtId="0">
      <sharedItems containsString="0" containsBlank="1" containsNumber="1" containsInteger="1" minValue="1" maxValue="3"/>
    </cacheField>
    <cacheField name="Calcul ménage (M)" numFmtId="0">
      <sharedItems containsString="0" containsBlank="1" containsNumber="1" containsInteger="1" minValue="1" maxValue="5"/>
    </cacheField>
    <cacheField name="Calcul enfant (ME)" numFmtId="0">
      <sharedItems containsString="0" containsBlank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4.xml><?xml version="1.0" encoding="utf-8"?>
<pivotCacheDefinition xmlns="http://schemas.openxmlformats.org/spreadsheetml/2006/main" xmlns:r="http://schemas.openxmlformats.org/officeDocument/2006/relationships" r:id="rId1" refreshedBy="Tesmel01" refreshedDate="41416.545153587962" createdVersion="3" refreshedVersion="3" minRefreshableVersion="3" recordCount="632">
  <cacheSource type="worksheet">
    <worksheetSource ref="M1:CQ1048576" sheet="Grille de saisie"/>
  </cacheSource>
  <cacheFields count="83">
    <cacheField name="Question 8.1" numFmtId="0">
      <sharedItems containsBlank="1" containsMixedTypes="1" containsNumber="1" containsInteger="1" minValue="1" maxValue="4" count="6">
        <s v="Dans votre quartier, les problèmes causés par des gens bruyants sont … ?"/>
        <n v="2"/>
        <n v="3"/>
        <n v="4"/>
        <n v="1"/>
        <m/>
      </sharedItems>
    </cacheField>
    <cacheField name="Question 8.2" numFmtId="0">
      <sharedItems containsBlank="1" containsMixedTypes="1" containsNumber="1" containsInteger="1" minValue="1" maxValue="4"/>
    </cacheField>
    <cacheField name="Question 8.3" numFmtId="0">
      <sharedItems containsBlank="1" containsMixedTypes="1" containsNumber="1" containsInteger="1" minValue="1" maxValue="4"/>
    </cacheField>
    <cacheField name="Question 8.4" numFmtId="0">
      <sharedItems containsBlank="1" containsMixedTypes="1" containsNumber="1" containsInteger="1" minValue="1" maxValue="4"/>
    </cacheField>
    <cacheField name="Question 8.5" numFmtId="0">
      <sharedItems containsBlank="1" containsMixedTypes="1" containsNumber="1" containsInteger="1" minValue="1" maxValue="4"/>
    </cacheField>
    <cacheField name="Question 8.6" numFmtId="0">
      <sharedItems containsBlank="1" containsMixedTypes="1" containsNumber="1" containsInteger="1" minValue="1" maxValue="4"/>
    </cacheField>
    <cacheField name="Question 8.7" numFmtId="0">
      <sharedItems containsBlank="1" containsMixedTypes="1" containsNumber="1" containsInteger="1" minValue="1" maxValue="4"/>
    </cacheField>
    <cacheField name="Question 8.8" numFmtId="0">
      <sharedItems containsBlank="1" containsMixedTypes="1" containsNumber="1" containsInteger="1" minValue="1" maxValue="4"/>
    </cacheField>
    <cacheField name="Question 9.1" numFmtId="0">
      <sharedItems containsBlank="1" containsMixedTypes="1" containsNumber="1" containsInteger="1" minValue="1" maxValue="4"/>
    </cacheField>
    <cacheField name="Question 9.2" numFmtId="0">
      <sharedItems containsBlank="1" containsMixedTypes="1" containsNumber="1" containsInteger="1" minValue="1" maxValue="4"/>
    </cacheField>
    <cacheField name="Question 10.1" numFmtId="0">
      <sharedItems containsBlank="1" containsMixedTypes="1" containsNumber="1" containsInteger="1" minValue="1" maxValue="4"/>
    </cacheField>
    <cacheField name="Question 10.2" numFmtId="0">
      <sharedItems containsBlank="1" containsMixedTypes="1" containsNumber="1" containsInteger="1" minValue="1" maxValue="4"/>
    </cacheField>
    <cacheField name="Question 11" numFmtId="0">
      <sharedItems containsBlank="1" containsMixedTypes="1" containsNumber="1" containsInteger="1" minValue="1" maxValue="2"/>
    </cacheField>
    <cacheField name="Question 12" numFmtId="0">
      <sharedItems containsBlank="1" containsMixedTypes="1" containsNumber="1" containsInteger="1" minValue="1" maxValue="2"/>
    </cacheField>
    <cacheField name="Question 12A1" numFmtId="0">
      <sharedItems containsBlank="1" containsMixedTypes="1" containsNumber="1" containsInteger="1" minValue="1" maxValue="1"/>
    </cacheField>
    <cacheField name="Question 12A2" numFmtId="0">
      <sharedItems containsBlank="1" containsMixedTypes="1" containsNumber="1" containsInteger="1" minValue="1" maxValue="1"/>
    </cacheField>
    <cacheField name="Question 12A3" numFmtId="0">
      <sharedItems containsBlank="1" containsMixedTypes="1" containsNumber="1" containsInteger="1" minValue="1" maxValue="1"/>
    </cacheField>
    <cacheField name="Question 12A4" numFmtId="0">
      <sharedItems containsBlank="1" containsMixedTypes="1" containsNumber="1" containsInteger="1" minValue="1" maxValue="1"/>
    </cacheField>
    <cacheField name="Question 12A5" numFmtId="0">
      <sharedItems containsBlank="1" containsMixedTypes="1" containsNumber="1" containsInteger="1" minValue="1" maxValue="1"/>
    </cacheField>
    <cacheField name="Question 12A6" numFmtId="0">
      <sharedItems containsBlank="1" containsMixedTypes="1" containsNumber="1" containsInteger="1" minValue="1" maxValue="1"/>
    </cacheField>
    <cacheField name="Question 12A7" numFmtId="0">
      <sharedItems containsBlank="1" containsMixedTypes="1" containsNumber="1" containsInteger="1" minValue="1" maxValue="1"/>
    </cacheField>
    <cacheField name="Question 12A8" numFmtId="0">
      <sharedItems containsBlank="1" containsMixedTypes="1" containsNumber="1" containsInteger="1" minValue="1" maxValue="1"/>
    </cacheField>
    <cacheField name="Question 12A9" numFmtId="0">
      <sharedItems containsBlank="1"/>
    </cacheField>
    <cacheField name="Question 13" numFmtId="0">
      <sharedItems containsBlank="1" containsMixedTypes="1" containsNumber="1" containsInteger="1" minValue="1" maxValue="2"/>
    </cacheField>
    <cacheField name="Question 13A" numFmtId="0">
      <sharedItems containsBlank="1"/>
    </cacheField>
    <cacheField name="Question 14.1" numFmtId="0">
      <sharedItems containsBlank="1" containsMixedTypes="1" containsNumber="1" containsInteger="1" minValue="1" maxValue="2"/>
    </cacheField>
    <cacheField name="Question 14.2" numFmtId="0">
      <sharedItems containsBlank="1" containsMixedTypes="1" containsNumber="1" containsInteger="1" minValue="1" maxValue="2"/>
    </cacheField>
    <cacheField name="Question 14.3" numFmtId="0">
      <sharedItems containsBlank="1" containsMixedTypes="1" containsNumber="1" containsInteger="1" minValue="1" maxValue="2"/>
    </cacheField>
    <cacheField name="Question 14.4" numFmtId="0">
      <sharedItems containsBlank="1" containsMixedTypes="1" containsNumber="1" containsInteger="1" minValue="1" maxValue="2"/>
    </cacheField>
    <cacheField name="Question 14.5" numFmtId="0">
      <sharedItems containsBlank="1" containsMixedTypes="1" containsNumber="1" containsInteger="1" minValue="1" maxValue="2"/>
    </cacheField>
    <cacheField name="Question 14.6" numFmtId="0">
      <sharedItems containsBlank="1" containsMixedTypes="1" containsNumber="1" containsInteger="1" minValue="1" maxValue="2"/>
    </cacheField>
    <cacheField name="Question 14.7" numFmtId="0">
      <sharedItems containsBlank="1" containsMixedTypes="1" containsNumber="1" containsInteger="1" minValue="1" maxValue="2"/>
    </cacheField>
    <cacheField name="Question 14.8" numFmtId="0">
      <sharedItems containsBlank="1" containsMixedTypes="1" containsNumber="1" containsInteger="1" minValue="1" maxValue="2"/>
    </cacheField>
    <cacheField name="Question 15" numFmtId="0">
      <sharedItems containsBlank="1" containsMixedTypes="1" containsNumber="1" containsInteger="1" minValue="1" maxValue="2"/>
    </cacheField>
    <cacheField name="Question 15A" numFmtId="0">
      <sharedItems containsBlank="1" containsMixedTypes="1" containsNumber="1" containsInteger="1" minValue="1" maxValue="2"/>
    </cacheField>
    <cacheField name="Question 16.1" numFmtId="0">
      <sharedItems containsBlank="1" containsMixedTypes="1" containsNumber="1" containsInteger="1" minValue="1" maxValue="7"/>
    </cacheField>
    <cacheField name="Question 16.2" numFmtId="0">
      <sharedItems containsBlank="1" containsMixedTypes="1" containsNumber="1" containsInteger="1" minValue="1" maxValue="7"/>
    </cacheField>
    <cacheField name="Question 16.3" numFmtId="0">
      <sharedItems containsBlank="1" containsMixedTypes="1" containsNumber="1" containsInteger="1" minValue="1" maxValue="7"/>
    </cacheField>
    <cacheField name="Question 17" numFmtId="0">
      <sharedItems containsBlank="1" containsMixedTypes="1" containsNumber="1" containsInteger="1" minValue="1" maxValue="8"/>
    </cacheField>
    <cacheField name="Question 18" numFmtId="0">
      <sharedItems containsBlank="1" containsMixedTypes="1" containsNumber="1" containsInteger="1" minValue="1" maxValue="4"/>
    </cacheField>
    <cacheField name="Question 19" numFmtId="0">
      <sharedItems containsBlank="1" containsMixedTypes="1" containsNumber="1" containsInteger="1" minValue="1" maxValue="8"/>
    </cacheField>
    <cacheField name="Question 20.1" numFmtId="0">
      <sharedItems containsBlank="1" containsMixedTypes="1" containsNumber="1" containsInteger="1" minValue="1" maxValue="8"/>
    </cacheField>
    <cacheField name="Question 20.2" numFmtId="0">
      <sharedItems containsBlank="1" containsMixedTypes="1" containsNumber="1" containsInteger="1" minValue="1" maxValue="8"/>
    </cacheField>
    <cacheField name="Question 20.3" numFmtId="0">
      <sharedItems containsBlank="1" containsMixedTypes="1" containsNumber="1" containsInteger="1" minValue="1" maxValue="8"/>
    </cacheField>
    <cacheField name="Question 21" numFmtId="0">
      <sharedItems containsBlank="1" containsMixedTypes="1" containsNumber="1" containsInteger="1" minValue="1" maxValue="4"/>
    </cacheField>
    <cacheField name="Question 21A" numFmtId="0">
      <sharedItems containsBlank="1" containsMixedTypes="1" containsNumber="1" containsInteger="1" minValue="1" maxValue="4"/>
    </cacheField>
    <cacheField name="Question 21Peu" numFmtId="0">
      <sharedItems containsBlank="1"/>
    </cacheField>
    <cacheField name="Question 21Pas" numFmtId="0">
      <sharedItems containsBlank="1"/>
    </cacheField>
    <cacheField name="Question 22.1" numFmtId="0">
      <sharedItems containsBlank="1" containsMixedTypes="1" containsNumber="1" containsInteger="1" minValue="1" maxValue="2"/>
    </cacheField>
    <cacheField name="Question 22.2" numFmtId="0">
      <sharedItems containsBlank="1" containsMixedTypes="1" containsNumber="1" containsInteger="1" minValue="1" maxValue="2"/>
    </cacheField>
    <cacheField name="Question 22.3" numFmtId="0">
      <sharedItems containsBlank="1" containsMixedTypes="1" containsNumber="1" containsInteger="1" minValue="1" maxValue="2"/>
    </cacheField>
    <cacheField name="Question 22.4" numFmtId="0">
      <sharedItems containsBlank="1" containsMixedTypes="1" containsNumber="1" containsInteger="1" minValue="1" maxValue="2"/>
    </cacheField>
    <cacheField name="Question 22.5" numFmtId="0">
      <sharedItems containsBlank="1" containsMixedTypes="1" containsNumber="1" containsInteger="1" minValue="1" maxValue="2"/>
    </cacheField>
    <cacheField name="Question 22.6" numFmtId="0">
      <sharedItems containsBlank="1" containsMixedTypes="1" containsNumber="1" containsInteger="1" minValue="1" maxValue="2"/>
    </cacheField>
    <cacheField name="Question 23" numFmtId="0">
      <sharedItems containsBlank="1" containsMixedTypes="1" containsNumber="1" containsInteger="1" minValue="1" maxValue="2"/>
    </cacheField>
    <cacheField name="Question 24" numFmtId="0">
      <sharedItems containsBlank="1" containsMixedTypes="1" containsNumber="1" containsInteger="1" minValue="1" maxValue="2"/>
    </cacheField>
    <cacheField name="Question 25" numFmtId="0">
      <sharedItems containsBlank="1" containsMixedTypes="1" containsNumber="1" containsInteger="1" minValue="1" maxValue="4"/>
    </cacheField>
    <cacheField name="Question 25A" numFmtId="0">
      <sharedItems containsBlank="1" containsMixedTypes="1" containsNumber="1" containsInteger="1" minValue="1" maxValue="98"/>
    </cacheField>
    <cacheField name="Question 25Autre" numFmtId="0">
      <sharedItems containsBlank="1"/>
    </cacheField>
    <cacheField name="Question 26" numFmtId="0">
      <sharedItems containsBlank="1" containsMixedTypes="1" containsNumber="1" containsInteger="1" minValue="1" maxValue="2"/>
    </cacheField>
    <cacheField name="Question 26A" numFmtId="0">
      <sharedItems containsBlank="1" containsMixedTypes="1" containsNumber="1" containsInteger="1" minValue="1" maxValue="4"/>
    </cacheField>
    <cacheField name="Question 26B" numFmtId="0">
      <sharedItems containsBlank="1" containsMixedTypes="1" containsNumber="1" containsInteger="1" minValue="1" maxValue="98"/>
    </cacheField>
    <cacheField name="Question 26Autre" numFmtId="0">
      <sharedItems containsBlank="1"/>
    </cacheField>
    <cacheField name="Question 27" numFmtId="0">
      <sharedItems containsBlank="1" containsMixedTypes="1" containsNumber="1" containsInteger="1" minValue="1" maxValue="8"/>
    </cacheField>
    <cacheField name="Question 28" numFmtId="0">
      <sharedItems containsBlank="1" containsMixedTypes="1" containsNumber="1" containsInteger="1" minValue="1" maxValue="4"/>
    </cacheField>
    <cacheField name="Question 29" numFmtId="0">
      <sharedItems containsBlank="1" containsMixedTypes="1" containsNumber="1" containsInteger="1" minValue="1" maxValue="5"/>
    </cacheField>
    <cacheField name="Question 30" numFmtId="0">
      <sharedItems containsBlank="1" containsMixedTypes="1" containsNumber="1" containsInteger="1" minValue="1" maxValue="2" count="4">
        <s v="Êtes-vous :"/>
        <n v="1"/>
        <n v="2"/>
        <m/>
      </sharedItems>
    </cacheField>
    <cacheField name="Question 31" numFmtId="0">
      <sharedItems containsBlank="1" containsMixedTypes="1" containsNumber="1" containsInteger="1" minValue="1946" maxValue="1994"/>
    </cacheField>
    <cacheField name="Question 32" numFmtId="0">
      <sharedItems containsBlank="1" containsMixedTypes="1" containsNumber="1" containsInteger="1" minValue="1" maxValue="3"/>
    </cacheField>
    <cacheField name="Question 32 Autre" numFmtId="0">
      <sharedItems containsBlank="1"/>
    </cacheField>
    <cacheField name="Question 33" numFmtId="0">
      <sharedItems containsBlank="1" containsMixedTypes="1" containsNumber="1" containsInteger="1" minValue="1" maxValue="7"/>
    </cacheField>
    <cacheField name="Question 33 Autre" numFmtId="0">
      <sharedItems containsBlank="1"/>
    </cacheField>
    <cacheField name="Question 34" numFmtId="0">
      <sharedItems containsBlank="1" containsMixedTypes="1" containsNumber="1" containsInteger="1" minValue="1" maxValue="6"/>
    </cacheField>
    <cacheField name="Question 34 Autre" numFmtId="0">
      <sharedItems containsBlank="1"/>
    </cacheField>
    <cacheField name="Question 35" numFmtId="0">
      <sharedItems containsBlank="1" containsMixedTypes="1" containsNumber="1" containsInteger="1" minValue="1" maxValue="4"/>
    </cacheField>
    <cacheField name="Question 35 Autre" numFmtId="0">
      <sharedItems containsBlank="1"/>
    </cacheField>
    <cacheField name="Question 36" numFmtId="0">
      <sharedItems containsBlank="1" containsMixedTypes="1" containsNumber="1" containsInteger="1" minValue="1" maxValue="4"/>
    </cacheField>
    <cacheField name="Répondant" numFmtId="0">
      <sharedItems containsString="0" containsBlank="1" containsNumber="1" containsInteger="1" minValue="1" maxValue="1"/>
    </cacheField>
    <cacheField name="Calcul de l'âge" numFmtId="0">
      <sharedItems containsString="0" containsBlank="1" containsNumber="1" containsInteger="1" minValue="19" maxValue="2013"/>
    </cacheField>
    <cacheField name="L'âge regrouper" numFmtId="0">
      <sharedItems containsString="0" containsBlank="1" containsNumber="1" containsInteger="1" minValue="1" maxValue="4" count="5">
        <m/>
        <n v="1"/>
        <n v="2"/>
        <n v="3"/>
        <n v="4"/>
      </sharedItems>
    </cacheField>
    <cacheField name="Calcul vivre seul (MS)" numFmtId="0">
      <sharedItems containsString="0" containsBlank="1" containsNumber="1" containsInteger="1" minValue="1" maxValue="3"/>
    </cacheField>
    <cacheField name="Calcul ménage (M)" numFmtId="0">
      <sharedItems containsString="0" containsBlank="1" containsNumber="1" containsInteger="1" minValue="1" maxValue="5"/>
    </cacheField>
    <cacheField name="Calcul enfant (ME)" numFmtId="0">
      <sharedItems containsString="0" containsBlank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5.xml><?xml version="1.0" encoding="utf-8"?>
<pivotCacheDefinition xmlns="http://schemas.openxmlformats.org/spreadsheetml/2006/main" xmlns:r="http://schemas.openxmlformats.org/officeDocument/2006/relationships" r:id="rId1" refreshedBy="Tesmel01" refreshedDate="41416.54515416667" createdVersion="3" refreshedVersion="3" minRefreshableVersion="3" recordCount="632">
  <cacheSource type="worksheet">
    <worksheetSource ref="N1:CQ1048576" sheet="Grille de saisie"/>
  </cacheSource>
  <cacheFields count="82">
    <cacheField name="Question 8.2" numFmtId="0">
      <sharedItems containsBlank="1" containsMixedTypes="1" containsNumber="1" containsInteger="1" minValue="1" maxValue="4" count="6">
        <s v="Dans votre quartier, les désordres liés à la consommation d'alcool dans les lieux publics sont … ?"/>
        <n v="1"/>
        <n v="2"/>
        <n v="4"/>
        <n v="3"/>
        <m/>
      </sharedItems>
    </cacheField>
    <cacheField name="Question 8.3" numFmtId="0">
      <sharedItems containsBlank="1" containsMixedTypes="1" containsNumber="1" containsInteger="1" minValue="1" maxValue="4"/>
    </cacheField>
    <cacheField name="Question 8.4" numFmtId="0">
      <sharedItems containsBlank="1" containsMixedTypes="1" containsNumber="1" containsInteger="1" minValue="1" maxValue="4"/>
    </cacheField>
    <cacheField name="Question 8.5" numFmtId="0">
      <sharedItems containsBlank="1" containsMixedTypes="1" containsNumber="1" containsInteger="1" minValue="1" maxValue="4"/>
    </cacheField>
    <cacheField name="Question 8.6" numFmtId="0">
      <sharedItems containsBlank="1" containsMixedTypes="1" containsNumber="1" containsInteger="1" minValue="1" maxValue="4"/>
    </cacheField>
    <cacheField name="Question 8.7" numFmtId="0">
      <sharedItems containsBlank="1" containsMixedTypes="1" containsNumber="1" containsInteger="1" minValue="1" maxValue="4"/>
    </cacheField>
    <cacheField name="Question 8.8" numFmtId="0">
      <sharedItems containsBlank="1" containsMixedTypes="1" containsNumber="1" containsInteger="1" minValue="1" maxValue="4"/>
    </cacheField>
    <cacheField name="Question 9.1" numFmtId="0">
      <sharedItems containsBlank="1" containsMixedTypes="1" containsNumber="1" containsInteger="1" minValue="1" maxValue="4"/>
    </cacheField>
    <cacheField name="Question 9.2" numFmtId="0">
      <sharedItems containsBlank="1" containsMixedTypes="1" containsNumber="1" containsInteger="1" minValue="1" maxValue="4"/>
    </cacheField>
    <cacheField name="Question 10.1" numFmtId="0">
      <sharedItems containsBlank="1" containsMixedTypes="1" containsNumber="1" containsInteger="1" minValue="1" maxValue="4"/>
    </cacheField>
    <cacheField name="Question 10.2" numFmtId="0">
      <sharedItems containsBlank="1" containsMixedTypes="1" containsNumber="1" containsInteger="1" minValue="1" maxValue="4"/>
    </cacheField>
    <cacheField name="Question 11" numFmtId="0">
      <sharedItems containsBlank="1" containsMixedTypes="1" containsNumber="1" containsInteger="1" minValue="1" maxValue="2"/>
    </cacheField>
    <cacheField name="Question 12" numFmtId="0">
      <sharedItems containsBlank="1" containsMixedTypes="1" containsNumber="1" containsInteger="1" minValue="1" maxValue="2"/>
    </cacheField>
    <cacheField name="Question 12A1" numFmtId="0">
      <sharedItems containsBlank="1" containsMixedTypes="1" containsNumber="1" containsInteger="1" minValue="1" maxValue="1"/>
    </cacheField>
    <cacheField name="Question 12A2" numFmtId="0">
      <sharedItems containsBlank="1" containsMixedTypes="1" containsNumber="1" containsInteger="1" minValue="1" maxValue="1"/>
    </cacheField>
    <cacheField name="Question 12A3" numFmtId="0">
      <sharedItems containsBlank="1" containsMixedTypes="1" containsNumber="1" containsInteger="1" minValue="1" maxValue="1"/>
    </cacheField>
    <cacheField name="Question 12A4" numFmtId="0">
      <sharedItems containsBlank="1" containsMixedTypes="1" containsNumber="1" containsInteger="1" minValue="1" maxValue="1"/>
    </cacheField>
    <cacheField name="Question 12A5" numFmtId="0">
      <sharedItems containsBlank="1" containsMixedTypes="1" containsNumber="1" containsInteger="1" minValue="1" maxValue="1"/>
    </cacheField>
    <cacheField name="Question 12A6" numFmtId="0">
      <sharedItems containsBlank="1" containsMixedTypes="1" containsNumber="1" containsInteger="1" minValue="1" maxValue="1"/>
    </cacheField>
    <cacheField name="Question 12A7" numFmtId="0">
      <sharedItems containsBlank="1" containsMixedTypes="1" containsNumber="1" containsInteger="1" minValue="1" maxValue="1"/>
    </cacheField>
    <cacheField name="Question 12A8" numFmtId="0">
      <sharedItems containsBlank="1" containsMixedTypes="1" containsNumber="1" containsInteger="1" minValue="1" maxValue="1"/>
    </cacheField>
    <cacheField name="Question 12A9" numFmtId="0">
      <sharedItems containsBlank="1"/>
    </cacheField>
    <cacheField name="Question 13" numFmtId="0">
      <sharedItems containsBlank="1" containsMixedTypes="1" containsNumber="1" containsInteger="1" minValue="1" maxValue="2"/>
    </cacheField>
    <cacheField name="Question 13A" numFmtId="0">
      <sharedItems containsBlank="1"/>
    </cacheField>
    <cacheField name="Question 14.1" numFmtId="0">
      <sharedItems containsBlank="1" containsMixedTypes="1" containsNumber="1" containsInteger="1" minValue="1" maxValue="2"/>
    </cacheField>
    <cacheField name="Question 14.2" numFmtId="0">
      <sharedItems containsBlank="1" containsMixedTypes="1" containsNumber="1" containsInteger="1" minValue="1" maxValue="2"/>
    </cacheField>
    <cacheField name="Question 14.3" numFmtId="0">
      <sharedItems containsBlank="1" containsMixedTypes="1" containsNumber="1" containsInteger="1" minValue="1" maxValue="2"/>
    </cacheField>
    <cacheField name="Question 14.4" numFmtId="0">
      <sharedItems containsBlank="1" containsMixedTypes="1" containsNumber="1" containsInteger="1" minValue="1" maxValue="2"/>
    </cacheField>
    <cacheField name="Question 14.5" numFmtId="0">
      <sharedItems containsBlank="1" containsMixedTypes="1" containsNumber="1" containsInteger="1" minValue="1" maxValue="2"/>
    </cacheField>
    <cacheField name="Question 14.6" numFmtId="0">
      <sharedItems containsBlank="1" containsMixedTypes="1" containsNumber="1" containsInteger="1" minValue="1" maxValue="2"/>
    </cacheField>
    <cacheField name="Question 14.7" numFmtId="0">
      <sharedItems containsBlank="1" containsMixedTypes="1" containsNumber="1" containsInteger="1" minValue="1" maxValue="2"/>
    </cacheField>
    <cacheField name="Question 14.8" numFmtId="0">
      <sharedItems containsBlank="1" containsMixedTypes="1" containsNumber="1" containsInteger="1" minValue="1" maxValue="2"/>
    </cacheField>
    <cacheField name="Question 15" numFmtId="0">
      <sharedItems containsBlank="1" containsMixedTypes="1" containsNumber="1" containsInteger="1" minValue="1" maxValue="2"/>
    </cacheField>
    <cacheField name="Question 15A" numFmtId="0">
      <sharedItems containsBlank="1" containsMixedTypes="1" containsNumber="1" containsInteger="1" minValue="1" maxValue="2"/>
    </cacheField>
    <cacheField name="Question 16.1" numFmtId="0">
      <sharedItems containsBlank="1" containsMixedTypes="1" containsNumber="1" containsInteger="1" minValue="1" maxValue="7"/>
    </cacheField>
    <cacheField name="Question 16.2" numFmtId="0">
      <sharedItems containsBlank="1" containsMixedTypes="1" containsNumber="1" containsInteger="1" minValue="1" maxValue="7"/>
    </cacheField>
    <cacheField name="Question 16.3" numFmtId="0">
      <sharedItems containsBlank="1" containsMixedTypes="1" containsNumber="1" containsInteger="1" minValue="1" maxValue="7"/>
    </cacheField>
    <cacheField name="Question 17" numFmtId="0">
      <sharedItems containsBlank="1" containsMixedTypes="1" containsNumber="1" containsInteger="1" minValue="1" maxValue="8"/>
    </cacheField>
    <cacheField name="Question 18" numFmtId="0">
      <sharedItems containsBlank="1" containsMixedTypes="1" containsNumber="1" containsInteger="1" minValue="1" maxValue="4"/>
    </cacheField>
    <cacheField name="Question 19" numFmtId="0">
      <sharedItems containsBlank="1" containsMixedTypes="1" containsNumber="1" containsInteger="1" minValue="1" maxValue="8"/>
    </cacheField>
    <cacheField name="Question 20.1" numFmtId="0">
      <sharedItems containsBlank="1" containsMixedTypes="1" containsNumber="1" containsInteger="1" minValue="1" maxValue="8"/>
    </cacheField>
    <cacheField name="Question 20.2" numFmtId="0">
      <sharedItems containsBlank="1" containsMixedTypes="1" containsNumber="1" containsInteger="1" minValue="1" maxValue="8"/>
    </cacheField>
    <cacheField name="Question 20.3" numFmtId="0">
      <sharedItems containsBlank="1" containsMixedTypes="1" containsNumber="1" containsInteger="1" minValue="1" maxValue="8"/>
    </cacheField>
    <cacheField name="Question 21" numFmtId="0">
      <sharedItems containsBlank="1" containsMixedTypes="1" containsNumber="1" containsInteger="1" minValue="1" maxValue="4"/>
    </cacheField>
    <cacheField name="Question 21A" numFmtId="0">
      <sharedItems containsBlank="1" containsMixedTypes="1" containsNumber="1" containsInteger="1" minValue="1" maxValue="4"/>
    </cacheField>
    <cacheField name="Question 21Peu" numFmtId="0">
      <sharedItems containsBlank="1"/>
    </cacheField>
    <cacheField name="Question 21Pas" numFmtId="0">
      <sharedItems containsBlank="1"/>
    </cacheField>
    <cacheField name="Question 22.1" numFmtId="0">
      <sharedItems containsBlank="1" containsMixedTypes="1" containsNumber="1" containsInteger="1" minValue="1" maxValue="2"/>
    </cacheField>
    <cacheField name="Question 22.2" numFmtId="0">
      <sharedItems containsBlank="1" containsMixedTypes="1" containsNumber="1" containsInteger="1" minValue="1" maxValue="2"/>
    </cacheField>
    <cacheField name="Question 22.3" numFmtId="0">
      <sharedItems containsBlank="1" containsMixedTypes="1" containsNumber="1" containsInteger="1" minValue="1" maxValue="2"/>
    </cacheField>
    <cacheField name="Question 22.4" numFmtId="0">
      <sharedItems containsBlank="1" containsMixedTypes="1" containsNumber="1" containsInteger="1" minValue="1" maxValue="2"/>
    </cacheField>
    <cacheField name="Question 22.5" numFmtId="0">
      <sharedItems containsBlank="1" containsMixedTypes="1" containsNumber="1" containsInteger="1" minValue="1" maxValue="2"/>
    </cacheField>
    <cacheField name="Question 22.6" numFmtId="0">
      <sharedItems containsBlank="1" containsMixedTypes="1" containsNumber="1" containsInteger="1" minValue="1" maxValue="2"/>
    </cacheField>
    <cacheField name="Question 23" numFmtId="0">
      <sharedItems containsBlank="1" containsMixedTypes="1" containsNumber="1" containsInteger="1" minValue="1" maxValue="2"/>
    </cacheField>
    <cacheField name="Question 24" numFmtId="0">
      <sharedItems containsBlank="1" containsMixedTypes="1" containsNumber="1" containsInteger="1" minValue="1" maxValue="2"/>
    </cacheField>
    <cacheField name="Question 25" numFmtId="0">
      <sharedItems containsBlank="1" containsMixedTypes="1" containsNumber="1" containsInteger="1" minValue="1" maxValue="4"/>
    </cacheField>
    <cacheField name="Question 25A" numFmtId="0">
      <sharedItems containsBlank="1" containsMixedTypes="1" containsNumber="1" containsInteger="1" minValue="1" maxValue="98"/>
    </cacheField>
    <cacheField name="Question 25Autre" numFmtId="0">
      <sharedItems containsBlank="1"/>
    </cacheField>
    <cacheField name="Question 26" numFmtId="0">
      <sharedItems containsBlank="1" containsMixedTypes="1" containsNumber="1" containsInteger="1" minValue="1" maxValue="2"/>
    </cacheField>
    <cacheField name="Question 26A" numFmtId="0">
      <sharedItems containsBlank="1" containsMixedTypes="1" containsNumber="1" containsInteger="1" minValue="1" maxValue="4"/>
    </cacheField>
    <cacheField name="Question 26B" numFmtId="0">
      <sharedItems containsBlank="1" containsMixedTypes="1" containsNumber="1" containsInteger="1" minValue="1" maxValue="98"/>
    </cacheField>
    <cacheField name="Question 26Autre" numFmtId="0">
      <sharedItems containsBlank="1"/>
    </cacheField>
    <cacheField name="Question 27" numFmtId="0">
      <sharedItems containsBlank="1" containsMixedTypes="1" containsNumber="1" containsInteger="1" minValue="1" maxValue="8"/>
    </cacheField>
    <cacheField name="Question 28" numFmtId="0">
      <sharedItems containsBlank="1" containsMixedTypes="1" containsNumber="1" containsInteger="1" minValue="1" maxValue="4"/>
    </cacheField>
    <cacheField name="Question 29" numFmtId="0">
      <sharedItems containsBlank="1" containsMixedTypes="1" containsNumber="1" containsInteger="1" minValue="1" maxValue="5"/>
    </cacheField>
    <cacheField name="Question 30" numFmtId="0">
      <sharedItems containsBlank="1" containsMixedTypes="1" containsNumber="1" containsInteger="1" minValue="1" maxValue="2" count="4">
        <s v="Êtes-vous :"/>
        <n v="1"/>
        <n v="2"/>
        <m/>
      </sharedItems>
    </cacheField>
    <cacheField name="Question 31" numFmtId="0">
      <sharedItems containsBlank="1" containsMixedTypes="1" containsNumber="1" containsInteger="1" minValue="1946" maxValue="1994"/>
    </cacheField>
    <cacheField name="Question 32" numFmtId="0">
      <sharedItems containsBlank="1" containsMixedTypes="1" containsNumber="1" containsInteger="1" minValue="1" maxValue="3"/>
    </cacheField>
    <cacheField name="Question 32 Autre" numFmtId="0">
      <sharedItems containsBlank="1"/>
    </cacheField>
    <cacheField name="Question 33" numFmtId="0">
      <sharedItems containsBlank="1" containsMixedTypes="1" containsNumber="1" containsInteger="1" minValue="1" maxValue="7"/>
    </cacheField>
    <cacheField name="Question 33 Autre" numFmtId="0">
      <sharedItems containsBlank="1"/>
    </cacheField>
    <cacheField name="Question 34" numFmtId="0">
      <sharedItems containsBlank="1" containsMixedTypes="1" containsNumber="1" containsInteger="1" minValue="1" maxValue="6"/>
    </cacheField>
    <cacheField name="Question 34 Autre" numFmtId="0">
      <sharedItems containsBlank="1"/>
    </cacheField>
    <cacheField name="Question 35" numFmtId="0">
      <sharedItems containsBlank="1" containsMixedTypes="1" containsNumber="1" containsInteger="1" minValue="1" maxValue="4"/>
    </cacheField>
    <cacheField name="Question 35 Autre" numFmtId="0">
      <sharedItems containsBlank="1"/>
    </cacheField>
    <cacheField name="Question 36" numFmtId="0">
      <sharedItems containsBlank="1" containsMixedTypes="1" containsNumber="1" containsInteger="1" minValue="1" maxValue="4"/>
    </cacheField>
    <cacheField name="Répondant" numFmtId="0">
      <sharedItems containsString="0" containsBlank="1" containsNumber="1" containsInteger="1" minValue="1" maxValue="1"/>
    </cacheField>
    <cacheField name="Calcul de l'âge" numFmtId="0">
      <sharedItems containsString="0" containsBlank="1" containsNumber="1" containsInteger="1" minValue="19" maxValue="2013"/>
    </cacheField>
    <cacheField name="L'âge regrouper" numFmtId="0">
      <sharedItems containsString="0" containsBlank="1" containsNumber="1" containsInteger="1" minValue="1" maxValue="4" count="5">
        <m/>
        <n v="1"/>
        <n v="2"/>
        <n v="3"/>
        <n v="4"/>
      </sharedItems>
    </cacheField>
    <cacheField name="Calcul vivre seul (MS)" numFmtId="0">
      <sharedItems containsString="0" containsBlank="1" containsNumber="1" containsInteger="1" minValue="1" maxValue="3"/>
    </cacheField>
    <cacheField name="Calcul ménage (M)" numFmtId="0">
      <sharedItems containsString="0" containsBlank="1" containsNumber="1" containsInteger="1" minValue="1" maxValue="5"/>
    </cacheField>
    <cacheField name="Calcul enfant (ME)" numFmtId="0">
      <sharedItems containsString="0" containsBlank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6.xml><?xml version="1.0" encoding="utf-8"?>
<pivotCacheDefinition xmlns="http://schemas.openxmlformats.org/spreadsheetml/2006/main" xmlns:r="http://schemas.openxmlformats.org/officeDocument/2006/relationships" r:id="rId1" refreshedBy="Tesmel01" refreshedDate="41416.545154629632" createdVersion="3" refreshedVersion="3" minRefreshableVersion="3" recordCount="632">
  <cacheSource type="worksheet">
    <worksheetSource ref="O1:CQ1048576" sheet="Grille de saisie"/>
  </cacheSource>
  <cacheFields count="81">
    <cacheField name="Question 8.3" numFmtId="0">
      <sharedItems containsBlank="1" containsMixedTypes="1" containsNumber="1" containsInteger="1" minValue="1" maxValue="4" count="6">
        <s v="Dans votre quartier, les désordres liés à la vente ou à la consommation de drogue sont … ?"/>
        <n v="4"/>
        <n v="2"/>
        <n v="1"/>
        <n v="3"/>
        <m/>
      </sharedItems>
    </cacheField>
    <cacheField name="Question 8.4" numFmtId="0">
      <sharedItems containsBlank="1" containsMixedTypes="1" containsNumber="1" containsInteger="1" minValue="1" maxValue="4"/>
    </cacheField>
    <cacheField name="Question 8.5" numFmtId="0">
      <sharedItems containsBlank="1" containsMixedTypes="1" containsNumber="1" containsInteger="1" minValue="1" maxValue="4"/>
    </cacheField>
    <cacheField name="Question 8.6" numFmtId="0">
      <sharedItems containsBlank="1" containsMixedTypes="1" containsNumber="1" containsInteger="1" minValue="1" maxValue="4"/>
    </cacheField>
    <cacheField name="Question 8.7" numFmtId="0">
      <sharedItems containsBlank="1" containsMixedTypes="1" containsNumber="1" containsInteger="1" minValue="1" maxValue="4"/>
    </cacheField>
    <cacheField name="Question 8.8" numFmtId="0">
      <sharedItems containsBlank="1" containsMixedTypes="1" containsNumber="1" containsInteger="1" minValue="1" maxValue="4"/>
    </cacheField>
    <cacheField name="Question 9.1" numFmtId="0">
      <sharedItems containsBlank="1" containsMixedTypes="1" containsNumber="1" containsInteger="1" minValue="1" maxValue="4"/>
    </cacheField>
    <cacheField name="Question 9.2" numFmtId="0">
      <sharedItems containsBlank="1" containsMixedTypes="1" containsNumber="1" containsInteger="1" minValue="1" maxValue="4"/>
    </cacheField>
    <cacheField name="Question 10.1" numFmtId="0">
      <sharedItems containsBlank="1" containsMixedTypes="1" containsNumber="1" containsInteger="1" minValue="1" maxValue="4"/>
    </cacheField>
    <cacheField name="Question 10.2" numFmtId="0">
      <sharedItems containsBlank="1" containsMixedTypes="1" containsNumber="1" containsInteger="1" minValue="1" maxValue="4"/>
    </cacheField>
    <cacheField name="Question 11" numFmtId="0">
      <sharedItems containsBlank="1" containsMixedTypes="1" containsNumber="1" containsInteger="1" minValue="1" maxValue="2"/>
    </cacheField>
    <cacheField name="Question 12" numFmtId="0">
      <sharedItems containsBlank="1" containsMixedTypes="1" containsNumber="1" containsInteger="1" minValue="1" maxValue="2"/>
    </cacheField>
    <cacheField name="Question 12A1" numFmtId="0">
      <sharedItems containsBlank="1" containsMixedTypes="1" containsNumber="1" containsInteger="1" minValue="1" maxValue="1"/>
    </cacheField>
    <cacheField name="Question 12A2" numFmtId="0">
      <sharedItems containsBlank="1" containsMixedTypes="1" containsNumber="1" containsInteger="1" minValue="1" maxValue="1"/>
    </cacheField>
    <cacheField name="Question 12A3" numFmtId="0">
      <sharedItems containsBlank="1" containsMixedTypes="1" containsNumber="1" containsInteger="1" minValue="1" maxValue="1"/>
    </cacheField>
    <cacheField name="Question 12A4" numFmtId="0">
      <sharedItems containsBlank="1" containsMixedTypes="1" containsNumber="1" containsInteger="1" minValue="1" maxValue="1"/>
    </cacheField>
    <cacheField name="Question 12A5" numFmtId="0">
      <sharedItems containsBlank="1" containsMixedTypes="1" containsNumber="1" containsInteger="1" minValue="1" maxValue="1"/>
    </cacheField>
    <cacheField name="Question 12A6" numFmtId="0">
      <sharedItems containsBlank="1" containsMixedTypes="1" containsNumber="1" containsInteger="1" minValue="1" maxValue="1"/>
    </cacheField>
    <cacheField name="Question 12A7" numFmtId="0">
      <sharedItems containsBlank="1" containsMixedTypes="1" containsNumber="1" containsInteger="1" minValue="1" maxValue="1"/>
    </cacheField>
    <cacheField name="Question 12A8" numFmtId="0">
      <sharedItems containsBlank="1" containsMixedTypes="1" containsNumber="1" containsInteger="1" minValue="1" maxValue="1"/>
    </cacheField>
    <cacheField name="Question 12A9" numFmtId="0">
      <sharedItems containsBlank="1"/>
    </cacheField>
    <cacheField name="Question 13" numFmtId="0">
      <sharedItems containsBlank="1" containsMixedTypes="1" containsNumber="1" containsInteger="1" minValue="1" maxValue="2"/>
    </cacheField>
    <cacheField name="Question 13A" numFmtId="0">
      <sharedItems containsBlank="1"/>
    </cacheField>
    <cacheField name="Question 14.1" numFmtId="0">
      <sharedItems containsBlank="1" containsMixedTypes="1" containsNumber="1" containsInteger="1" minValue="1" maxValue="2"/>
    </cacheField>
    <cacheField name="Question 14.2" numFmtId="0">
      <sharedItems containsBlank="1" containsMixedTypes="1" containsNumber="1" containsInteger="1" minValue="1" maxValue="2"/>
    </cacheField>
    <cacheField name="Question 14.3" numFmtId="0">
      <sharedItems containsBlank="1" containsMixedTypes="1" containsNumber="1" containsInteger="1" minValue="1" maxValue="2"/>
    </cacheField>
    <cacheField name="Question 14.4" numFmtId="0">
      <sharedItems containsBlank="1" containsMixedTypes="1" containsNumber="1" containsInteger="1" minValue="1" maxValue="2"/>
    </cacheField>
    <cacheField name="Question 14.5" numFmtId="0">
      <sharedItems containsBlank="1" containsMixedTypes="1" containsNumber="1" containsInteger="1" minValue="1" maxValue="2"/>
    </cacheField>
    <cacheField name="Question 14.6" numFmtId="0">
      <sharedItems containsBlank="1" containsMixedTypes="1" containsNumber="1" containsInteger="1" minValue="1" maxValue="2"/>
    </cacheField>
    <cacheField name="Question 14.7" numFmtId="0">
      <sharedItems containsBlank="1" containsMixedTypes="1" containsNumber="1" containsInteger="1" minValue="1" maxValue="2"/>
    </cacheField>
    <cacheField name="Question 14.8" numFmtId="0">
      <sharedItems containsBlank="1" containsMixedTypes="1" containsNumber="1" containsInteger="1" minValue="1" maxValue="2"/>
    </cacheField>
    <cacheField name="Question 15" numFmtId="0">
      <sharedItems containsBlank="1" containsMixedTypes="1" containsNumber="1" containsInteger="1" minValue="1" maxValue="2"/>
    </cacheField>
    <cacheField name="Question 15A" numFmtId="0">
      <sharedItems containsBlank="1" containsMixedTypes="1" containsNumber="1" containsInteger="1" minValue="1" maxValue="2"/>
    </cacheField>
    <cacheField name="Question 16.1" numFmtId="0">
      <sharedItems containsBlank="1" containsMixedTypes="1" containsNumber="1" containsInteger="1" minValue="1" maxValue="7"/>
    </cacheField>
    <cacheField name="Question 16.2" numFmtId="0">
      <sharedItems containsBlank="1" containsMixedTypes="1" containsNumber="1" containsInteger="1" minValue="1" maxValue="7"/>
    </cacheField>
    <cacheField name="Question 16.3" numFmtId="0">
      <sharedItems containsBlank="1" containsMixedTypes="1" containsNumber="1" containsInteger="1" minValue="1" maxValue="7"/>
    </cacheField>
    <cacheField name="Question 17" numFmtId="0">
      <sharedItems containsBlank="1" containsMixedTypes="1" containsNumber="1" containsInteger="1" minValue="1" maxValue="8"/>
    </cacheField>
    <cacheField name="Question 18" numFmtId="0">
      <sharedItems containsBlank="1" containsMixedTypes="1" containsNumber="1" containsInteger="1" minValue="1" maxValue="4"/>
    </cacheField>
    <cacheField name="Question 19" numFmtId="0">
      <sharedItems containsBlank="1" containsMixedTypes="1" containsNumber="1" containsInteger="1" minValue="1" maxValue="8"/>
    </cacheField>
    <cacheField name="Question 20.1" numFmtId="0">
      <sharedItems containsBlank="1" containsMixedTypes="1" containsNumber="1" containsInteger="1" minValue="1" maxValue="8"/>
    </cacheField>
    <cacheField name="Question 20.2" numFmtId="0">
      <sharedItems containsBlank="1" containsMixedTypes="1" containsNumber="1" containsInteger="1" minValue="1" maxValue="8"/>
    </cacheField>
    <cacheField name="Question 20.3" numFmtId="0">
      <sharedItems containsBlank="1" containsMixedTypes="1" containsNumber="1" containsInteger="1" minValue="1" maxValue="8"/>
    </cacheField>
    <cacheField name="Question 21" numFmtId="0">
      <sharedItems containsBlank="1" containsMixedTypes="1" containsNumber="1" containsInteger="1" minValue="1" maxValue="4"/>
    </cacheField>
    <cacheField name="Question 21A" numFmtId="0">
      <sharedItems containsBlank="1" containsMixedTypes="1" containsNumber="1" containsInteger="1" minValue="1" maxValue="4"/>
    </cacheField>
    <cacheField name="Question 21Peu" numFmtId="0">
      <sharedItems containsBlank="1"/>
    </cacheField>
    <cacheField name="Question 21Pas" numFmtId="0">
      <sharedItems containsBlank="1"/>
    </cacheField>
    <cacheField name="Question 22.1" numFmtId="0">
      <sharedItems containsBlank="1" containsMixedTypes="1" containsNumber="1" containsInteger="1" minValue="1" maxValue="2"/>
    </cacheField>
    <cacheField name="Question 22.2" numFmtId="0">
      <sharedItems containsBlank="1" containsMixedTypes="1" containsNumber="1" containsInteger="1" minValue="1" maxValue="2"/>
    </cacheField>
    <cacheField name="Question 22.3" numFmtId="0">
      <sharedItems containsBlank="1" containsMixedTypes="1" containsNumber="1" containsInteger="1" minValue="1" maxValue="2"/>
    </cacheField>
    <cacheField name="Question 22.4" numFmtId="0">
      <sharedItems containsBlank="1" containsMixedTypes="1" containsNumber="1" containsInteger="1" minValue="1" maxValue="2"/>
    </cacheField>
    <cacheField name="Question 22.5" numFmtId="0">
      <sharedItems containsBlank="1" containsMixedTypes="1" containsNumber="1" containsInteger="1" minValue="1" maxValue="2"/>
    </cacheField>
    <cacheField name="Question 22.6" numFmtId="0">
      <sharedItems containsBlank="1" containsMixedTypes="1" containsNumber="1" containsInteger="1" minValue="1" maxValue="2"/>
    </cacheField>
    <cacheField name="Question 23" numFmtId="0">
      <sharedItems containsBlank="1" containsMixedTypes="1" containsNumber="1" containsInteger="1" minValue="1" maxValue="2"/>
    </cacheField>
    <cacheField name="Question 24" numFmtId="0">
      <sharedItems containsBlank="1" containsMixedTypes="1" containsNumber="1" containsInteger="1" minValue="1" maxValue="2"/>
    </cacheField>
    <cacheField name="Question 25" numFmtId="0">
      <sharedItems containsBlank="1" containsMixedTypes="1" containsNumber="1" containsInteger="1" minValue="1" maxValue="4"/>
    </cacheField>
    <cacheField name="Question 25A" numFmtId="0">
      <sharedItems containsBlank="1" containsMixedTypes="1" containsNumber="1" containsInteger="1" minValue="1" maxValue="98"/>
    </cacheField>
    <cacheField name="Question 25Autre" numFmtId="0">
      <sharedItems containsBlank="1"/>
    </cacheField>
    <cacheField name="Question 26" numFmtId="0">
      <sharedItems containsBlank="1" containsMixedTypes="1" containsNumber="1" containsInteger="1" minValue="1" maxValue="2"/>
    </cacheField>
    <cacheField name="Question 26A" numFmtId="0">
      <sharedItems containsBlank="1" containsMixedTypes="1" containsNumber="1" containsInteger="1" minValue="1" maxValue="4"/>
    </cacheField>
    <cacheField name="Question 26B" numFmtId="0">
      <sharedItems containsBlank="1" containsMixedTypes="1" containsNumber="1" containsInteger="1" minValue="1" maxValue="98"/>
    </cacheField>
    <cacheField name="Question 26Autre" numFmtId="0">
      <sharedItems containsBlank="1"/>
    </cacheField>
    <cacheField name="Question 27" numFmtId="0">
      <sharedItems containsBlank="1" containsMixedTypes="1" containsNumber="1" containsInteger="1" minValue="1" maxValue="8"/>
    </cacheField>
    <cacheField name="Question 28" numFmtId="0">
      <sharedItems containsBlank="1" containsMixedTypes="1" containsNumber="1" containsInteger="1" minValue="1" maxValue="4"/>
    </cacheField>
    <cacheField name="Question 29" numFmtId="0">
      <sharedItems containsBlank="1" containsMixedTypes="1" containsNumber="1" containsInteger="1" minValue="1" maxValue="5"/>
    </cacheField>
    <cacheField name="Question 30" numFmtId="0">
      <sharedItems containsBlank="1" containsMixedTypes="1" containsNumber="1" containsInteger="1" minValue="1" maxValue="2" count="4">
        <s v="Êtes-vous :"/>
        <n v="1"/>
        <n v="2"/>
        <m/>
      </sharedItems>
    </cacheField>
    <cacheField name="Question 31" numFmtId="0">
      <sharedItems containsBlank="1" containsMixedTypes="1" containsNumber="1" containsInteger="1" minValue="1946" maxValue="1994"/>
    </cacheField>
    <cacheField name="Question 32" numFmtId="0">
      <sharedItems containsBlank="1" containsMixedTypes="1" containsNumber="1" containsInteger="1" minValue="1" maxValue="3"/>
    </cacheField>
    <cacheField name="Question 32 Autre" numFmtId="0">
      <sharedItems containsBlank="1"/>
    </cacheField>
    <cacheField name="Question 33" numFmtId="0">
      <sharedItems containsBlank="1" containsMixedTypes="1" containsNumber="1" containsInteger="1" minValue="1" maxValue="7"/>
    </cacheField>
    <cacheField name="Question 33 Autre" numFmtId="0">
      <sharedItems containsBlank="1"/>
    </cacheField>
    <cacheField name="Question 34" numFmtId="0">
      <sharedItems containsBlank="1" containsMixedTypes="1" containsNumber="1" containsInteger="1" minValue="1" maxValue="6"/>
    </cacheField>
    <cacheField name="Question 34 Autre" numFmtId="0">
      <sharedItems containsBlank="1"/>
    </cacheField>
    <cacheField name="Question 35" numFmtId="0">
      <sharedItems containsBlank="1" containsMixedTypes="1" containsNumber="1" containsInteger="1" minValue="1" maxValue="4"/>
    </cacheField>
    <cacheField name="Question 35 Autre" numFmtId="0">
      <sharedItems containsBlank="1"/>
    </cacheField>
    <cacheField name="Question 36" numFmtId="0">
      <sharedItems containsBlank="1" containsMixedTypes="1" containsNumber="1" containsInteger="1" minValue="1" maxValue="4"/>
    </cacheField>
    <cacheField name="Répondant" numFmtId="0">
      <sharedItems containsString="0" containsBlank="1" containsNumber="1" containsInteger="1" minValue="1" maxValue="1"/>
    </cacheField>
    <cacheField name="Calcul de l'âge" numFmtId="0">
      <sharedItems containsString="0" containsBlank="1" containsNumber="1" containsInteger="1" minValue="19" maxValue="2013"/>
    </cacheField>
    <cacheField name="L'âge regrouper" numFmtId="0">
      <sharedItems containsString="0" containsBlank="1" containsNumber="1" containsInteger="1" minValue="1" maxValue="4" count="5">
        <m/>
        <n v="1"/>
        <n v="2"/>
        <n v="3"/>
        <n v="4"/>
      </sharedItems>
    </cacheField>
    <cacheField name="Calcul vivre seul (MS)" numFmtId="0">
      <sharedItems containsString="0" containsBlank="1" containsNumber="1" containsInteger="1" minValue="1" maxValue="3"/>
    </cacheField>
    <cacheField name="Calcul ménage (M)" numFmtId="0">
      <sharedItems containsString="0" containsBlank="1" containsNumber="1" containsInteger="1" minValue="1" maxValue="5"/>
    </cacheField>
    <cacheField name="Calcul enfant (ME)" numFmtId="0">
      <sharedItems containsString="0" containsBlank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7.xml><?xml version="1.0" encoding="utf-8"?>
<pivotCacheDefinition xmlns="http://schemas.openxmlformats.org/spreadsheetml/2006/main" xmlns:r="http://schemas.openxmlformats.org/officeDocument/2006/relationships" r:id="rId1" refreshedBy="Tesmel01" refreshedDate="41416.545155208332" createdVersion="3" refreshedVersion="3" minRefreshableVersion="3" recordCount="632">
  <cacheSource type="worksheet">
    <worksheetSource ref="P1:CQ1048576" sheet="Grille de saisie"/>
  </cacheSource>
  <cacheFields count="80">
    <cacheField name="Question 8.4" numFmtId="0">
      <sharedItems containsBlank="1" containsMixedTypes="1" containsNumber="1" containsInteger="1" minValue="1" maxValue="4" count="6">
        <s v="Dans votre quartier, les problèmes liés à la criminalité sont … ?"/>
        <n v="3"/>
        <n v="2"/>
        <n v="1"/>
        <n v="4"/>
        <m/>
      </sharedItems>
    </cacheField>
    <cacheField name="Question 8.5" numFmtId="0">
      <sharedItems containsBlank="1" containsMixedTypes="1" containsNumber="1" containsInteger="1" minValue="1" maxValue="4"/>
    </cacheField>
    <cacheField name="Question 8.6" numFmtId="0">
      <sharedItems containsBlank="1" containsMixedTypes="1" containsNumber="1" containsInteger="1" minValue="1" maxValue="4"/>
    </cacheField>
    <cacheField name="Question 8.7" numFmtId="0">
      <sharedItems containsBlank="1" containsMixedTypes="1" containsNumber="1" containsInteger="1" minValue="1" maxValue="4"/>
    </cacheField>
    <cacheField name="Question 8.8" numFmtId="0">
      <sharedItems containsBlank="1" containsMixedTypes="1" containsNumber="1" containsInteger="1" minValue="1" maxValue="4"/>
    </cacheField>
    <cacheField name="Question 9.1" numFmtId="0">
      <sharedItems containsBlank="1" containsMixedTypes="1" containsNumber="1" containsInteger="1" minValue="1" maxValue="4"/>
    </cacheField>
    <cacheField name="Question 9.2" numFmtId="0">
      <sharedItems containsBlank="1" containsMixedTypes="1" containsNumber="1" containsInteger="1" minValue="1" maxValue="4"/>
    </cacheField>
    <cacheField name="Question 10.1" numFmtId="0">
      <sharedItems containsBlank="1" containsMixedTypes="1" containsNumber="1" containsInteger="1" minValue="1" maxValue="4"/>
    </cacheField>
    <cacheField name="Question 10.2" numFmtId="0">
      <sharedItems containsBlank="1" containsMixedTypes="1" containsNumber="1" containsInteger="1" minValue="1" maxValue="4"/>
    </cacheField>
    <cacheField name="Question 11" numFmtId="0">
      <sharedItems containsBlank="1" containsMixedTypes="1" containsNumber="1" containsInteger="1" minValue="1" maxValue="2"/>
    </cacheField>
    <cacheField name="Question 12" numFmtId="0">
      <sharedItems containsBlank="1" containsMixedTypes="1" containsNumber="1" containsInteger="1" minValue="1" maxValue="2"/>
    </cacheField>
    <cacheField name="Question 12A1" numFmtId="0">
      <sharedItems containsBlank="1" containsMixedTypes="1" containsNumber="1" containsInteger="1" minValue="1" maxValue="1"/>
    </cacheField>
    <cacheField name="Question 12A2" numFmtId="0">
      <sharedItems containsBlank="1" containsMixedTypes="1" containsNumber="1" containsInteger="1" minValue="1" maxValue="1"/>
    </cacheField>
    <cacheField name="Question 12A3" numFmtId="0">
      <sharedItems containsBlank="1" containsMixedTypes="1" containsNumber="1" containsInteger="1" minValue="1" maxValue="1"/>
    </cacheField>
    <cacheField name="Question 12A4" numFmtId="0">
      <sharedItems containsBlank="1" containsMixedTypes="1" containsNumber="1" containsInteger="1" minValue="1" maxValue="1"/>
    </cacheField>
    <cacheField name="Question 12A5" numFmtId="0">
      <sharedItems containsBlank="1" containsMixedTypes="1" containsNumber="1" containsInteger="1" minValue="1" maxValue="1"/>
    </cacheField>
    <cacheField name="Question 12A6" numFmtId="0">
      <sharedItems containsBlank="1" containsMixedTypes="1" containsNumber="1" containsInteger="1" minValue="1" maxValue="1"/>
    </cacheField>
    <cacheField name="Question 12A7" numFmtId="0">
      <sharedItems containsBlank="1" containsMixedTypes="1" containsNumber="1" containsInteger="1" minValue="1" maxValue="1"/>
    </cacheField>
    <cacheField name="Question 12A8" numFmtId="0">
      <sharedItems containsBlank="1" containsMixedTypes="1" containsNumber="1" containsInteger="1" minValue="1" maxValue="1"/>
    </cacheField>
    <cacheField name="Question 12A9" numFmtId="0">
      <sharedItems containsBlank="1"/>
    </cacheField>
    <cacheField name="Question 13" numFmtId="0">
      <sharedItems containsBlank="1" containsMixedTypes="1" containsNumber="1" containsInteger="1" minValue="1" maxValue="2"/>
    </cacheField>
    <cacheField name="Question 13A" numFmtId="0">
      <sharedItems containsBlank="1"/>
    </cacheField>
    <cacheField name="Question 14.1" numFmtId="0">
      <sharedItems containsBlank="1" containsMixedTypes="1" containsNumber="1" containsInteger="1" minValue="1" maxValue="2"/>
    </cacheField>
    <cacheField name="Question 14.2" numFmtId="0">
      <sharedItems containsBlank="1" containsMixedTypes="1" containsNumber="1" containsInteger="1" minValue="1" maxValue="2"/>
    </cacheField>
    <cacheField name="Question 14.3" numFmtId="0">
      <sharedItems containsBlank="1" containsMixedTypes="1" containsNumber="1" containsInteger="1" minValue="1" maxValue="2"/>
    </cacheField>
    <cacheField name="Question 14.4" numFmtId="0">
      <sharedItems containsBlank="1" containsMixedTypes="1" containsNumber="1" containsInteger="1" minValue="1" maxValue="2"/>
    </cacheField>
    <cacheField name="Question 14.5" numFmtId="0">
      <sharedItems containsBlank="1" containsMixedTypes="1" containsNumber="1" containsInteger="1" minValue="1" maxValue="2"/>
    </cacheField>
    <cacheField name="Question 14.6" numFmtId="0">
      <sharedItems containsBlank="1" containsMixedTypes="1" containsNumber="1" containsInteger="1" minValue="1" maxValue="2"/>
    </cacheField>
    <cacheField name="Question 14.7" numFmtId="0">
      <sharedItems containsBlank="1" containsMixedTypes="1" containsNumber="1" containsInteger="1" minValue="1" maxValue="2"/>
    </cacheField>
    <cacheField name="Question 14.8" numFmtId="0">
      <sharedItems containsBlank="1" containsMixedTypes="1" containsNumber="1" containsInteger="1" minValue="1" maxValue="2"/>
    </cacheField>
    <cacheField name="Question 15" numFmtId="0">
      <sharedItems containsBlank="1" containsMixedTypes="1" containsNumber="1" containsInteger="1" minValue="1" maxValue="2"/>
    </cacheField>
    <cacheField name="Question 15A" numFmtId="0">
      <sharedItems containsBlank="1" containsMixedTypes="1" containsNumber="1" containsInteger="1" minValue="1" maxValue="2"/>
    </cacheField>
    <cacheField name="Question 16.1" numFmtId="0">
      <sharedItems containsBlank="1" containsMixedTypes="1" containsNumber="1" containsInteger="1" minValue="1" maxValue="7"/>
    </cacheField>
    <cacheField name="Question 16.2" numFmtId="0">
      <sharedItems containsBlank="1" containsMixedTypes="1" containsNumber="1" containsInteger="1" minValue="1" maxValue="7"/>
    </cacheField>
    <cacheField name="Question 16.3" numFmtId="0">
      <sharedItems containsBlank="1" containsMixedTypes="1" containsNumber="1" containsInteger="1" minValue="1" maxValue="7"/>
    </cacheField>
    <cacheField name="Question 17" numFmtId="0">
      <sharedItems containsBlank="1" containsMixedTypes="1" containsNumber="1" containsInteger="1" minValue="1" maxValue="8"/>
    </cacheField>
    <cacheField name="Question 18" numFmtId="0">
      <sharedItems containsBlank="1" containsMixedTypes="1" containsNumber="1" containsInteger="1" minValue="1" maxValue="4"/>
    </cacheField>
    <cacheField name="Question 19" numFmtId="0">
      <sharedItems containsBlank="1" containsMixedTypes="1" containsNumber="1" containsInteger="1" minValue="1" maxValue="8"/>
    </cacheField>
    <cacheField name="Question 20.1" numFmtId="0">
      <sharedItems containsBlank="1" containsMixedTypes="1" containsNumber="1" containsInteger="1" minValue="1" maxValue="8"/>
    </cacheField>
    <cacheField name="Question 20.2" numFmtId="0">
      <sharedItems containsBlank="1" containsMixedTypes="1" containsNumber="1" containsInteger="1" minValue="1" maxValue="8"/>
    </cacheField>
    <cacheField name="Question 20.3" numFmtId="0">
      <sharedItems containsBlank="1" containsMixedTypes="1" containsNumber="1" containsInteger="1" minValue="1" maxValue="8"/>
    </cacheField>
    <cacheField name="Question 21" numFmtId="0">
      <sharedItems containsBlank="1" containsMixedTypes="1" containsNumber="1" containsInteger="1" minValue="1" maxValue="4"/>
    </cacheField>
    <cacheField name="Question 21A" numFmtId="0">
      <sharedItems containsBlank="1" containsMixedTypes="1" containsNumber="1" containsInteger="1" minValue="1" maxValue="4"/>
    </cacheField>
    <cacheField name="Question 21Peu" numFmtId="0">
      <sharedItems containsBlank="1"/>
    </cacheField>
    <cacheField name="Question 21Pas" numFmtId="0">
      <sharedItems containsBlank="1"/>
    </cacheField>
    <cacheField name="Question 22.1" numFmtId="0">
      <sharedItems containsBlank="1" containsMixedTypes="1" containsNumber="1" containsInteger="1" minValue="1" maxValue="2"/>
    </cacheField>
    <cacheField name="Question 22.2" numFmtId="0">
      <sharedItems containsBlank="1" containsMixedTypes="1" containsNumber="1" containsInteger="1" minValue="1" maxValue="2"/>
    </cacheField>
    <cacheField name="Question 22.3" numFmtId="0">
      <sharedItems containsBlank="1" containsMixedTypes="1" containsNumber="1" containsInteger="1" minValue="1" maxValue="2"/>
    </cacheField>
    <cacheField name="Question 22.4" numFmtId="0">
      <sharedItems containsBlank="1" containsMixedTypes="1" containsNumber="1" containsInteger="1" minValue="1" maxValue="2"/>
    </cacheField>
    <cacheField name="Question 22.5" numFmtId="0">
      <sharedItems containsBlank="1" containsMixedTypes="1" containsNumber="1" containsInteger="1" minValue="1" maxValue="2"/>
    </cacheField>
    <cacheField name="Question 22.6" numFmtId="0">
      <sharedItems containsBlank="1" containsMixedTypes="1" containsNumber="1" containsInteger="1" minValue="1" maxValue="2"/>
    </cacheField>
    <cacheField name="Question 23" numFmtId="0">
      <sharedItems containsBlank="1" containsMixedTypes="1" containsNumber="1" containsInteger="1" minValue="1" maxValue="2"/>
    </cacheField>
    <cacheField name="Question 24" numFmtId="0">
      <sharedItems containsBlank="1" containsMixedTypes="1" containsNumber="1" containsInteger="1" minValue="1" maxValue="2"/>
    </cacheField>
    <cacheField name="Question 25" numFmtId="0">
      <sharedItems containsBlank="1" containsMixedTypes="1" containsNumber="1" containsInteger="1" minValue="1" maxValue="4"/>
    </cacheField>
    <cacheField name="Question 25A" numFmtId="0">
      <sharedItems containsBlank="1" containsMixedTypes="1" containsNumber="1" containsInteger="1" minValue="1" maxValue="98"/>
    </cacheField>
    <cacheField name="Question 25Autre" numFmtId="0">
      <sharedItems containsBlank="1"/>
    </cacheField>
    <cacheField name="Question 26" numFmtId="0">
      <sharedItems containsBlank="1" containsMixedTypes="1" containsNumber="1" containsInteger="1" minValue="1" maxValue="2"/>
    </cacheField>
    <cacheField name="Question 26A" numFmtId="0">
      <sharedItems containsBlank="1" containsMixedTypes="1" containsNumber="1" containsInteger="1" minValue="1" maxValue="4"/>
    </cacheField>
    <cacheField name="Question 26B" numFmtId="0">
      <sharedItems containsBlank="1" containsMixedTypes="1" containsNumber="1" containsInteger="1" minValue="1" maxValue="98"/>
    </cacheField>
    <cacheField name="Question 26Autre" numFmtId="0">
      <sharedItems containsBlank="1"/>
    </cacheField>
    <cacheField name="Question 27" numFmtId="0">
      <sharedItems containsBlank="1" containsMixedTypes="1" containsNumber="1" containsInteger="1" minValue="1" maxValue="8"/>
    </cacheField>
    <cacheField name="Question 28" numFmtId="0">
      <sharedItems containsBlank="1" containsMixedTypes="1" containsNumber="1" containsInteger="1" minValue="1" maxValue="4"/>
    </cacheField>
    <cacheField name="Question 29" numFmtId="0">
      <sharedItems containsBlank="1" containsMixedTypes="1" containsNumber="1" containsInteger="1" minValue="1" maxValue="5"/>
    </cacheField>
    <cacheField name="Question 30" numFmtId="0">
      <sharedItems containsBlank="1" containsMixedTypes="1" containsNumber="1" containsInteger="1" minValue="1" maxValue="2" count="4">
        <s v="Êtes-vous :"/>
        <n v="1"/>
        <n v="2"/>
        <m/>
      </sharedItems>
    </cacheField>
    <cacheField name="Question 31" numFmtId="0">
      <sharedItems containsBlank="1" containsMixedTypes="1" containsNumber="1" containsInteger="1" minValue="1946" maxValue="1994"/>
    </cacheField>
    <cacheField name="Question 32" numFmtId="0">
      <sharedItems containsBlank="1" containsMixedTypes="1" containsNumber="1" containsInteger="1" minValue="1" maxValue="3"/>
    </cacheField>
    <cacheField name="Question 32 Autre" numFmtId="0">
      <sharedItems containsBlank="1"/>
    </cacheField>
    <cacheField name="Question 33" numFmtId="0">
      <sharedItems containsBlank="1" containsMixedTypes="1" containsNumber="1" containsInteger="1" minValue="1" maxValue="7"/>
    </cacheField>
    <cacheField name="Question 33 Autre" numFmtId="0">
      <sharedItems containsBlank="1"/>
    </cacheField>
    <cacheField name="Question 34" numFmtId="0">
      <sharedItems containsBlank="1" containsMixedTypes="1" containsNumber="1" containsInteger="1" minValue="1" maxValue="6"/>
    </cacheField>
    <cacheField name="Question 34 Autre" numFmtId="0">
      <sharedItems containsBlank="1"/>
    </cacheField>
    <cacheField name="Question 35" numFmtId="0">
      <sharedItems containsBlank="1" containsMixedTypes="1" containsNumber="1" containsInteger="1" minValue="1" maxValue="4"/>
    </cacheField>
    <cacheField name="Question 35 Autre" numFmtId="0">
      <sharedItems containsBlank="1"/>
    </cacheField>
    <cacheField name="Question 36" numFmtId="0">
      <sharedItems containsBlank="1" containsMixedTypes="1" containsNumber="1" containsInteger="1" minValue="1" maxValue="4"/>
    </cacheField>
    <cacheField name="Répondant" numFmtId="0">
      <sharedItems containsString="0" containsBlank="1" containsNumber="1" containsInteger="1" minValue="1" maxValue="1"/>
    </cacheField>
    <cacheField name="Calcul de l'âge" numFmtId="0">
      <sharedItems containsString="0" containsBlank="1" containsNumber="1" containsInteger="1" minValue="19" maxValue="2013"/>
    </cacheField>
    <cacheField name="L'âge regrouper" numFmtId="0">
      <sharedItems containsString="0" containsBlank="1" containsNumber="1" containsInteger="1" minValue="1" maxValue="4" count="5">
        <m/>
        <n v="1"/>
        <n v="2"/>
        <n v="3"/>
        <n v="4"/>
      </sharedItems>
    </cacheField>
    <cacheField name="Calcul vivre seul (MS)" numFmtId="0">
      <sharedItems containsString="0" containsBlank="1" containsNumber="1" containsInteger="1" minValue="1" maxValue="3"/>
    </cacheField>
    <cacheField name="Calcul ménage (M)" numFmtId="0">
      <sharedItems containsString="0" containsBlank="1" containsNumber="1" containsInteger="1" minValue="1" maxValue="5"/>
    </cacheField>
    <cacheField name="Calcul enfant (ME)" numFmtId="0">
      <sharedItems containsString="0" containsBlank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8.xml><?xml version="1.0" encoding="utf-8"?>
<pivotCacheDefinition xmlns="http://schemas.openxmlformats.org/spreadsheetml/2006/main" xmlns:r="http://schemas.openxmlformats.org/officeDocument/2006/relationships" r:id="rId1" refreshedBy="Tesmel01" refreshedDate="41416.54515578704" createdVersion="3" refreshedVersion="3" minRefreshableVersion="3" recordCount="632">
  <cacheSource type="worksheet">
    <worksheetSource ref="Q1:CQ1048576" sheet="Grille de saisie"/>
  </cacheSource>
  <cacheFields count="79">
    <cacheField name="Question 8.5" numFmtId="0">
      <sharedItems containsBlank="1" containsMixedTypes="1" containsNumber="1" containsInteger="1" minValue="1" maxValue="4" count="6">
        <s v="Dans votre quartier, les problèmes causés par les gens qui traînent dans les lieux publics sont … ?"/>
        <n v="3"/>
        <n v="2"/>
        <n v="1"/>
        <n v="4"/>
        <m/>
      </sharedItems>
    </cacheField>
    <cacheField name="Question 8.6" numFmtId="0">
      <sharedItems containsBlank="1" containsMixedTypes="1" containsNumber="1" containsInteger="1" minValue="1" maxValue="4"/>
    </cacheField>
    <cacheField name="Question 8.7" numFmtId="0">
      <sharedItems containsBlank="1" containsMixedTypes="1" containsNumber="1" containsInteger="1" minValue="1" maxValue="4"/>
    </cacheField>
    <cacheField name="Question 8.8" numFmtId="0">
      <sharedItems containsBlank="1" containsMixedTypes="1" containsNumber="1" containsInteger="1" minValue="1" maxValue="4"/>
    </cacheField>
    <cacheField name="Question 9.1" numFmtId="0">
      <sharedItems containsBlank="1" containsMixedTypes="1" containsNumber="1" containsInteger="1" minValue="1" maxValue="4"/>
    </cacheField>
    <cacheField name="Question 9.2" numFmtId="0">
      <sharedItems containsBlank="1" containsMixedTypes="1" containsNumber="1" containsInteger="1" minValue="1" maxValue="4"/>
    </cacheField>
    <cacheField name="Question 10.1" numFmtId="0">
      <sharedItems containsBlank="1" containsMixedTypes="1" containsNumber="1" containsInteger="1" minValue="1" maxValue="4"/>
    </cacheField>
    <cacheField name="Question 10.2" numFmtId="0">
      <sharedItems containsBlank="1" containsMixedTypes="1" containsNumber="1" containsInteger="1" minValue="1" maxValue="4"/>
    </cacheField>
    <cacheField name="Question 11" numFmtId="0">
      <sharedItems containsBlank="1" containsMixedTypes="1" containsNumber="1" containsInteger="1" minValue="1" maxValue="2"/>
    </cacheField>
    <cacheField name="Question 12" numFmtId="0">
      <sharedItems containsBlank="1" containsMixedTypes="1" containsNumber="1" containsInteger="1" minValue="1" maxValue="2"/>
    </cacheField>
    <cacheField name="Question 12A1" numFmtId="0">
      <sharedItems containsBlank="1" containsMixedTypes="1" containsNumber="1" containsInteger="1" minValue="1" maxValue="1"/>
    </cacheField>
    <cacheField name="Question 12A2" numFmtId="0">
      <sharedItems containsBlank="1" containsMixedTypes="1" containsNumber="1" containsInteger="1" minValue="1" maxValue="1"/>
    </cacheField>
    <cacheField name="Question 12A3" numFmtId="0">
      <sharedItems containsBlank="1" containsMixedTypes="1" containsNumber="1" containsInteger="1" minValue="1" maxValue="1"/>
    </cacheField>
    <cacheField name="Question 12A4" numFmtId="0">
      <sharedItems containsBlank="1" containsMixedTypes="1" containsNumber="1" containsInteger="1" minValue="1" maxValue="1"/>
    </cacheField>
    <cacheField name="Question 12A5" numFmtId="0">
      <sharedItems containsBlank="1" containsMixedTypes="1" containsNumber="1" containsInteger="1" minValue="1" maxValue="1"/>
    </cacheField>
    <cacheField name="Question 12A6" numFmtId="0">
      <sharedItems containsBlank="1" containsMixedTypes="1" containsNumber="1" containsInteger="1" minValue="1" maxValue="1"/>
    </cacheField>
    <cacheField name="Question 12A7" numFmtId="0">
      <sharedItems containsBlank="1" containsMixedTypes="1" containsNumber="1" containsInteger="1" minValue="1" maxValue="1"/>
    </cacheField>
    <cacheField name="Question 12A8" numFmtId="0">
      <sharedItems containsBlank="1" containsMixedTypes="1" containsNumber="1" containsInteger="1" minValue="1" maxValue="1"/>
    </cacheField>
    <cacheField name="Question 12A9" numFmtId="0">
      <sharedItems containsBlank="1"/>
    </cacheField>
    <cacheField name="Question 13" numFmtId="0">
      <sharedItems containsBlank="1" containsMixedTypes="1" containsNumber="1" containsInteger="1" minValue="1" maxValue="2"/>
    </cacheField>
    <cacheField name="Question 13A" numFmtId="0">
      <sharedItems containsBlank="1"/>
    </cacheField>
    <cacheField name="Question 14.1" numFmtId="0">
      <sharedItems containsBlank="1" containsMixedTypes="1" containsNumber="1" containsInteger="1" minValue="1" maxValue="2"/>
    </cacheField>
    <cacheField name="Question 14.2" numFmtId="0">
      <sharedItems containsBlank="1" containsMixedTypes="1" containsNumber="1" containsInteger="1" minValue="1" maxValue="2"/>
    </cacheField>
    <cacheField name="Question 14.3" numFmtId="0">
      <sharedItems containsBlank="1" containsMixedTypes="1" containsNumber="1" containsInteger="1" minValue="1" maxValue="2"/>
    </cacheField>
    <cacheField name="Question 14.4" numFmtId="0">
      <sharedItems containsBlank="1" containsMixedTypes="1" containsNumber="1" containsInteger="1" minValue="1" maxValue="2"/>
    </cacheField>
    <cacheField name="Question 14.5" numFmtId="0">
      <sharedItems containsBlank="1" containsMixedTypes="1" containsNumber="1" containsInteger="1" minValue="1" maxValue="2"/>
    </cacheField>
    <cacheField name="Question 14.6" numFmtId="0">
      <sharedItems containsBlank="1" containsMixedTypes="1" containsNumber="1" containsInteger="1" minValue="1" maxValue="2"/>
    </cacheField>
    <cacheField name="Question 14.7" numFmtId="0">
      <sharedItems containsBlank="1" containsMixedTypes="1" containsNumber="1" containsInteger="1" minValue="1" maxValue="2"/>
    </cacheField>
    <cacheField name="Question 14.8" numFmtId="0">
      <sharedItems containsBlank="1" containsMixedTypes="1" containsNumber="1" containsInteger="1" minValue="1" maxValue="2"/>
    </cacheField>
    <cacheField name="Question 15" numFmtId="0">
      <sharedItems containsBlank="1" containsMixedTypes="1" containsNumber="1" containsInteger="1" minValue="1" maxValue="2"/>
    </cacheField>
    <cacheField name="Question 15A" numFmtId="0">
      <sharedItems containsBlank="1" containsMixedTypes="1" containsNumber="1" containsInteger="1" minValue="1" maxValue="2"/>
    </cacheField>
    <cacheField name="Question 16.1" numFmtId="0">
      <sharedItems containsBlank="1" containsMixedTypes="1" containsNumber="1" containsInteger="1" minValue="1" maxValue="7"/>
    </cacheField>
    <cacheField name="Question 16.2" numFmtId="0">
      <sharedItems containsBlank="1" containsMixedTypes="1" containsNumber="1" containsInteger="1" minValue="1" maxValue="7"/>
    </cacheField>
    <cacheField name="Question 16.3" numFmtId="0">
      <sharedItems containsBlank="1" containsMixedTypes="1" containsNumber="1" containsInteger="1" minValue="1" maxValue="7"/>
    </cacheField>
    <cacheField name="Question 17" numFmtId="0">
      <sharedItems containsBlank="1" containsMixedTypes="1" containsNumber="1" containsInteger="1" minValue="1" maxValue="8"/>
    </cacheField>
    <cacheField name="Question 18" numFmtId="0">
      <sharedItems containsBlank="1" containsMixedTypes="1" containsNumber="1" containsInteger="1" minValue="1" maxValue="4"/>
    </cacheField>
    <cacheField name="Question 19" numFmtId="0">
      <sharedItems containsBlank="1" containsMixedTypes="1" containsNumber="1" containsInteger="1" minValue="1" maxValue="8"/>
    </cacheField>
    <cacheField name="Question 20.1" numFmtId="0">
      <sharedItems containsBlank="1" containsMixedTypes="1" containsNumber="1" containsInteger="1" minValue="1" maxValue="8"/>
    </cacheField>
    <cacheField name="Question 20.2" numFmtId="0">
      <sharedItems containsBlank="1" containsMixedTypes="1" containsNumber="1" containsInteger="1" minValue="1" maxValue="8"/>
    </cacheField>
    <cacheField name="Question 20.3" numFmtId="0">
      <sharedItems containsBlank="1" containsMixedTypes="1" containsNumber="1" containsInteger="1" minValue="1" maxValue="8"/>
    </cacheField>
    <cacheField name="Question 21" numFmtId="0">
      <sharedItems containsBlank="1" containsMixedTypes="1" containsNumber="1" containsInteger="1" minValue="1" maxValue="4"/>
    </cacheField>
    <cacheField name="Question 21A" numFmtId="0">
      <sharedItems containsBlank="1" containsMixedTypes="1" containsNumber="1" containsInteger="1" minValue="1" maxValue="4"/>
    </cacheField>
    <cacheField name="Question 21Peu" numFmtId="0">
      <sharedItems containsBlank="1"/>
    </cacheField>
    <cacheField name="Question 21Pas" numFmtId="0">
      <sharedItems containsBlank="1"/>
    </cacheField>
    <cacheField name="Question 22.1" numFmtId="0">
      <sharedItems containsBlank="1" containsMixedTypes="1" containsNumber="1" containsInteger="1" minValue="1" maxValue="2"/>
    </cacheField>
    <cacheField name="Question 22.2" numFmtId="0">
      <sharedItems containsBlank="1" containsMixedTypes="1" containsNumber="1" containsInteger="1" minValue="1" maxValue="2"/>
    </cacheField>
    <cacheField name="Question 22.3" numFmtId="0">
      <sharedItems containsBlank="1" containsMixedTypes="1" containsNumber="1" containsInteger="1" minValue="1" maxValue="2"/>
    </cacheField>
    <cacheField name="Question 22.4" numFmtId="0">
      <sharedItems containsBlank="1" containsMixedTypes="1" containsNumber="1" containsInteger="1" minValue="1" maxValue="2"/>
    </cacheField>
    <cacheField name="Question 22.5" numFmtId="0">
      <sharedItems containsBlank="1" containsMixedTypes="1" containsNumber="1" containsInteger="1" minValue="1" maxValue="2"/>
    </cacheField>
    <cacheField name="Question 22.6" numFmtId="0">
      <sharedItems containsBlank="1" containsMixedTypes="1" containsNumber="1" containsInteger="1" minValue="1" maxValue="2"/>
    </cacheField>
    <cacheField name="Question 23" numFmtId="0">
      <sharedItems containsBlank="1" containsMixedTypes="1" containsNumber="1" containsInteger="1" minValue="1" maxValue="2"/>
    </cacheField>
    <cacheField name="Question 24" numFmtId="0">
      <sharedItems containsBlank="1" containsMixedTypes="1" containsNumber="1" containsInteger="1" minValue="1" maxValue="2"/>
    </cacheField>
    <cacheField name="Question 25" numFmtId="0">
      <sharedItems containsBlank="1" containsMixedTypes="1" containsNumber="1" containsInteger="1" minValue="1" maxValue="4"/>
    </cacheField>
    <cacheField name="Question 25A" numFmtId="0">
      <sharedItems containsBlank="1" containsMixedTypes="1" containsNumber="1" containsInteger="1" minValue="1" maxValue="98"/>
    </cacheField>
    <cacheField name="Question 25Autre" numFmtId="0">
      <sharedItems containsBlank="1"/>
    </cacheField>
    <cacheField name="Question 26" numFmtId="0">
      <sharedItems containsBlank="1" containsMixedTypes="1" containsNumber="1" containsInteger="1" minValue="1" maxValue="2"/>
    </cacheField>
    <cacheField name="Question 26A" numFmtId="0">
      <sharedItems containsBlank="1" containsMixedTypes="1" containsNumber="1" containsInteger="1" minValue="1" maxValue="4"/>
    </cacheField>
    <cacheField name="Question 26B" numFmtId="0">
      <sharedItems containsBlank="1" containsMixedTypes="1" containsNumber="1" containsInteger="1" minValue="1" maxValue="98"/>
    </cacheField>
    <cacheField name="Question 26Autre" numFmtId="0">
      <sharedItems containsBlank="1"/>
    </cacheField>
    <cacheField name="Question 27" numFmtId="0">
      <sharedItems containsBlank="1" containsMixedTypes="1" containsNumber="1" containsInteger="1" minValue="1" maxValue="8"/>
    </cacheField>
    <cacheField name="Question 28" numFmtId="0">
      <sharedItems containsBlank="1" containsMixedTypes="1" containsNumber="1" containsInteger="1" minValue="1" maxValue="4"/>
    </cacheField>
    <cacheField name="Question 29" numFmtId="0">
      <sharedItems containsBlank="1" containsMixedTypes="1" containsNumber="1" containsInteger="1" minValue="1" maxValue="5"/>
    </cacheField>
    <cacheField name="Question 30" numFmtId="0">
      <sharedItems containsBlank="1" containsMixedTypes="1" containsNumber="1" containsInteger="1" minValue="1" maxValue="2" count="4">
        <s v="Êtes-vous :"/>
        <n v="1"/>
        <n v="2"/>
        <m/>
      </sharedItems>
    </cacheField>
    <cacheField name="Question 31" numFmtId="0">
      <sharedItems containsBlank="1" containsMixedTypes="1" containsNumber="1" containsInteger="1" minValue="1946" maxValue="1994"/>
    </cacheField>
    <cacheField name="Question 32" numFmtId="0">
      <sharedItems containsBlank="1" containsMixedTypes="1" containsNumber="1" containsInteger="1" minValue="1" maxValue="3"/>
    </cacheField>
    <cacheField name="Question 32 Autre" numFmtId="0">
      <sharedItems containsBlank="1"/>
    </cacheField>
    <cacheField name="Question 33" numFmtId="0">
      <sharedItems containsBlank="1" containsMixedTypes="1" containsNumber="1" containsInteger="1" minValue="1" maxValue="7"/>
    </cacheField>
    <cacheField name="Question 33 Autre" numFmtId="0">
      <sharedItems containsBlank="1"/>
    </cacheField>
    <cacheField name="Question 34" numFmtId="0">
      <sharedItems containsBlank="1" containsMixedTypes="1" containsNumber="1" containsInteger="1" minValue="1" maxValue="6"/>
    </cacheField>
    <cacheField name="Question 34 Autre" numFmtId="0">
      <sharedItems containsBlank="1"/>
    </cacheField>
    <cacheField name="Question 35" numFmtId="0">
      <sharedItems containsBlank="1" containsMixedTypes="1" containsNumber="1" containsInteger="1" minValue="1" maxValue="4"/>
    </cacheField>
    <cacheField name="Question 35 Autre" numFmtId="0">
      <sharedItems containsBlank="1"/>
    </cacheField>
    <cacheField name="Question 36" numFmtId="0">
      <sharedItems containsBlank="1" containsMixedTypes="1" containsNumber="1" containsInteger="1" minValue="1" maxValue="4"/>
    </cacheField>
    <cacheField name="Répondant" numFmtId="0">
      <sharedItems containsString="0" containsBlank="1" containsNumber="1" containsInteger="1" minValue="1" maxValue="1"/>
    </cacheField>
    <cacheField name="Calcul de l'âge" numFmtId="0">
      <sharedItems containsString="0" containsBlank="1" containsNumber="1" containsInteger="1" minValue="19" maxValue="2013"/>
    </cacheField>
    <cacheField name="L'âge regrouper" numFmtId="0">
      <sharedItems containsString="0" containsBlank="1" containsNumber="1" containsInteger="1" minValue="1" maxValue="4" count="5">
        <m/>
        <n v="1"/>
        <n v="2"/>
        <n v="3"/>
        <n v="4"/>
      </sharedItems>
    </cacheField>
    <cacheField name="Calcul vivre seul (MS)" numFmtId="0">
      <sharedItems containsString="0" containsBlank="1" containsNumber="1" containsInteger="1" minValue="1" maxValue="3"/>
    </cacheField>
    <cacheField name="Calcul ménage (M)" numFmtId="0">
      <sharedItems containsString="0" containsBlank="1" containsNumber="1" containsInteger="1" minValue="1" maxValue="5"/>
    </cacheField>
    <cacheField name="Calcul enfant (ME)" numFmtId="0">
      <sharedItems containsString="0" containsBlank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9.xml><?xml version="1.0" encoding="utf-8"?>
<pivotCacheDefinition xmlns="http://schemas.openxmlformats.org/spreadsheetml/2006/main" xmlns:r="http://schemas.openxmlformats.org/officeDocument/2006/relationships" r:id="rId1" refreshedBy="Tesmel01" refreshedDate="41416.545156365741" createdVersion="3" refreshedVersion="3" minRefreshableVersion="3" recordCount="632">
  <cacheSource type="worksheet">
    <worksheetSource ref="R1:CQ1048576" sheet="Grille de saisie"/>
  </cacheSource>
  <cacheFields count="78">
    <cacheField name="Question 8.6" numFmtId="0">
      <sharedItems containsBlank="1" containsMixedTypes="1" containsNumber="1" containsInteger="1" minValue="1" maxValue="4" count="6">
        <s v="Dans votre quartier, les actes de vandalisme sont … ?"/>
        <n v="2"/>
        <n v="1"/>
        <n v="3"/>
        <n v="4"/>
        <m/>
      </sharedItems>
    </cacheField>
    <cacheField name="Question 8.7" numFmtId="0">
      <sharedItems containsBlank="1" containsMixedTypes="1" containsNumber="1" containsInteger="1" minValue="1" maxValue="4"/>
    </cacheField>
    <cacheField name="Question 8.8" numFmtId="0">
      <sharedItems containsBlank="1" containsMixedTypes="1" containsNumber="1" containsInteger="1" minValue="1" maxValue="4"/>
    </cacheField>
    <cacheField name="Question 9.1" numFmtId="0">
      <sharedItems containsBlank="1" containsMixedTypes="1" containsNumber="1" containsInteger="1" minValue="1" maxValue="4"/>
    </cacheField>
    <cacheField name="Question 9.2" numFmtId="0">
      <sharedItems containsBlank="1" containsMixedTypes="1" containsNumber="1" containsInteger="1" minValue="1" maxValue="4"/>
    </cacheField>
    <cacheField name="Question 10.1" numFmtId="0">
      <sharedItems containsBlank="1" containsMixedTypes="1" containsNumber="1" containsInteger="1" minValue="1" maxValue="4"/>
    </cacheField>
    <cacheField name="Question 10.2" numFmtId="0">
      <sharedItems containsBlank="1" containsMixedTypes="1" containsNumber="1" containsInteger="1" minValue="1" maxValue="4"/>
    </cacheField>
    <cacheField name="Question 11" numFmtId="0">
      <sharedItems containsBlank="1" containsMixedTypes="1" containsNumber="1" containsInteger="1" minValue="1" maxValue="2"/>
    </cacheField>
    <cacheField name="Question 12" numFmtId="0">
      <sharedItems containsBlank="1" containsMixedTypes="1" containsNumber="1" containsInteger="1" minValue="1" maxValue="2"/>
    </cacheField>
    <cacheField name="Question 12A1" numFmtId="0">
      <sharedItems containsBlank="1" containsMixedTypes="1" containsNumber="1" containsInteger="1" minValue="1" maxValue="1"/>
    </cacheField>
    <cacheField name="Question 12A2" numFmtId="0">
      <sharedItems containsBlank="1" containsMixedTypes="1" containsNumber="1" containsInteger="1" minValue="1" maxValue="1"/>
    </cacheField>
    <cacheField name="Question 12A3" numFmtId="0">
      <sharedItems containsBlank="1" containsMixedTypes="1" containsNumber="1" containsInteger="1" minValue="1" maxValue="1"/>
    </cacheField>
    <cacheField name="Question 12A4" numFmtId="0">
      <sharedItems containsBlank="1" containsMixedTypes="1" containsNumber="1" containsInteger="1" minValue="1" maxValue="1"/>
    </cacheField>
    <cacheField name="Question 12A5" numFmtId="0">
      <sharedItems containsBlank="1" containsMixedTypes="1" containsNumber="1" containsInteger="1" minValue="1" maxValue="1"/>
    </cacheField>
    <cacheField name="Question 12A6" numFmtId="0">
      <sharedItems containsBlank="1" containsMixedTypes="1" containsNumber="1" containsInteger="1" minValue="1" maxValue="1"/>
    </cacheField>
    <cacheField name="Question 12A7" numFmtId="0">
      <sharedItems containsBlank="1" containsMixedTypes="1" containsNumber="1" containsInteger="1" minValue="1" maxValue="1"/>
    </cacheField>
    <cacheField name="Question 12A8" numFmtId="0">
      <sharedItems containsBlank="1" containsMixedTypes="1" containsNumber="1" containsInteger="1" minValue="1" maxValue="1"/>
    </cacheField>
    <cacheField name="Question 12A9" numFmtId="0">
      <sharedItems containsBlank="1"/>
    </cacheField>
    <cacheField name="Question 13" numFmtId="0">
      <sharedItems containsBlank="1" containsMixedTypes="1" containsNumber="1" containsInteger="1" minValue="1" maxValue="2"/>
    </cacheField>
    <cacheField name="Question 13A" numFmtId="0">
      <sharedItems containsBlank="1"/>
    </cacheField>
    <cacheField name="Question 14.1" numFmtId="0">
      <sharedItems containsBlank="1" containsMixedTypes="1" containsNumber="1" containsInteger="1" minValue="1" maxValue="2"/>
    </cacheField>
    <cacheField name="Question 14.2" numFmtId="0">
      <sharedItems containsBlank="1" containsMixedTypes="1" containsNumber="1" containsInteger="1" minValue="1" maxValue="2"/>
    </cacheField>
    <cacheField name="Question 14.3" numFmtId="0">
      <sharedItems containsBlank="1" containsMixedTypes="1" containsNumber="1" containsInteger="1" minValue="1" maxValue="2"/>
    </cacheField>
    <cacheField name="Question 14.4" numFmtId="0">
      <sharedItems containsBlank="1" containsMixedTypes="1" containsNumber="1" containsInteger="1" minValue="1" maxValue="2"/>
    </cacheField>
    <cacheField name="Question 14.5" numFmtId="0">
      <sharedItems containsBlank="1" containsMixedTypes="1" containsNumber="1" containsInteger="1" minValue="1" maxValue="2"/>
    </cacheField>
    <cacheField name="Question 14.6" numFmtId="0">
      <sharedItems containsBlank="1" containsMixedTypes="1" containsNumber="1" containsInteger="1" minValue="1" maxValue="2"/>
    </cacheField>
    <cacheField name="Question 14.7" numFmtId="0">
      <sharedItems containsBlank="1" containsMixedTypes="1" containsNumber="1" containsInteger="1" minValue="1" maxValue="2"/>
    </cacheField>
    <cacheField name="Question 14.8" numFmtId="0">
      <sharedItems containsBlank="1" containsMixedTypes="1" containsNumber="1" containsInteger="1" minValue="1" maxValue="2"/>
    </cacheField>
    <cacheField name="Question 15" numFmtId="0">
      <sharedItems containsBlank="1" containsMixedTypes="1" containsNumber="1" containsInteger="1" minValue="1" maxValue="2"/>
    </cacheField>
    <cacheField name="Question 15A" numFmtId="0">
      <sharedItems containsBlank="1" containsMixedTypes="1" containsNumber="1" containsInteger="1" minValue="1" maxValue="2"/>
    </cacheField>
    <cacheField name="Question 16.1" numFmtId="0">
      <sharedItems containsBlank="1" containsMixedTypes="1" containsNumber="1" containsInteger="1" minValue="1" maxValue="7"/>
    </cacheField>
    <cacheField name="Question 16.2" numFmtId="0">
      <sharedItems containsBlank="1" containsMixedTypes="1" containsNumber="1" containsInteger="1" minValue="1" maxValue="7"/>
    </cacheField>
    <cacheField name="Question 16.3" numFmtId="0">
      <sharedItems containsBlank="1" containsMixedTypes="1" containsNumber="1" containsInteger="1" minValue="1" maxValue="7"/>
    </cacheField>
    <cacheField name="Question 17" numFmtId="0">
      <sharedItems containsBlank="1" containsMixedTypes="1" containsNumber="1" containsInteger="1" minValue="1" maxValue="8"/>
    </cacheField>
    <cacheField name="Question 18" numFmtId="0">
      <sharedItems containsBlank="1" containsMixedTypes="1" containsNumber="1" containsInteger="1" minValue="1" maxValue="4"/>
    </cacheField>
    <cacheField name="Question 19" numFmtId="0">
      <sharedItems containsBlank="1" containsMixedTypes="1" containsNumber="1" containsInteger="1" minValue="1" maxValue="8"/>
    </cacheField>
    <cacheField name="Question 20.1" numFmtId="0">
      <sharedItems containsBlank="1" containsMixedTypes="1" containsNumber="1" containsInteger="1" minValue="1" maxValue="8"/>
    </cacheField>
    <cacheField name="Question 20.2" numFmtId="0">
      <sharedItems containsBlank="1" containsMixedTypes="1" containsNumber="1" containsInteger="1" minValue="1" maxValue="8"/>
    </cacheField>
    <cacheField name="Question 20.3" numFmtId="0">
      <sharedItems containsBlank="1" containsMixedTypes="1" containsNumber="1" containsInteger="1" minValue="1" maxValue="8"/>
    </cacheField>
    <cacheField name="Question 21" numFmtId="0">
      <sharedItems containsBlank="1" containsMixedTypes="1" containsNumber="1" containsInteger="1" minValue="1" maxValue="4"/>
    </cacheField>
    <cacheField name="Question 21A" numFmtId="0">
      <sharedItems containsBlank="1" containsMixedTypes="1" containsNumber="1" containsInteger="1" minValue="1" maxValue="4"/>
    </cacheField>
    <cacheField name="Question 21Peu" numFmtId="0">
      <sharedItems containsBlank="1"/>
    </cacheField>
    <cacheField name="Question 21Pas" numFmtId="0">
      <sharedItems containsBlank="1"/>
    </cacheField>
    <cacheField name="Question 22.1" numFmtId="0">
      <sharedItems containsBlank="1" containsMixedTypes="1" containsNumber="1" containsInteger="1" minValue="1" maxValue="2"/>
    </cacheField>
    <cacheField name="Question 22.2" numFmtId="0">
      <sharedItems containsBlank="1" containsMixedTypes="1" containsNumber="1" containsInteger="1" minValue="1" maxValue="2"/>
    </cacheField>
    <cacheField name="Question 22.3" numFmtId="0">
      <sharedItems containsBlank="1" containsMixedTypes="1" containsNumber="1" containsInteger="1" minValue="1" maxValue="2"/>
    </cacheField>
    <cacheField name="Question 22.4" numFmtId="0">
      <sharedItems containsBlank="1" containsMixedTypes="1" containsNumber="1" containsInteger="1" minValue="1" maxValue="2"/>
    </cacheField>
    <cacheField name="Question 22.5" numFmtId="0">
      <sharedItems containsBlank="1" containsMixedTypes="1" containsNumber="1" containsInteger="1" minValue="1" maxValue="2"/>
    </cacheField>
    <cacheField name="Question 22.6" numFmtId="0">
      <sharedItems containsBlank="1" containsMixedTypes="1" containsNumber="1" containsInteger="1" minValue="1" maxValue="2"/>
    </cacheField>
    <cacheField name="Question 23" numFmtId="0">
      <sharedItems containsBlank="1" containsMixedTypes="1" containsNumber="1" containsInteger="1" minValue="1" maxValue="2"/>
    </cacheField>
    <cacheField name="Question 24" numFmtId="0">
      <sharedItems containsBlank="1" containsMixedTypes="1" containsNumber="1" containsInteger="1" minValue="1" maxValue="2"/>
    </cacheField>
    <cacheField name="Question 25" numFmtId="0">
      <sharedItems containsBlank="1" containsMixedTypes="1" containsNumber="1" containsInteger="1" minValue="1" maxValue="4"/>
    </cacheField>
    <cacheField name="Question 25A" numFmtId="0">
      <sharedItems containsBlank="1" containsMixedTypes="1" containsNumber="1" containsInteger="1" minValue="1" maxValue="98"/>
    </cacheField>
    <cacheField name="Question 25Autre" numFmtId="0">
      <sharedItems containsBlank="1"/>
    </cacheField>
    <cacheField name="Question 26" numFmtId="0">
      <sharedItems containsBlank="1" containsMixedTypes="1" containsNumber="1" containsInteger="1" minValue="1" maxValue="2"/>
    </cacheField>
    <cacheField name="Question 26A" numFmtId="0">
      <sharedItems containsBlank="1" containsMixedTypes="1" containsNumber="1" containsInteger="1" minValue="1" maxValue="4"/>
    </cacheField>
    <cacheField name="Question 26B" numFmtId="0">
      <sharedItems containsBlank="1" containsMixedTypes="1" containsNumber="1" containsInteger="1" minValue="1" maxValue="98"/>
    </cacheField>
    <cacheField name="Question 26Autre" numFmtId="0">
      <sharedItems containsBlank="1"/>
    </cacheField>
    <cacheField name="Question 27" numFmtId="0">
      <sharedItems containsBlank="1" containsMixedTypes="1" containsNumber="1" containsInteger="1" minValue="1" maxValue="8"/>
    </cacheField>
    <cacheField name="Question 28" numFmtId="0">
      <sharedItems containsBlank="1" containsMixedTypes="1" containsNumber="1" containsInteger="1" minValue="1" maxValue="4"/>
    </cacheField>
    <cacheField name="Question 29" numFmtId="0">
      <sharedItems containsBlank="1" containsMixedTypes="1" containsNumber="1" containsInteger="1" minValue="1" maxValue="5"/>
    </cacheField>
    <cacheField name="Question 30" numFmtId="0">
      <sharedItems containsBlank="1" containsMixedTypes="1" containsNumber="1" containsInteger="1" minValue="1" maxValue="2" count="4">
        <s v="Êtes-vous :"/>
        <n v="1"/>
        <n v="2"/>
        <m/>
      </sharedItems>
    </cacheField>
    <cacheField name="Question 31" numFmtId="0">
      <sharedItems containsBlank="1" containsMixedTypes="1" containsNumber="1" containsInteger="1" minValue="1946" maxValue="1994"/>
    </cacheField>
    <cacheField name="Question 32" numFmtId="0">
      <sharedItems containsBlank="1" containsMixedTypes="1" containsNumber="1" containsInteger="1" minValue="1" maxValue="3"/>
    </cacheField>
    <cacheField name="Question 32 Autre" numFmtId="0">
      <sharedItems containsBlank="1"/>
    </cacheField>
    <cacheField name="Question 33" numFmtId="0">
      <sharedItems containsBlank="1" containsMixedTypes="1" containsNumber="1" containsInteger="1" minValue="1" maxValue="7"/>
    </cacheField>
    <cacheField name="Question 33 Autre" numFmtId="0">
      <sharedItems containsBlank="1"/>
    </cacheField>
    <cacheField name="Question 34" numFmtId="0">
      <sharedItems containsBlank="1" containsMixedTypes="1" containsNumber="1" containsInteger="1" minValue="1" maxValue="6"/>
    </cacheField>
    <cacheField name="Question 34 Autre" numFmtId="0">
      <sharedItems containsBlank="1"/>
    </cacheField>
    <cacheField name="Question 35" numFmtId="0">
      <sharedItems containsBlank="1" containsMixedTypes="1" containsNumber="1" containsInteger="1" minValue="1" maxValue="4"/>
    </cacheField>
    <cacheField name="Question 35 Autre" numFmtId="0">
      <sharedItems containsBlank="1"/>
    </cacheField>
    <cacheField name="Question 36" numFmtId="0">
      <sharedItems containsBlank="1" containsMixedTypes="1" containsNumber="1" containsInteger="1" minValue="1" maxValue="4"/>
    </cacheField>
    <cacheField name="Répondant" numFmtId="0">
      <sharedItems containsString="0" containsBlank="1" containsNumber="1" containsInteger="1" minValue="1" maxValue="1"/>
    </cacheField>
    <cacheField name="Calcul de l'âge" numFmtId="0">
      <sharedItems containsString="0" containsBlank="1" containsNumber="1" containsInteger="1" minValue="19" maxValue="2013"/>
    </cacheField>
    <cacheField name="L'âge regrouper" numFmtId="0">
      <sharedItems containsString="0" containsBlank="1" containsNumber="1" containsInteger="1" minValue="1" maxValue="4" count="5">
        <m/>
        <n v="1"/>
        <n v="2"/>
        <n v="3"/>
        <n v="4"/>
      </sharedItems>
    </cacheField>
    <cacheField name="Calcul vivre seul (MS)" numFmtId="0">
      <sharedItems containsString="0" containsBlank="1" containsNumber="1" containsInteger="1" minValue="1" maxValue="3"/>
    </cacheField>
    <cacheField name="Calcul ménage (M)" numFmtId="0">
      <sharedItems containsString="0" containsBlank="1" containsNumber="1" containsInteger="1" minValue="1" maxValue="5"/>
    </cacheField>
    <cacheField name="Calcul enfant (ME)" numFmtId="0">
      <sharedItems containsString="0" containsBlank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Tesmel01" refreshedDate="41416.545142592593" createdVersion="3" refreshedVersion="3" minRefreshableVersion="3" recordCount="608">
  <cacheSource type="worksheet">
    <worksheetSource ref="BO1:CQ1048576" sheet="Grille de saisie"/>
  </cacheSource>
  <cacheFields count="28">
    <cacheField name="Question 24" numFmtId="0">
      <sharedItems containsBlank="1" containsMixedTypes="1" containsNumber="1" containsInteger="1" minValue="1" maxValue="2" count="4">
        <s v="Au cours des deux dernières années, avez-vous été victime d'une agression, d'intimidation ou de tout autre acte de violence, chez vous ou dans votre quartier ?"/>
        <n v="2"/>
        <n v="1"/>
        <m/>
      </sharedItems>
    </cacheField>
    <cacheField name="Question 25" numFmtId="0">
      <sharedItems containsBlank="1" containsMixedTypes="1" containsNumber="1" containsInteger="1" minValue="1" maxValue="4"/>
    </cacheField>
    <cacheField name="Question 25A" numFmtId="0">
      <sharedItems containsBlank="1" containsMixedTypes="1" containsNumber="1" containsInteger="1" minValue="1" maxValue="98"/>
    </cacheField>
    <cacheField name="Question 25Autre" numFmtId="0">
      <sharedItems containsBlank="1"/>
    </cacheField>
    <cacheField name="Question 26" numFmtId="0">
      <sharedItems containsBlank="1" containsMixedTypes="1" containsNumber="1" containsInteger="1" minValue="1" maxValue="2"/>
    </cacheField>
    <cacheField name="Question 26A" numFmtId="0">
      <sharedItems containsBlank="1" containsMixedTypes="1" containsNumber="1" containsInteger="1" minValue="1" maxValue="4"/>
    </cacheField>
    <cacheField name="Question 26B" numFmtId="0">
      <sharedItems containsBlank="1" containsMixedTypes="1" containsNumber="1" containsInteger="1" minValue="1" maxValue="98"/>
    </cacheField>
    <cacheField name="Question 26Autre" numFmtId="0">
      <sharedItems containsBlank="1"/>
    </cacheField>
    <cacheField name="Question 27" numFmtId="0">
      <sharedItems containsBlank="1" containsMixedTypes="1" containsNumber="1" containsInteger="1" minValue="1" maxValue="8"/>
    </cacheField>
    <cacheField name="Question 28" numFmtId="0">
      <sharedItems containsBlank="1" containsMixedTypes="1" containsNumber="1" containsInteger="1" minValue="1" maxValue="4"/>
    </cacheField>
    <cacheField name="Question 29" numFmtId="0">
      <sharedItems containsBlank="1" containsMixedTypes="1" containsNumber="1" containsInteger="1" minValue="1" maxValue="5"/>
    </cacheField>
    <cacheField name="Question 30" numFmtId="0">
      <sharedItems containsBlank="1" containsMixedTypes="1" containsNumber="1" containsInteger="1" minValue="1" maxValue="2"/>
    </cacheField>
    <cacheField name="Question 31" numFmtId="0">
      <sharedItems containsBlank="1" containsMixedTypes="1" containsNumber="1" containsInteger="1" minValue="1946" maxValue="1994"/>
    </cacheField>
    <cacheField name="Question 32" numFmtId="0">
      <sharedItems containsBlank="1" containsMixedTypes="1" containsNumber="1" containsInteger="1" minValue="1" maxValue="3"/>
    </cacheField>
    <cacheField name="Question 32 Autre" numFmtId="0">
      <sharedItems containsBlank="1"/>
    </cacheField>
    <cacheField name="Question 33" numFmtId="0">
      <sharedItems containsBlank="1" containsMixedTypes="1" containsNumber="1" containsInteger="1" minValue="1" maxValue="7"/>
    </cacheField>
    <cacheField name="Question 33 Autre" numFmtId="0">
      <sharedItems containsBlank="1"/>
    </cacheField>
    <cacheField name="Question 34" numFmtId="0">
      <sharedItems containsBlank="1" containsMixedTypes="1" containsNumber="1" containsInteger="1" minValue="1" maxValue="6"/>
    </cacheField>
    <cacheField name="Question 34 Autre" numFmtId="0">
      <sharedItems containsBlank="1"/>
    </cacheField>
    <cacheField name="Question 35" numFmtId="0">
      <sharedItems containsBlank="1" containsMixedTypes="1" containsNumber="1" containsInteger="1" minValue="1" maxValue="4"/>
    </cacheField>
    <cacheField name="Question 35 Autre" numFmtId="0">
      <sharedItems containsBlank="1"/>
    </cacheField>
    <cacheField name="Question 36" numFmtId="0">
      <sharedItems containsBlank="1" containsMixedTypes="1" containsNumber="1" containsInteger="1" minValue="1" maxValue="4"/>
    </cacheField>
    <cacheField name="Répondant" numFmtId="0">
      <sharedItems containsString="0" containsBlank="1" containsNumber="1" containsInteger="1" minValue="1" maxValue="1"/>
    </cacheField>
    <cacheField name="Calcul de l'âge" numFmtId="0">
      <sharedItems containsString="0" containsBlank="1" containsNumber="1" containsInteger="1" minValue="19" maxValue="2013"/>
    </cacheField>
    <cacheField name="L'âge regrouper" numFmtId="0">
      <sharedItems containsString="0" containsBlank="1" containsNumber="1" containsInteger="1" minValue="1" maxValue="4" count="5">
        <m/>
        <n v="1"/>
        <n v="2"/>
        <n v="3"/>
        <n v="4"/>
      </sharedItems>
    </cacheField>
    <cacheField name="Calcul vivre seul (MS)" numFmtId="0">
      <sharedItems containsString="0" containsBlank="1" containsNumber="1" containsInteger="1" minValue="1" maxValue="3"/>
    </cacheField>
    <cacheField name="Calcul ménage (M)" numFmtId="0">
      <sharedItems containsString="0" containsBlank="1" containsNumber="1" containsInteger="1" minValue="1" maxValue="5"/>
    </cacheField>
    <cacheField name="Calcul enfant (ME)" numFmtId="0">
      <sharedItems containsString="0" containsBlank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0.xml><?xml version="1.0" encoding="utf-8"?>
<pivotCacheDefinition xmlns="http://schemas.openxmlformats.org/spreadsheetml/2006/main" xmlns:r="http://schemas.openxmlformats.org/officeDocument/2006/relationships" r:id="rId1" refreshedBy="Tesmel01" refreshedDate="41416.545156944441" createdVersion="3" refreshedVersion="3" minRefreshableVersion="3" recordCount="632">
  <cacheSource type="worksheet">
    <worksheetSource ref="S1:CQ1048576" sheet="Grille de saisie"/>
  </cacheSource>
  <cacheFields count="77">
    <cacheField name="Question 8.7" numFmtId="0">
      <sharedItems containsBlank="1" containsMixedTypes="1" containsNumber="1" containsInteger="1" minValue="1" maxValue="4" count="6">
        <s v="Dans votre quartier, les conflits entre les groupes d'origines ethniques différentes sont … ?"/>
        <n v="1"/>
        <n v="2"/>
        <n v="3"/>
        <n v="4"/>
        <m/>
      </sharedItems>
    </cacheField>
    <cacheField name="Question 8.8" numFmtId="0">
      <sharedItems containsBlank="1" containsMixedTypes="1" containsNumber="1" containsInteger="1" minValue="1" maxValue="4"/>
    </cacheField>
    <cacheField name="Question 9.1" numFmtId="0">
      <sharedItems containsBlank="1" containsMixedTypes="1" containsNumber="1" containsInteger="1" minValue="1" maxValue="4"/>
    </cacheField>
    <cacheField name="Question 9.2" numFmtId="0">
      <sharedItems containsBlank="1" containsMixedTypes="1" containsNumber="1" containsInteger="1" minValue="1" maxValue="4"/>
    </cacheField>
    <cacheField name="Question 10.1" numFmtId="0">
      <sharedItems containsBlank="1" containsMixedTypes="1" containsNumber="1" containsInteger="1" minValue="1" maxValue="4"/>
    </cacheField>
    <cacheField name="Question 10.2" numFmtId="0">
      <sharedItems containsBlank="1" containsMixedTypes="1" containsNumber="1" containsInteger="1" minValue="1" maxValue="4"/>
    </cacheField>
    <cacheField name="Question 11" numFmtId="0">
      <sharedItems containsBlank="1" containsMixedTypes="1" containsNumber="1" containsInteger="1" minValue="1" maxValue="2"/>
    </cacheField>
    <cacheField name="Question 12" numFmtId="0">
      <sharedItems containsBlank="1" containsMixedTypes="1" containsNumber="1" containsInteger="1" minValue="1" maxValue="2"/>
    </cacheField>
    <cacheField name="Question 12A1" numFmtId="0">
      <sharedItems containsBlank="1" containsMixedTypes="1" containsNumber="1" containsInteger="1" minValue="1" maxValue="1"/>
    </cacheField>
    <cacheField name="Question 12A2" numFmtId="0">
      <sharedItems containsBlank="1" containsMixedTypes="1" containsNumber="1" containsInteger="1" minValue="1" maxValue="1"/>
    </cacheField>
    <cacheField name="Question 12A3" numFmtId="0">
      <sharedItems containsBlank="1" containsMixedTypes="1" containsNumber="1" containsInteger="1" minValue="1" maxValue="1"/>
    </cacheField>
    <cacheField name="Question 12A4" numFmtId="0">
      <sharedItems containsBlank="1" containsMixedTypes="1" containsNumber="1" containsInteger="1" minValue="1" maxValue="1"/>
    </cacheField>
    <cacheField name="Question 12A5" numFmtId="0">
      <sharedItems containsBlank="1" containsMixedTypes="1" containsNumber="1" containsInteger="1" minValue="1" maxValue="1"/>
    </cacheField>
    <cacheField name="Question 12A6" numFmtId="0">
      <sharedItems containsBlank="1" containsMixedTypes="1" containsNumber="1" containsInteger="1" minValue="1" maxValue="1"/>
    </cacheField>
    <cacheField name="Question 12A7" numFmtId="0">
      <sharedItems containsBlank="1" containsMixedTypes="1" containsNumber="1" containsInteger="1" minValue="1" maxValue="1"/>
    </cacheField>
    <cacheField name="Question 12A8" numFmtId="0">
      <sharedItems containsBlank="1" containsMixedTypes="1" containsNumber="1" containsInteger="1" minValue="1" maxValue="1"/>
    </cacheField>
    <cacheField name="Question 12A9" numFmtId="0">
      <sharedItems containsBlank="1"/>
    </cacheField>
    <cacheField name="Question 13" numFmtId="0">
      <sharedItems containsBlank="1" containsMixedTypes="1" containsNumber="1" containsInteger="1" minValue="1" maxValue="2"/>
    </cacheField>
    <cacheField name="Question 13A" numFmtId="0">
      <sharedItems containsBlank="1"/>
    </cacheField>
    <cacheField name="Question 14.1" numFmtId="0">
      <sharedItems containsBlank="1" containsMixedTypes="1" containsNumber="1" containsInteger="1" minValue="1" maxValue="2"/>
    </cacheField>
    <cacheField name="Question 14.2" numFmtId="0">
      <sharedItems containsBlank="1" containsMixedTypes="1" containsNumber="1" containsInteger="1" minValue="1" maxValue="2"/>
    </cacheField>
    <cacheField name="Question 14.3" numFmtId="0">
      <sharedItems containsBlank="1" containsMixedTypes="1" containsNumber="1" containsInteger="1" minValue="1" maxValue="2"/>
    </cacheField>
    <cacheField name="Question 14.4" numFmtId="0">
      <sharedItems containsBlank="1" containsMixedTypes="1" containsNumber="1" containsInteger="1" minValue="1" maxValue="2"/>
    </cacheField>
    <cacheField name="Question 14.5" numFmtId="0">
      <sharedItems containsBlank="1" containsMixedTypes="1" containsNumber="1" containsInteger="1" minValue="1" maxValue="2"/>
    </cacheField>
    <cacheField name="Question 14.6" numFmtId="0">
      <sharedItems containsBlank="1" containsMixedTypes="1" containsNumber="1" containsInteger="1" minValue="1" maxValue="2"/>
    </cacheField>
    <cacheField name="Question 14.7" numFmtId="0">
      <sharedItems containsBlank="1" containsMixedTypes="1" containsNumber="1" containsInteger="1" minValue="1" maxValue="2"/>
    </cacheField>
    <cacheField name="Question 14.8" numFmtId="0">
      <sharedItems containsBlank="1" containsMixedTypes="1" containsNumber="1" containsInteger="1" minValue="1" maxValue="2"/>
    </cacheField>
    <cacheField name="Question 15" numFmtId="0">
      <sharedItems containsBlank="1" containsMixedTypes="1" containsNumber="1" containsInteger="1" minValue="1" maxValue="2"/>
    </cacheField>
    <cacheField name="Question 15A" numFmtId="0">
      <sharedItems containsBlank="1" containsMixedTypes="1" containsNumber="1" containsInteger="1" minValue="1" maxValue="2"/>
    </cacheField>
    <cacheField name="Question 16.1" numFmtId="0">
      <sharedItems containsBlank="1" containsMixedTypes="1" containsNumber="1" containsInteger="1" minValue="1" maxValue="7"/>
    </cacheField>
    <cacheField name="Question 16.2" numFmtId="0">
      <sharedItems containsBlank="1" containsMixedTypes="1" containsNumber="1" containsInteger="1" minValue="1" maxValue="7"/>
    </cacheField>
    <cacheField name="Question 16.3" numFmtId="0">
      <sharedItems containsBlank="1" containsMixedTypes="1" containsNumber="1" containsInteger="1" minValue="1" maxValue="7"/>
    </cacheField>
    <cacheField name="Question 17" numFmtId="0">
      <sharedItems containsBlank="1" containsMixedTypes="1" containsNumber="1" containsInteger="1" minValue="1" maxValue="8"/>
    </cacheField>
    <cacheField name="Question 18" numFmtId="0">
      <sharedItems containsBlank="1" containsMixedTypes="1" containsNumber="1" containsInteger="1" minValue="1" maxValue="4"/>
    </cacheField>
    <cacheField name="Question 19" numFmtId="0">
      <sharedItems containsBlank="1" containsMixedTypes="1" containsNumber="1" containsInteger="1" minValue="1" maxValue="8"/>
    </cacheField>
    <cacheField name="Question 20.1" numFmtId="0">
      <sharedItems containsBlank="1" containsMixedTypes="1" containsNumber="1" containsInteger="1" minValue="1" maxValue="8"/>
    </cacheField>
    <cacheField name="Question 20.2" numFmtId="0">
      <sharedItems containsBlank="1" containsMixedTypes="1" containsNumber="1" containsInteger="1" minValue="1" maxValue="8"/>
    </cacheField>
    <cacheField name="Question 20.3" numFmtId="0">
      <sharedItems containsBlank="1" containsMixedTypes="1" containsNumber="1" containsInteger="1" minValue="1" maxValue="8"/>
    </cacheField>
    <cacheField name="Question 21" numFmtId="0">
      <sharedItems containsBlank="1" containsMixedTypes="1" containsNumber="1" containsInteger="1" minValue="1" maxValue="4"/>
    </cacheField>
    <cacheField name="Question 21A" numFmtId="0">
      <sharedItems containsBlank="1" containsMixedTypes="1" containsNumber="1" containsInteger="1" minValue="1" maxValue="4"/>
    </cacheField>
    <cacheField name="Question 21Peu" numFmtId="0">
      <sharedItems containsBlank="1"/>
    </cacheField>
    <cacheField name="Question 21Pas" numFmtId="0">
      <sharedItems containsBlank="1"/>
    </cacheField>
    <cacheField name="Question 22.1" numFmtId="0">
      <sharedItems containsBlank="1" containsMixedTypes="1" containsNumber="1" containsInteger="1" minValue="1" maxValue="2"/>
    </cacheField>
    <cacheField name="Question 22.2" numFmtId="0">
      <sharedItems containsBlank="1" containsMixedTypes="1" containsNumber="1" containsInteger="1" minValue="1" maxValue="2"/>
    </cacheField>
    <cacheField name="Question 22.3" numFmtId="0">
      <sharedItems containsBlank="1" containsMixedTypes="1" containsNumber="1" containsInteger="1" minValue="1" maxValue="2"/>
    </cacheField>
    <cacheField name="Question 22.4" numFmtId="0">
      <sharedItems containsBlank="1" containsMixedTypes="1" containsNumber="1" containsInteger="1" minValue="1" maxValue="2"/>
    </cacheField>
    <cacheField name="Question 22.5" numFmtId="0">
      <sharedItems containsBlank="1" containsMixedTypes="1" containsNumber="1" containsInteger="1" minValue="1" maxValue="2"/>
    </cacheField>
    <cacheField name="Question 22.6" numFmtId="0">
      <sharedItems containsBlank="1" containsMixedTypes="1" containsNumber="1" containsInteger="1" minValue="1" maxValue="2"/>
    </cacheField>
    <cacheField name="Question 23" numFmtId="0">
      <sharedItems containsBlank="1" containsMixedTypes="1" containsNumber="1" containsInteger="1" minValue="1" maxValue="2"/>
    </cacheField>
    <cacheField name="Question 24" numFmtId="0">
      <sharedItems containsBlank="1" containsMixedTypes="1" containsNumber="1" containsInteger="1" minValue="1" maxValue="2"/>
    </cacheField>
    <cacheField name="Question 25" numFmtId="0">
      <sharedItems containsBlank="1" containsMixedTypes="1" containsNumber="1" containsInteger="1" minValue="1" maxValue="4"/>
    </cacheField>
    <cacheField name="Question 25A" numFmtId="0">
      <sharedItems containsBlank="1" containsMixedTypes="1" containsNumber="1" containsInteger="1" minValue="1" maxValue="98"/>
    </cacheField>
    <cacheField name="Question 25Autre" numFmtId="0">
      <sharedItems containsBlank="1"/>
    </cacheField>
    <cacheField name="Question 26" numFmtId="0">
      <sharedItems containsBlank="1" containsMixedTypes="1" containsNumber="1" containsInteger="1" minValue="1" maxValue="2"/>
    </cacheField>
    <cacheField name="Question 26A" numFmtId="0">
      <sharedItems containsBlank="1" containsMixedTypes="1" containsNumber="1" containsInteger="1" minValue="1" maxValue="4"/>
    </cacheField>
    <cacheField name="Question 26B" numFmtId="0">
      <sharedItems containsBlank="1" containsMixedTypes="1" containsNumber="1" containsInteger="1" minValue="1" maxValue="98"/>
    </cacheField>
    <cacheField name="Question 26Autre" numFmtId="0">
      <sharedItems containsBlank="1"/>
    </cacheField>
    <cacheField name="Question 27" numFmtId="0">
      <sharedItems containsBlank="1" containsMixedTypes="1" containsNumber="1" containsInteger="1" minValue="1" maxValue="8"/>
    </cacheField>
    <cacheField name="Question 28" numFmtId="0">
      <sharedItems containsBlank="1" containsMixedTypes="1" containsNumber="1" containsInteger="1" minValue="1" maxValue="4"/>
    </cacheField>
    <cacheField name="Question 29" numFmtId="0">
      <sharedItems containsBlank="1" containsMixedTypes="1" containsNumber="1" containsInteger="1" minValue="1" maxValue="5"/>
    </cacheField>
    <cacheField name="Question 30" numFmtId="0">
      <sharedItems containsBlank="1" containsMixedTypes="1" containsNumber="1" containsInteger="1" minValue="1" maxValue="2" count="4">
        <s v="Êtes-vous :"/>
        <n v="1"/>
        <n v="2"/>
        <m/>
      </sharedItems>
    </cacheField>
    <cacheField name="Question 31" numFmtId="0">
      <sharedItems containsBlank="1" containsMixedTypes="1" containsNumber="1" containsInteger="1" minValue="1946" maxValue="1994"/>
    </cacheField>
    <cacheField name="Question 32" numFmtId="0">
      <sharedItems containsBlank="1" containsMixedTypes="1" containsNumber="1" containsInteger="1" minValue="1" maxValue="3"/>
    </cacheField>
    <cacheField name="Question 32 Autre" numFmtId="0">
      <sharedItems containsBlank="1"/>
    </cacheField>
    <cacheField name="Question 33" numFmtId="0">
      <sharedItems containsBlank="1" containsMixedTypes="1" containsNumber="1" containsInteger="1" minValue="1" maxValue="7"/>
    </cacheField>
    <cacheField name="Question 33 Autre" numFmtId="0">
      <sharedItems containsBlank="1"/>
    </cacheField>
    <cacheField name="Question 34" numFmtId="0">
      <sharedItems containsBlank="1" containsMixedTypes="1" containsNumber="1" containsInteger="1" minValue="1" maxValue="6"/>
    </cacheField>
    <cacheField name="Question 34 Autre" numFmtId="0">
      <sharedItems containsBlank="1"/>
    </cacheField>
    <cacheField name="Question 35" numFmtId="0">
      <sharedItems containsBlank="1" containsMixedTypes="1" containsNumber="1" containsInteger="1" minValue="1" maxValue="4"/>
    </cacheField>
    <cacheField name="Question 35 Autre" numFmtId="0">
      <sharedItems containsBlank="1"/>
    </cacheField>
    <cacheField name="Question 36" numFmtId="0">
      <sharedItems containsBlank="1" containsMixedTypes="1" containsNumber="1" containsInteger="1" minValue="1" maxValue="4"/>
    </cacheField>
    <cacheField name="Répondant" numFmtId="0">
      <sharedItems containsString="0" containsBlank="1" containsNumber="1" containsInteger="1" minValue="1" maxValue="1"/>
    </cacheField>
    <cacheField name="Calcul de l'âge" numFmtId="0">
      <sharedItems containsString="0" containsBlank="1" containsNumber="1" containsInteger="1" minValue="19" maxValue="2013"/>
    </cacheField>
    <cacheField name="L'âge regrouper" numFmtId="0">
      <sharedItems containsString="0" containsBlank="1" containsNumber="1" containsInteger="1" minValue="1" maxValue="4" count="5">
        <m/>
        <n v="1"/>
        <n v="2"/>
        <n v="3"/>
        <n v="4"/>
      </sharedItems>
    </cacheField>
    <cacheField name="Calcul vivre seul (MS)" numFmtId="0">
      <sharedItems containsString="0" containsBlank="1" containsNumber="1" containsInteger="1" minValue="1" maxValue="3"/>
    </cacheField>
    <cacheField name="Calcul ménage (M)" numFmtId="0">
      <sharedItems containsString="0" containsBlank="1" containsNumber="1" containsInteger="1" minValue="1" maxValue="5"/>
    </cacheField>
    <cacheField name="Calcul enfant (ME)" numFmtId="0">
      <sharedItems containsString="0" containsBlank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1.xml><?xml version="1.0" encoding="utf-8"?>
<pivotCacheDefinition xmlns="http://schemas.openxmlformats.org/spreadsheetml/2006/main" xmlns:r="http://schemas.openxmlformats.org/officeDocument/2006/relationships" r:id="rId1" refreshedBy="Tesmel01" refreshedDate="41416.545157523149" createdVersion="3" refreshedVersion="3" minRefreshableVersion="3" recordCount="632">
  <cacheSource type="worksheet">
    <worksheetSource ref="T1:CQ1048576" sheet="Grille de saisie"/>
  </cacheSource>
  <cacheFields count="76">
    <cacheField name="Question 8.8" numFmtId="0">
      <sharedItems containsBlank="1" containsMixedTypes="1" containsNumber="1" containsInteger="1" minValue="1" maxValue="4" count="6">
        <s v="Dans votre quartier, les conflits entre d'autres groupes d'individus sont … ?"/>
        <n v="2"/>
        <n v="3"/>
        <n v="1"/>
        <n v="4"/>
        <m/>
      </sharedItems>
    </cacheField>
    <cacheField name="Question 9.1" numFmtId="0">
      <sharedItems containsBlank="1" containsMixedTypes="1" containsNumber="1" containsInteger="1" minValue="1" maxValue="4"/>
    </cacheField>
    <cacheField name="Question 9.2" numFmtId="0">
      <sharedItems containsBlank="1" containsMixedTypes="1" containsNumber="1" containsInteger="1" minValue="1" maxValue="4"/>
    </cacheField>
    <cacheField name="Question 10.1" numFmtId="0">
      <sharedItems containsBlank="1" containsMixedTypes="1" containsNumber="1" containsInteger="1" minValue="1" maxValue="4"/>
    </cacheField>
    <cacheField name="Question 10.2" numFmtId="0">
      <sharedItems containsBlank="1" containsMixedTypes="1" containsNumber="1" containsInteger="1" minValue="1" maxValue="4"/>
    </cacheField>
    <cacheField name="Question 11" numFmtId="0">
      <sharedItems containsBlank="1" containsMixedTypes="1" containsNumber="1" containsInteger="1" minValue="1" maxValue="2"/>
    </cacheField>
    <cacheField name="Question 12" numFmtId="0">
      <sharedItems containsBlank="1" containsMixedTypes="1" containsNumber="1" containsInteger="1" minValue="1" maxValue="2"/>
    </cacheField>
    <cacheField name="Question 12A1" numFmtId="0">
      <sharedItems containsBlank="1" containsMixedTypes="1" containsNumber="1" containsInteger="1" minValue="1" maxValue="1"/>
    </cacheField>
    <cacheField name="Question 12A2" numFmtId="0">
      <sharedItems containsBlank="1" containsMixedTypes="1" containsNumber="1" containsInteger="1" minValue="1" maxValue="1"/>
    </cacheField>
    <cacheField name="Question 12A3" numFmtId="0">
      <sharedItems containsBlank="1" containsMixedTypes="1" containsNumber="1" containsInteger="1" minValue="1" maxValue="1"/>
    </cacheField>
    <cacheField name="Question 12A4" numFmtId="0">
      <sharedItems containsBlank="1" containsMixedTypes="1" containsNumber="1" containsInteger="1" minValue="1" maxValue="1"/>
    </cacheField>
    <cacheField name="Question 12A5" numFmtId="0">
      <sharedItems containsBlank="1" containsMixedTypes="1" containsNumber="1" containsInteger="1" minValue="1" maxValue="1"/>
    </cacheField>
    <cacheField name="Question 12A6" numFmtId="0">
      <sharedItems containsBlank="1" containsMixedTypes="1" containsNumber="1" containsInteger="1" minValue="1" maxValue="1"/>
    </cacheField>
    <cacheField name="Question 12A7" numFmtId="0">
      <sharedItems containsBlank="1" containsMixedTypes="1" containsNumber="1" containsInteger="1" minValue="1" maxValue="1"/>
    </cacheField>
    <cacheField name="Question 12A8" numFmtId="0">
      <sharedItems containsBlank="1" containsMixedTypes="1" containsNumber="1" containsInteger="1" minValue="1" maxValue="1"/>
    </cacheField>
    <cacheField name="Question 12A9" numFmtId="0">
      <sharedItems containsBlank="1"/>
    </cacheField>
    <cacheField name="Question 13" numFmtId="0">
      <sharedItems containsBlank="1" containsMixedTypes="1" containsNumber="1" containsInteger="1" minValue="1" maxValue="2"/>
    </cacheField>
    <cacheField name="Question 13A" numFmtId="0">
      <sharedItems containsBlank="1"/>
    </cacheField>
    <cacheField name="Question 14.1" numFmtId="0">
      <sharedItems containsBlank="1" containsMixedTypes="1" containsNumber="1" containsInteger="1" minValue="1" maxValue="2"/>
    </cacheField>
    <cacheField name="Question 14.2" numFmtId="0">
      <sharedItems containsBlank="1" containsMixedTypes="1" containsNumber="1" containsInteger="1" minValue="1" maxValue="2"/>
    </cacheField>
    <cacheField name="Question 14.3" numFmtId="0">
      <sharedItems containsBlank="1" containsMixedTypes="1" containsNumber="1" containsInteger="1" minValue="1" maxValue="2"/>
    </cacheField>
    <cacheField name="Question 14.4" numFmtId="0">
      <sharedItems containsBlank="1" containsMixedTypes="1" containsNumber="1" containsInteger="1" minValue="1" maxValue="2"/>
    </cacheField>
    <cacheField name="Question 14.5" numFmtId="0">
      <sharedItems containsBlank="1" containsMixedTypes="1" containsNumber="1" containsInteger="1" minValue="1" maxValue="2"/>
    </cacheField>
    <cacheField name="Question 14.6" numFmtId="0">
      <sharedItems containsBlank="1" containsMixedTypes="1" containsNumber="1" containsInteger="1" minValue="1" maxValue="2"/>
    </cacheField>
    <cacheField name="Question 14.7" numFmtId="0">
      <sharedItems containsBlank="1" containsMixedTypes="1" containsNumber="1" containsInteger="1" minValue="1" maxValue="2"/>
    </cacheField>
    <cacheField name="Question 14.8" numFmtId="0">
      <sharedItems containsBlank="1" containsMixedTypes="1" containsNumber="1" containsInteger="1" minValue="1" maxValue="2"/>
    </cacheField>
    <cacheField name="Question 15" numFmtId="0">
      <sharedItems containsBlank="1" containsMixedTypes="1" containsNumber="1" containsInteger="1" minValue="1" maxValue="2"/>
    </cacheField>
    <cacheField name="Question 15A" numFmtId="0">
      <sharedItems containsBlank="1" containsMixedTypes="1" containsNumber="1" containsInteger="1" minValue="1" maxValue="2"/>
    </cacheField>
    <cacheField name="Question 16.1" numFmtId="0">
      <sharedItems containsBlank="1" containsMixedTypes="1" containsNumber="1" containsInteger="1" minValue="1" maxValue="7"/>
    </cacheField>
    <cacheField name="Question 16.2" numFmtId="0">
      <sharedItems containsBlank="1" containsMixedTypes="1" containsNumber="1" containsInteger="1" minValue="1" maxValue="7"/>
    </cacheField>
    <cacheField name="Question 16.3" numFmtId="0">
      <sharedItems containsBlank="1" containsMixedTypes="1" containsNumber="1" containsInteger="1" minValue="1" maxValue="7"/>
    </cacheField>
    <cacheField name="Question 17" numFmtId="0">
      <sharedItems containsBlank="1" containsMixedTypes="1" containsNumber="1" containsInteger="1" minValue="1" maxValue="8"/>
    </cacheField>
    <cacheField name="Question 18" numFmtId="0">
      <sharedItems containsBlank="1" containsMixedTypes="1" containsNumber="1" containsInteger="1" minValue="1" maxValue="4"/>
    </cacheField>
    <cacheField name="Question 19" numFmtId="0">
      <sharedItems containsBlank="1" containsMixedTypes="1" containsNumber="1" containsInteger="1" minValue="1" maxValue="8"/>
    </cacheField>
    <cacheField name="Question 20.1" numFmtId="0">
      <sharedItems containsBlank="1" containsMixedTypes="1" containsNumber="1" containsInteger="1" minValue="1" maxValue="8"/>
    </cacheField>
    <cacheField name="Question 20.2" numFmtId="0">
      <sharedItems containsBlank="1" containsMixedTypes="1" containsNumber="1" containsInteger="1" minValue="1" maxValue="8"/>
    </cacheField>
    <cacheField name="Question 20.3" numFmtId="0">
      <sharedItems containsBlank="1" containsMixedTypes="1" containsNumber="1" containsInteger="1" minValue="1" maxValue="8"/>
    </cacheField>
    <cacheField name="Question 21" numFmtId="0">
      <sharedItems containsBlank="1" containsMixedTypes="1" containsNumber="1" containsInteger="1" minValue="1" maxValue="4"/>
    </cacheField>
    <cacheField name="Question 21A" numFmtId="0">
      <sharedItems containsBlank="1" containsMixedTypes="1" containsNumber="1" containsInteger="1" minValue="1" maxValue="4"/>
    </cacheField>
    <cacheField name="Question 21Peu" numFmtId="0">
      <sharedItems containsBlank="1"/>
    </cacheField>
    <cacheField name="Question 21Pas" numFmtId="0">
      <sharedItems containsBlank="1"/>
    </cacheField>
    <cacheField name="Question 22.1" numFmtId="0">
      <sharedItems containsBlank="1" containsMixedTypes="1" containsNumber="1" containsInteger="1" minValue="1" maxValue="2"/>
    </cacheField>
    <cacheField name="Question 22.2" numFmtId="0">
      <sharedItems containsBlank="1" containsMixedTypes="1" containsNumber="1" containsInteger="1" minValue="1" maxValue="2"/>
    </cacheField>
    <cacheField name="Question 22.3" numFmtId="0">
      <sharedItems containsBlank="1" containsMixedTypes="1" containsNumber="1" containsInteger="1" minValue="1" maxValue="2"/>
    </cacheField>
    <cacheField name="Question 22.4" numFmtId="0">
      <sharedItems containsBlank="1" containsMixedTypes="1" containsNumber="1" containsInteger="1" minValue="1" maxValue="2"/>
    </cacheField>
    <cacheField name="Question 22.5" numFmtId="0">
      <sharedItems containsBlank="1" containsMixedTypes="1" containsNumber="1" containsInteger="1" minValue="1" maxValue="2"/>
    </cacheField>
    <cacheField name="Question 22.6" numFmtId="0">
      <sharedItems containsBlank="1" containsMixedTypes="1" containsNumber="1" containsInteger="1" minValue="1" maxValue="2"/>
    </cacheField>
    <cacheField name="Question 23" numFmtId="0">
      <sharedItems containsBlank="1" containsMixedTypes="1" containsNumber="1" containsInteger="1" minValue="1" maxValue="2"/>
    </cacheField>
    <cacheField name="Question 24" numFmtId="0">
      <sharedItems containsBlank="1" containsMixedTypes="1" containsNumber="1" containsInteger="1" minValue="1" maxValue="2"/>
    </cacheField>
    <cacheField name="Question 25" numFmtId="0">
      <sharedItems containsBlank="1" containsMixedTypes="1" containsNumber="1" containsInteger="1" minValue="1" maxValue="4"/>
    </cacheField>
    <cacheField name="Question 25A" numFmtId="0">
      <sharedItems containsBlank="1" containsMixedTypes="1" containsNumber="1" containsInteger="1" minValue="1" maxValue="98"/>
    </cacheField>
    <cacheField name="Question 25Autre" numFmtId="0">
      <sharedItems containsBlank="1"/>
    </cacheField>
    <cacheField name="Question 26" numFmtId="0">
      <sharedItems containsBlank="1" containsMixedTypes="1" containsNumber="1" containsInteger="1" minValue="1" maxValue="2"/>
    </cacheField>
    <cacheField name="Question 26A" numFmtId="0">
      <sharedItems containsBlank="1" containsMixedTypes="1" containsNumber="1" containsInteger="1" minValue="1" maxValue="4"/>
    </cacheField>
    <cacheField name="Question 26B" numFmtId="0">
      <sharedItems containsBlank="1" containsMixedTypes="1" containsNumber="1" containsInteger="1" minValue="1" maxValue="98"/>
    </cacheField>
    <cacheField name="Question 26Autre" numFmtId="0">
      <sharedItems containsBlank="1"/>
    </cacheField>
    <cacheField name="Question 27" numFmtId="0">
      <sharedItems containsBlank="1" containsMixedTypes="1" containsNumber="1" containsInteger="1" minValue="1" maxValue="8"/>
    </cacheField>
    <cacheField name="Question 28" numFmtId="0">
      <sharedItems containsBlank="1" containsMixedTypes="1" containsNumber="1" containsInteger="1" minValue="1" maxValue="4"/>
    </cacheField>
    <cacheField name="Question 29" numFmtId="0">
      <sharedItems containsBlank="1" containsMixedTypes="1" containsNumber="1" containsInteger="1" minValue="1" maxValue="5"/>
    </cacheField>
    <cacheField name="Question 30" numFmtId="0">
      <sharedItems containsBlank="1" containsMixedTypes="1" containsNumber="1" containsInteger="1" minValue="1" maxValue="2" count="4">
        <s v="Êtes-vous :"/>
        <n v="1"/>
        <n v="2"/>
        <m/>
      </sharedItems>
    </cacheField>
    <cacheField name="Question 31" numFmtId="0">
      <sharedItems containsBlank="1" containsMixedTypes="1" containsNumber="1" containsInteger="1" minValue="1946" maxValue="1994"/>
    </cacheField>
    <cacheField name="Question 32" numFmtId="0">
      <sharedItems containsBlank="1" containsMixedTypes="1" containsNumber="1" containsInteger="1" minValue="1" maxValue="3"/>
    </cacheField>
    <cacheField name="Question 32 Autre" numFmtId="0">
      <sharedItems containsBlank="1"/>
    </cacheField>
    <cacheField name="Question 33" numFmtId="0">
      <sharedItems containsBlank="1" containsMixedTypes="1" containsNumber="1" containsInteger="1" minValue="1" maxValue="7"/>
    </cacheField>
    <cacheField name="Question 33 Autre" numFmtId="0">
      <sharedItems containsBlank="1"/>
    </cacheField>
    <cacheField name="Question 34" numFmtId="0">
      <sharedItems containsBlank="1" containsMixedTypes="1" containsNumber="1" containsInteger="1" minValue="1" maxValue="6"/>
    </cacheField>
    <cacheField name="Question 34 Autre" numFmtId="0">
      <sharedItems containsBlank="1"/>
    </cacheField>
    <cacheField name="Question 35" numFmtId="0">
      <sharedItems containsBlank="1" containsMixedTypes="1" containsNumber="1" containsInteger="1" minValue="1" maxValue="4"/>
    </cacheField>
    <cacheField name="Question 35 Autre" numFmtId="0">
      <sharedItems containsBlank="1"/>
    </cacheField>
    <cacheField name="Question 36" numFmtId="0">
      <sharedItems containsBlank="1" containsMixedTypes="1" containsNumber="1" containsInteger="1" minValue="1" maxValue="4"/>
    </cacheField>
    <cacheField name="Répondant" numFmtId="0">
      <sharedItems containsString="0" containsBlank="1" containsNumber="1" containsInteger="1" minValue="1" maxValue="1"/>
    </cacheField>
    <cacheField name="Calcul de l'âge" numFmtId="0">
      <sharedItems containsString="0" containsBlank="1" containsNumber="1" containsInteger="1" minValue="19" maxValue="2013"/>
    </cacheField>
    <cacheField name="L'âge regrouper" numFmtId="0">
      <sharedItems containsString="0" containsBlank="1" containsNumber="1" containsInteger="1" minValue="1" maxValue="4" count="5">
        <m/>
        <n v="1"/>
        <n v="2"/>
        <n v="3"/>
        <n v="4"/>
      </sharedItems>
    </cacheField>
    <cacheField name="Calcul vivre seul (MS)" numFmtId="0">
      <sharedItems containsString="0" containsBlank="1" containsNumber="1" containsInteger="1" minValue="1" maxValue="3"/>
    </cacheField>
    <cacheField name="Calcul ménage (M)" numFmtId="0">
      <sharedItems containsString="0" containsBlank="1" containsNumber="1" containsInteger="1" minValue="1" maxValue="5"/>
    </cacheField>
    <cacheField name="Calcul enfant (ME)" numFmtId="0">
      <sharedItems containsString="0" containsBlank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2.xml><?xml version="1.0" encoding="utf-8"?>
<pivotCacheDefinition xmlns="http://schemas.openxmlformats.org/spreadsheetml/2006/main" xmlns:r="http://schemas.openxmlformats.org/officeDocument/2006/relationships" r:id="rId1" refreshedBy="Tesmel01" refreshedDate="41416.545157986111" createdVersion="3" refreshedVersion="3" minRefreshableVersion="3" recordCount="632">
  <cacheSource type="worksheet">
    <worksheetSource ref="U1:CQ1048576" sheet="Grille de saisie"/>
  </cacheSource>
  <cacheFields count="75">
    <cacheField name="Question 9.1" numFmtId="0">
      <sharedItems containsBlank="1" containsMixedTypes="1" containsNumber="1" containsInteger="1" minValue="1" maxValue="4" count="6">
        <s v="Dans votre quartier, les graffiti sont … ?"/>
        <n v="2"/>
        <n v="1"/>
        <n v="3"/>
        <n v="4"/>
        <m/>
      </sharedItems>
    </cacheField>
    <cacheField name="Question 9.2" numFmtId="0">
      <sharedItems containsBlank="1" containsMixedTypes="1" containsNumber="1" containsInteger="1" minValue="1" maxValue="4"/>
    </cacheField>
    <cacheField name="Question 10.1" numFmtId="0">
      <sharedItems containsBlank="1" containsMixedTypes="1" containsNumber="1" containsInteger="1" minValue="1" maxValue="4"/>
    </cacheField>
    <cacheField name="Question 10.2" numFmtId="0">
      <sharedItems containsBlank="1" containsMixedTypes="1" containsNumber="1" containsInteger="1" minValue="1" maxValue="4"/>
    </cacheField>
    <cacheField name="Question 11" numFmtId="0">
      <sharedItems containsBlank="1" containsMixedTypes="1" containsNumber="1" containsInteger="1" minValue="1" maxValue="2"/>
    </cacheField>
    <cacheField name="Question 12" numFmtId="0">
      <sharedItems containsBlank="1" containsMixedTypes="1" containsNumber="1" containsInteger="1" minValue="1" maxValue="2"/>
    </cacheField>
    <cacheField name="Question 12A1" numFmtId="0">
      <sharedItems containsBlank="1" containsMixedTypes="1" containsNumber="1" containsInteger="1" minValue="1" maxValue="1"/>
    </cacheField>
    <cacheField name="Question 12A2" numFmtId="0">
      <sharedItems containsBlank="1" containsMixedTypes="1" containsNumber="1" containsInteger="1" minValue="1" maxValue="1"/>
    </cacheField>
    <cacheField name="Question 12A3" numFmtId="0">
      <sharedItems containsBlank="1" containsMixedTypes="1" containsNumber="1" containsInteger="1" minValue="1" maxValue="1"/>
    </cacheField>
    <cacheField name="Question 12A4" numFmtId="0">
      <sharedItems containsBlank="1" containsMixedTypes="1" containsNumber="1" containsInteger="1" minValue="1" maxValue="1"/>
    </cacheField>
    <cacheField name="Question 12A5" numFmtId="0">
      <sharedItems containsBlank="1" containsMixedTypes="1" containsNumber="1" containsInteger="1" minValue="1" maxValue="1"/>
    </cacheField>
    <cacheField name="Question 12A6" numFmtId="0">
      <sharedItems containsBlank="1" containsMixedTypes="1" containsNumber="1" containsInteger="1" minValue="1" maxValue="1"/>
    </cacheField>
    <cacheField name="Question 12A7" numFmtId="0">
      <sharedItems containsBlank="1" containsMixedTypes="1" containsNumber="1" containsInteger="1" minValue="1" maxValue="1"/>
    </cacheField>
    <cacheField name="Question 12A8" numFmtId="0">
      <sharedItems containsBlank="1" containsMixedTypes="1" containsNumber="1" containsInteger="1" minValue="1" maxValue="1"/>
    </cacheField>
    <cacheField name="Question 12A9" numFmtId="0">
      <sharedItems containsBlank="1"/>
    </cacheField>
    <cacheField name="Question 13" numFmtId="0">
      <sharedItems containsBlank="1" containsMixedTypes="1" containsNumber="1" containsInteger="1" minValue="1" maxValue="2"/>
    </cacheField>
    <cacheField name="Question 13A" numFmtId="0">
      <sharedItems containsBlank="1"/>
    </cacheField>
    <cacheField name="Question 14.1" numFmtId="0">
      <sharedItems containsBlank="1" containsMixedTypes="1" containsNumber="1" containsInteger="1" minValue="1" maxValue="2"/>
    </cacheField>
    <cacheField name="Question 14.2" numFmtId="0">
      <sharedItems containsBlank="1" containsMixedTypes="1" containsNumber="1" containsInteger="1" minValue="1" maxValue="2"/>
    </cacheField>
    <cacheField name="Question 14.3" numFmtId="0">
      <sharedItems containsBlank="1" containsMixedTypes="1" containsNumber="1" containsInteger="1" minValue="1" maxValue="2"/>
    </cacheField>
    <cacheField name="Question 14.4" numFmtId="0">
      <sharedItems containsBlank="1" containsMixedTypes="1" containsNumber="1" containsInteger="1" minValue="1" maxValue="2"/>
    </cacheField>
    <cacheField name="Question 14.5" numFmtId="0">
      <sharedItems containsBlank="1" containsMixedTypes="1" containsNumber="1" containsInteger="1" minValue="1" maxValue="2"/>
    </cacheField>
    <cacheField name="Question 14.6" numFmtId="0">
      <sharedItems containsBlank="1" containsMixedTypes="1" containsNumber="1" containsInteger="1" minValue="1" maxValue="2"/>
    </cacheField>
    <cacheField name="Question 14.7" numFmtId="0">
      <sharedItems containsBlank="1" containsMixedTypes="1" containsNumber="1" containsInteger="1" minValue="1" maxValue="2"/>
    </cacheField>
    <cacheField name="Question 14.8" numFmtId="0">
      <sharedItems containsBlank="1" containsMixedTypes="1" containsNumber="1" containsInteger="1" minValue="1" maxValue="2"/>
    </cacheField>
    <cacheField name="Question 15" numFmtId="0">
      <sharedItems containsBlank="1" containsMixedTypes="1" containsNumber="1" containsInteger="1" minValue="1" maxValue="2"/>
    </cacheField>
    <cacheField name="Question 15A" numFmtId="0">
      <sharedItems containsBlank="1" containsMixedTypes="1" containsNumber="1" containsInteger="1" minValue="1" maxValue="2"/>
    </cacheField>
    <cacheField name="Question 16.1" numFmtId="0">
      <sharedItems containsBlank="1" containsMixedTypes="1" containsNumber="1" containsInteger="1" minValue="1" maxValue="7"/>
    </cacheField>
    <cacheField name="Question 16.2" numFmtId="0">
      <sharedItems containsBlank="1" containsMixedTypes="1" containsNumber="1" containsInteger="1" minValue="1" maxValue="7"/>
    </cacheField>
    <cacheField name="Question 16.3" numFmtId="0">
      <sharedItems containsBlank="1" containsMixedTypes="1" containsNumber="1" containsInteger="1" minValue="1" maxValue="7"/>
    </cacheField>
    <cacheField name="Question 17" numFmtId="0">
      <sharedItems containsBlank="1" containsMixedTypes="1" containsNumber="1" containsInteger="1" minValue="1" maxValue="8"/>
    </cacheField>
    <cacheField name="Question 18" numFmtId="0">
      <sharedItems containsBlank="1" containsMixedTypes="1" containsNumber="1" containsInteger="1" minValue="1" maxValue="4"/>
    </cacheField>
    <cacheField name="Question 19" numFmtId="0">
      <sharedItems containsBlank="1" containsMixedTypes="1" containsNumber="1" containsInteger="1" minValue="1" maxValue="8"/>
    </cacheField>
    <cacheField name="Question 20.1" numFmtId="0">
      <sharedItems containsBlank="1" containsMixedTypes="1" containsNumber="1" containsInteger="1" minValue="1" maxValue="8"/>
    </cacheField>
    <cacheField name="Question 20.2" numFmtId="0">
      <sharedItems containsBlank="1" containsMixedTypes="1" containsNumber="1" containsInteger="1" minValue="1" maxValue="8"/>
    </cacheField>
    <cacheField name="Question 20.3" numFmtId="0">
      <sharedItems containsBlank="1" containsMixedTypes="1" containsNumber="1" containsInteger="1" minValue="1" maxValue="8"/>
    </cacheField>
    <cacheField name="Question 21" numFmtId="0">
      <sharedItems containsBlank="1" containsMixedTypes="1" containsNumber="1" containsInteger="1" minValue="1" maxValue="4"/>
    </cacheField>
    <cacheField name="Question 21A" numFmtId="0">
      <sharedItems containsBlank="1" containsMixedTypes="1" containsNumber="1" containsInteger="1" minValue="1" maxValue="4"/>
    </cacheField>
    <cacheField name="Question 21Peu" numFmtId="0">
      <sharedItems containsBlank="1"/>
    </cacheField>
    <cacheField name="Question 21Pas" numFmtId="0">
      <sharedItems containsBlank="1"/>
    </cacheField>
    <cacheField name="Question 22.1" numFmtId="0">
      <sharedItems containsBlank="1" containsMixedTypes="1" containsNumber="1" containsInteger="1" minValue="1" maxValue="2"/>
    </cacheField>
    <cacheField name="Question 22.2" numFmtId="0">
      <sharedItems containsBlank="1" containsMixedTypes="1" containsNumber="1" containsInteger="1" minValue="1" maxValue="2"/>
    </cacheField>
    <cacheField name="Question 22.3" numFmtId="0">
      <sharedItems containsBlank="1" containsMixedTypes="1" containsNumber="1" containsInteger="1" minValue="1" maxValue="2"/>
    </cacheField>
    <cacheField name="Question 22.4" numFmtId="0">
      <sharedItems containsBlank="1" containsMixedTypes="1" containsNumber="1" containsInteger="1" minValue="1" maxValue="2"/>
    </cacheField>
    <cacheField name="Question 22.5" numFmtId="0">
      <sharedItems containsBlank="1" containsMixedTypes="1" containsNumber="1" containsInteger="1" minValue="1" maxValue="2"/>
    </cacheField>
    <cacheField name="Question 22.6" numFmtId="0">
      <sharedItems containsBlank="1" containsMixedTypes="1" containsNumber="1" containsInteger="1" minValue="1" maxValue="2"/>
    </cacheField>
    <cacheField name="Question 23" numFmtId="0">
      <sharedItems containsBlank="1" containsMixedTypes="1" containsNumber="1" containsInteger="1" minValue="1" maxValue="2"/>
    </cacheField>
    <cacheField name="Question 24" numFmtId="0">
      <sharedItems containsBlank="1" containsMixedTypes="1" containsNumber="1" containsInteger="1" minValue="1" maxValue="2"/>
    </cacheField>
    <cacheField name="Question 25" numFmtId="0">
      <sharedItems containsBlank="1" containsMixedTypes="1" containsNumber="1" containsInteger="1" minValue="1" maxValue="4"/>
    </cacheField>
    <cacheField name="Question 25A" numFmtId="0">
      <sharedItems containsBlank="1" containsMixedTypes="1" containsNumber="1" containsInteger="1" minValue="1" maxValue="98"/>
    </cacheField>
    <cacheField name="Question 25Autre" numFmtId="0">
      <sharedItems containsBlank="1"/>
    </cacheField>
    <cacheField name="Question 26" numFmtId="0">
      <sharedItems containsBlank="1" containsMixedTypes="1" containsNumber="1" containsInteger="1" minValue="1" maxValue="2"/>
    </cacheField>
    <cacheField name="Question 26A" numFmtId="0">
      <sharedItems containsBlank="1" containsMixedTypes="1" containsNumber="1" containsInteger="1" minValue="1" maxValue="4"/>
    </cacheField>
    <cacheField name="Question 26B" numFmtId="0">
      <sharedItems containsBlank="1" containsMixedTypes="1" containsNumber="1" containsInteger="1" minValue="1" maxValue="98"/>
    </cacheField>
    <cacheField name="Question 26Autre" numFmtId="0">
      <sharedItems containsBlank="1"/>
    </cacheField>
    <cacheField name="Question 27" numFmtId="0">
      <sharedItems containsBlank="1" containsMixedTypes="1" containsNumber="1" containsInteger="1" minValue="1" maxValue="8"/>
    </cacheField>
    <cacheField name="Question 28" numFmtId="0">
      <sharedItems containsBlank="1" containsMixedTypes="1" containsNumber="1" containsInteger="1" minValue="1" maxValue="4"/>
    </cacheField>
    <cacheField name="Question 29" numFmtId="0">
      <sharedItems containsBlank="1" containsMixedTypes="1" containsNumber="1" containsInteger="1" minValue="1" maxValue="5"/>
    </cacheField>
    <cacheField name="Question 30" numFmtId="0">
      <sharedItems containsBlank="1" containsMixedTypes="1" containsNumber="1" containsInteger="1" minValue="1" maxValue="2" count="4">
        <s v="Êtes-vous :"/>
        <n v="1"/>
        <n v="2"/>
        <m/>
      </sharedItems>
    </cacheField>
    <cacheField name="Question 31" numFmtId="0">
      <sharedItems containsBlank="1" containsMixedTypes="1" containsNumber="1" containsInteger="1" minValue="1946" maxValue="1994"/>
    </cacheField>
    <cacheField name="Question 32" numFmtId="0">
      <sharedItems containsBlank="1" containsMixedTypes="1" containsNumber="1" containsInteger="1" minValue="1" maxValue="3"/>
    </cacheField>
    <cacheField name="Question 32 Autre" numFmtId="0">
      <sharedItems containsBlank="1"/>
    </cacheField>
    <cacheField name="Question 33" numFmtId="0">
      <sharedItems containsBlank="1" containsMixedTypes="1" containsNumber="1" containsInteger="1" minValue="1" maxValue="7"/>
    </cacheField>
    <cacheField name="Question 33 Autre" numFmtId="0">
      <sharedItems containsBlank="1"/>
    </cacheField>
    <cacheField name="Question 34" numFmtId="0">
      <sharedItems containsBlank="1" containsMixedTypes="1" containsNumber="1" containsInteger="1" minValue="1" maxValue="6"/>
    </cacheField>
    <cacheField name="Question 34 Autre" numFmtId="0">
      <sharedItems containsBlank="1"/>
    </cacheField>
    <cacheField name="Question 35" numFmtId="0">
      <sharedItems containsBlank="1" containsMixedTypes="1" containsNumber="1" containsInteger="1" minValue="1" maxValue="4"/>
    </cacheField>
    <cacheField name="Question 35 Autre" numFmtId="0">
      <sharedItems containsBlank="1"/>
    </cacheField>
    <cacheField name="Question 36" numFmtId="0">
      <sharedItems containsBlank="1" containsMixedTypes="1" containsNumber="1" containsInteger="1" minValue="1" maxValue="4"/>
    </cacheField>
    <cacheField name="Répondant" numFmtId="0">
      <sharedItems containsString="0" containsBlank="1" containsNumber="1" containsInteger="1" minValue="1" maxValue="1"/>
    </cacheField>
    <cacheField name="Calcul de l'âge" numFmtId="0">
      <sharedItems containsString="0" containsBlank="1" containsNumber="1" containsInteger="1" minValue="19" maxValue="2013"/>
    </cacheField>
    <cacheField name="L'âge regrouper" numFmtId="0">
      <sharedItems containsString="0" containsBlank="1" containsNumber="1" containsInteger="1" minValue="1" maxValue="4" count="5">
        <m/>
        <n v="1"/>
        <n v="2"/>
        <n v="3"/>
        <n v="4"/>
      </sharedItems>
    </cacheField>
    <cacheField name="Calcul vivre seul (MS)" numFmtId="0">
      <sharedItems containsString="0" containsBlank="1" containsNumber="1" containsInteger="1" minValue="1" maxValue="3"/>
    </cacheField>
    <cacheField name="Calcul ménage (M)" numFmtId="0">
      <sharedItems containsString="0" containsBlank="1" containsNumber="1" containsInteger="1" minValue="1" maxValue="5"/>
    </cacheField>
    <cacheField name="Calcul enfant (ME)" numFmtId="0">
      <sharedItems containsString="0" containsBlank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3.xml><?xml version="1.0" encoding="utf-8"?>
<pivotCacheDefinition xmlns="http://schemas.openxmlformats.org/spreadsheetml/2006/main" xmlns:r="http://schemas.openxmlformats.org/officeDocument/2006/relationships" r:id="rId1" refreshedBy="Tesmel01" refreshedDate="41416.545158564812" createdVersion="3" refreshedVersion="3" minRefreshableVersion="3" recordCount="632">
  <cacheSource type="worksheet">
    <worksheetSource ref="V1:CQ1048576" sheet="Grille de saisie"/>
  </cacheSource>
  <cacheFields count="74">
    <cacheField name="Question 9.2" numFmtId="0">
      <sharedItems containsBlank="1" containsMixedTypes="1" containsNumber="1" containsInteger="1" minValue="1" maxValue="4" count="6">
        <s v="Dans votre quartier, les immeubles ou bâtiments abandonnés ou mal entretenus sont... ?"/>
        <n v="4"/>
        <n v="2"/>
        <n v="3"/>
        <n v="1"/>
        <m/>
      </sharedItems>
    </cacheField>
    <cacheField name="Question 10.1" numFmtId="0">
      <sharedItems containsBlank="1" containsMixedTypes="1" containsNumber="1" containsInteger="1" minValue="1" maxValue="4"/>
    </cacheField>
    <cacheField name="Question 10.2" numFmtId="0">
      <sharedItems containsBlank="1" containsMixedTypes="1" containsNumber="1" containsInteger="1" minValue="1" maxValue="4"/>
    </cacheField>
    <cacheField name="Question 11" numFmtId="0">
      <sharedItems containsBlank="1" containsMixedTypes="1" containsNumber="1" containsInteger="1" minValue="1" maxValue="2"/>
    </cacheField>
    <cacheField name="Question 12" numFmtId="0">
      <sharedItems containsBlank="1" containsMixedTypes="1" containsNumber="1" containsInteger="1" minValue="1" maxValue="2"/>
    </cacheField>
    <cacheField name="Question 12A1" numFmtId="0">
      <sharedItems containsBlank="1" containsMixedTypes="1" containsNumber="1" containsInteger="1" minValue="1" maxValue="1"/>
    </cacheField>
    <cacheField name="Question 12A2" numFmtId="0">
      <sharedItems containsBlank="1" containsMixedTypes="1" containsNumber="1" containsInteger="1" minValue="1" maxValue="1"/>
    </cacheField>
    <cacheField name="Question 12A3" numFmtId="0">
      <sharedItems containsBlank="1" containsMixedTypes="1" containsNumber="1" containsInteger="1" minValue="1" maxValue="1"/>
    </cacheField>
    <cacheField name="Question 12A4" numFmtId="0">
      <sharedItems containsBlank="1" containsMixedTypes="1" containsNumber="1" containsInteger="1" minValue="1" maxValue="1"/>
    </cacheField>
    <cacheField name="Question 12A5" numFmtId="0">
      <sharedItems containsBlank="1" containsMixedTypes="1" containsNumber="1" containsInteger="1" minValue="1" maxValue="1"/>
    </cacheField>
    <cacheField name="Question 12A6" numFmtId="0">
      <sharedItems containsBlank="1" containsMixedTypes="1" containsNumber="1" containsInteger="1" minValue="1" maxValue="1"/>
    </cacheField>
    <cacheField name="Question 12A7" numFmtId="0">
      <sharedItems containsBlank="1" containsMixedTypes="1" containsNumber="1" containsInteger="1" minValue="1" maxValue="1"/>
    </cacheField>
    <cacheField name="Question 12A8" numFmtId="0">
      <sharedItems containsBlank="1" containsMixedTypes="1" containsNumber="1" containsInteger="1" minValue="1" maxValue="1"/>
    </cacheField>
    <cacheField name="Question 12A9" numFmtId="0">
      <sharedItems containsBlank="1"/>
    </cacheField>
    <cacheField name="Question 13" numFmtId="0">
      <sharedItems containsBlank="1" containsMixedTypes="1" containsNumber="1" containsInteger="1" minValue="1" maxValue="2"/>
    </cacheField>
    <cacheField name="Question 13A" numFmtId="0">
      <sharedItems containsBlank="1"/>
    </cacheField>
    <cacheField name="Question 14.1" numFmtId="0">
      <sharedItems containsBlank="1" containsMixedTypes="1" containsNumber="1" containsInteger="1" minValue="1" maxValue="2"/>
    </cacheField>
    <cacheField name="Question 14.2" numFmtId="0">
      <sharedItems containsBlank="1" containsMixedTypes="1" containsNumber="1" containsInteger="1" minValue="1" maxValue="2"/>
    </cacheField>
    <cacheField name="Question 14.3" numFmtId="0">
      <sharedItems containsBlank="1" containsMixedTypes="1" containsNumber="1" containsInteger="1" minValue="1" maxValue="2"/>
    </cacheField>
    <cacheField name="Question 14.4" numFmtId="0">
      <sharedItems containsBlank="1" containsMixedTypes="1" containsNumber="1" containsInteger="1" minValue="1" maxValue="2"/>
    </cacheField>
    <cacheField name="Question 14.5" numFmtId="0">
      <sharedItems containsBlank="1" containsMixedTypes="1" containsNumber="1" containsInteger="1" minValue="1" maxValue="2"/>
    </cacheField>
    <cacheField name="Question 14.6" numFmtId="0">
      <sharedItems containsBlank="1" containsMixedTypes="1" containsNumber="1" containsInteger="1" minValue="1" maxValue="2"/>
    </cacheField>
    <cacheField name="Question 14.7" numFmtId="0">
      <sharedItems containsBlank="1" containsMixedTypes="1" containsNumber="1" containsInteger="1" minValue="1" maxValue="2"/>
    </cacheField>
    <cacheField name="Question 14.8" numFmtId="0">
      <sharedItems containsBlank="1" containsMixedTypes="1" containsNumber="1" containsInteger="1" minValue="1" maxValue="2"/>
    </cacheField>
    <cacheField name="Question 15" numFmtId="0">
      <sharedItems containsBlank="1" containsMixedTypes="1" containsNumber="1" containsInteger="1" minValue="1" maxValue="2"/>
    </cacheField>
    <cacheField name="Question 15A" numFmtId="0">
      <sharedItems containsBlank="1" containsMixedTypes="1" containsNumber="1" containsInteger="1" minValue="1" maxValue="2"/>
    </cacheField>
    <cacheField name="Question 16.1" numFmtId="0">
      <sharedItems containsBlank="1" containsMixedTypes="1" containsNumber="1" containsInteger="1" minValue="1" maxValue="7"/>
    </cacheField>
    <cacheField name="Question 16.2" numFmtId="0">
      <sharedItems containsBlank="1" containsMixedTypes="1" containsNumber="1" containsInteger="1" minValue="1" maxValue="7"/>
    </cacheField>
    <cacheField name="Question 16.3" numFmtId="0">
      <sharedItems containsBlank="1" containsMixedTypes="1" containsNumber="1" containsInteger="1" minValue="1" maxValue="7"/>
    </cacheField>
    <cacheField name="Question 17" numFmtId="0">
      <sharedItems containsBlank="1" containsMixedTypes="1" containsNumber="1" containsInteger="1" minValue="1" maxValue="8"/>
    </cacheField>
    <cacheField name="Question 18" numFmtId="0">
      <sharedItems containsBlank="1" containsMixedTypes="1" containsNumber="1" containsInteger="1" minValue="1" maxValue="4"/>
    </cacheField>
    <cacheField name="Question 19" numFmtId="0">
      <sharedItems containsBlank="1" containsMixedTypes="1" containsNumber="1" containsInteger="1" minValue="1" maxValue="8"/>
    </cacheField>
    <cacheField name="Question 20.1" numFmtId="0">
      <sharedItems containsBlank="1" containsMixedTypes="1" containsNumber="1" containsInteger="1" minValue="1" maxValue="8"/>
    </cacheField>
    <cacheField name="Question 20.2" numFmtId="0">
      <sharedItems containsBlank="1" containsMixedTypes="1" containsNumber="1" containsInteger="1" minValue="1" maxValue="8"/>
    </cacheField>
    <cacheField name="Question 20.3" numFmtId="0">
      <sharedItems containsBlank="1" containsMixedTypes="1" containsNumber="1" containsInteger="1" minValue="1" maxValue="8"/>
    </cacheField>
    <cacheField name="Question 21" numFmtId="0">
      <sharedItems containsBlank="1" containsMixedTypes="1" containsNumber="1" containsInteger="1" minValue="1" maxValue="4"/>
    </cacheField>
    <cacheField name="Question 21A" numFmtId="0">
      <sharedItems containsBlank="1" containsMixedTypes="1" containsNumber="1" containsInteger="1" minValue="1" maxValue="4"/>
    </cacheField>
    <cacheField name="Question 21Peu" numFmtId="0">
      <sharedItems containsBlank="1"/>
    </cacheField>
    <cacheField name="Question 21Pas" numFmtId="0">
      <sharedItems containsBlank="1"/>
    </cacheField>
    <cacheField name="Question 22.1" numFmtId="0">
      <sharedItems containsBlank="1" containsMixedTypes="1" containsNumber="1" containsInteger="1" minValue="1" maxValue="2"/>
    </cacheField>
    <cacheField name="Question 22.2" numFmtId="0">
      <sharedItems containsBlank="1" containsMixedTypes="1" containsNumber="1" containsInteger="1" minValue="1" maxValue="2"/>
    </cacheField>
    <cacheField name="Question 22.3" numFmtId="0">
      <sharedItems containsBlank="1" containsMixedTypes="1" containsNumber="1" containsInteger="1" minValue="1" maxValue="2"/>
    </cacheField>
    <cacheField name="Question 22.4" numFmtId="0">
      <sharedItems containsBlank="1" containsMixedTypes="1" containsNumber="1" containsInteger="1" minValue="1" maxValue="2"/>
    </cacheField>
    <cacheField name="Question 22.5" numFmtId="0">
      <sharedItems containsBlank="1" containsMixedTypes="1" containsNumber="1" containsInteger="1" minValue="1" maxValue="2"/>
    </cacheField>
    <cacheField name="Question 22.6" numFmtId="0">
      <sharedItems containsBlank="1" containsMixedTypes="1" containsNumber="1" containsInteger="1" minValue="1" maxValue="2"/>
    </cacheField>
    <cacheField name="Question 23" numFmtId="0">
      <sharedItems containsBlank="1" containsMixedTypes="1" containsNumber="1" containsInteger="1" minValue="1" maxValue="2"/>
    </cacheField>
    <cacheField name="Question 24" numFmtId="0">
      <sharedItems containsBlank="1" containsMixedTypes="1" containsNumber="1" containsInteger="1" minValue="1" maxValue="2"/>
    </cacheField>
    <cacheField name="Question 25" numFmtId="0">
      <sharedItems containsBlank="1" containsMixedTypes="1" containsNumber="1" containsInteger="1" minValue="1" maxValue="4"/>
    </cacheField>
    <cacheField name="Question 25A" numFmtId="0">
      <sharedItems containsBlank="1" containsMixedTypes="1" containsNumber="1" containsInteger="1" minValue="1" maxValue="98"/>
    </cacheField>
    <cacheField name="Question 25Autre" numFmtId="0">
      <sharedItems containsBlank="1"/>
    </cacheField>
    <cacheField name="Question 26" numFmtId="0">
      <sharedItems containsBlank="1" containsMixedTypes="1" containsNumber="1" containsInteger="1" minValue="1" maxValue="2"/>
    </cacheField>
    <cacheField name="Question 26A" numFmtId="0">
      <sharedItems containsBlank="1" containsMixedTypes="1" containsNumber="1" containsInteger="1" minValue="1" maxValue="4"/>
    </cacheField>
    <cacheField name="Question 26B" numFmtId="0">
      <sharedItems containsBlank="1" containsMixedTypes="1" containsNumber="1" containsInteger="1" minValue="1" maxValue="98"/>
    </cacheField>
    <cacheField name="Question 26Autre" numFmtId="0">
      <sharedItems containsBlank="1"/>
    </cacheField>
    <cacheField name="Question 27" numFmtId="0">
      <sharedItems containsBlank="1" containsMixedTypes="1" containsNumber="1" containsInteger="1" minValue="1" maxValue="8"/>
    </cacheField>
    <cacheField name="Question 28" numFmtId="0">
      <sharedItems containsBlank="1" containsMixedTypes="1" containsNumber="1" containsInteger="1" minValue="1" maxValue="4"/>
    </cacheField>
    <cacheField name="Question 29" numFmtId="0">
      <sharedItems containsBlank="1" containsMixedTypes="1" containsNumber="1" containsInteger="1" minValue="1" maxValue="5"/>
    </cacheField>
    <cacheField name="Question 30" numFmtId="0">
      <sharedItems containsBlank="1" containsMixedTypes="1" containsNumber="1" containsInteger="1" minValue="1" maxValue="2" count="4">
        <s v="Êtes-vous :"/>
        <n v="1"/>
        <n v="2"/>
        <m/>
      </sharedItems>
    </cacheField>
    <cacheField name="Question 31" numFmtId="0">
      <sharedItems containsBlank="1" containsMixedTypes="1" containsNumber="1" containsInteger="1" minValue="1946" maxValue="1994"/>
    </cacheField>
    <cacheField name="Question 32" numFmtId="0">
      <sharedItems containsBlank="1" containsMixedTypes="1" containsNumber="1" containsInteger="1" minValue="1" maxValue="3"/>
    </cacheField>
    <cacheField name="Question 32 Autre" numFmtId="0">
      <sharedItems containsBlank="1"/>
    </cacheField>
    <cacheField name="Question 33" numFmtId="0">
      <sharedItems containsBlank="1" containsMixedTypes="1" containsNumber="1" containsInteger="1" minValue="1" maxValue="7"/>
    </cacheField>
    <cacheField name="Question 33 Autre" numFmtId="0">
      <sharedItems containsBlank="1"/>
    </cacheField>
    <cacheField name="Question 34" numFmtId="0">
      <sharedItems containsBlank="1" containsMixedTypes="1" containsNumber="1" containsInteger="1" minValue="1" maxValue="6"/>
    </cacheField>
    <cacheField name="Question 34 Autre" numFmtId="0">
      <sharedItems containsBlank="1"/>
    </cacheField>
    <cacheField name="Question 35" numFmtId="0">
      <sharedItems containsBlank="1" containsMixedTypes="1" containsNumber="1" containsInteger="1" minValue="1" maxValue="4"/>
    </cacheField>
    <cacheField name="Question 35 Autre" numFmtId="0">
      <sharedItems containsBlank="1"/>
    </cacheField>
    <cacheField name="Question 36" numFmtId="0">
      <sharedItems containsBlank="1" containsMixedTypes="1" containsNumber="1" containsInteger="1" minValue="1" maxValue="4"/>
    </cacheField>
    <cacheField name="Répondant" numFmtId="0">
      <sharedItems containsString="0" containsBlank="1" containsNumber="1" containsInteger="1" minValue="1" maxValue="1"/>
    </cacheField>
    <cacheField name="Calcul de l'âge" numFmtId="0">
      <sharedItems containsString="0" containsBlank="1" containsNumber="1" containsInteger="1" minValue="19" maxValue="2013"/>
    </cacheField>
    <cacheField name="L'âge regrouper" numFmtId="0">
      <sharedItems containsString="0" containsBlank="1" containsNumber="1" containsInteger="1" minValue="1" maxValue="4" count="5">
        <m/>
        <n v="1"/>
        <n v="2"/>
        <n v="3"/>
        <n v="4"/>
      </sharedItems>
    </cacheField>
    <cacheField name="Calcul vivre seul (MS)" numFmtId="0">
      <sharedItems containsString="0" containsBlank="1" containsNumber="1" containsInteger="1" minValue="1" maxValue="3"/>
    </cacheField>
    <cacheField name="Calcul ménage (M)" numFmtId="0">
      <sharedItems containsString="0" containsBlank="1" containsNumber="1" containsInteger="1" minValue="1" maxValue="5"/>
    </cacheField>
    <cacheField name="Calcul enfant (ME)" numFmtId="0">
      <sharedItems containsString="0" containsBlank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4.xml><?xml version="1.0" encoding="utf-8"?>
<pivotCacheDefinition xmlns="http://schemas.openxmlformats.org/spreadsheetml/2006/main" xmlns:r="http://schemas.openxmlformats.org/officeDocument/2006/relationships" r:id="rId1" refreshedBy="Tesmel01" refreshedDate="41416.545159259258" createdVersion="3" refreshedVersion="3" minRefreshableVersion="3" recordCount="632">
  <cacheSource type="worksheet">
    <worksheetSource ref="W1:CQ1048576" sheet="Grille de saisie"/>
  </cacheSource>
  <cacheFields count="73">
    <cacheField name="Question 10.1" numFmtId="0">
      <sharedItems containsBlank="1" containsMixedTypes="1" containsNumber="1" containsInteger="1" minValue="1" maxValue="4" count="6">
        <s v="Dans votre quartier, le niveau d'entraide entre les personnes est... ?"/>
        <n v="3"/>
        <n v="2"/>
        <n v="1"/>
        <n v="4"/>
        <m/>
      </sharedItems>
    </cacheField>
    <cacheField name="Question 10.2" numFmtId="0">
      <sharedItems containsBlank="1" containsMixedTypes="1" containsNumber="1" containsInteger="1" minValue="1" maxValue="4"/>
    </cacheField>
    <cacheField name="Question 11" numFmtId="0">
      <sharedItems containsBlank="1" containsMixedTypes="1" containsNumber="1" containsInteger="1" minValue="1" maxValue="2"/>
    </cacheField>
    <cacheField name="Question 12" numFmtId="0">
      <sharedItems containsBlank="1" containsMixedTypes="1" containsNumber="1" containsInteger="1" minValue="1" maxValue="2"/>
    </cacheField>
    <cacheField name="Question 12A1" numFmtId="0">
      <sharedItems containsBlank="1" containsMixedTypes="1" containsNumber="1" containsInteger="1" minValue="1" maxValue="1"/>
    </cacheField>
    <cacheField name="Question 12A2" numFmtId="0">
      <sharedItems containsBlank="1" containsMixedTypes="1" containsNumber="1" containsInteger="1" minValue="1" maxValue="1"/>
    </cacheField>
    <cacheField name="Question 12A3" numFmtId="0">
      <sharedItems containsBlank="1" containsMixedTypes="1" containsNumber="1" containsInteger="1" minValue="1" maxValue="1"/>
    </cacheField>
    <cacheField name="Question 12A4" numFmtId="0">
      <sharedItems containsBlank="1" containsMixedTypes="1" containsNumber="1" containsInteger="1" minValue="1" maxValue="1"/>
    </cacheField>
    <cacheField name="Question 12A5" numFmtId="0">
      <sharedItems containsBlank="1" containsMixedTypes="1" containsNumber="1" containsInteger="1" minValue="1" maxValue="1"/>
    </cacheField>
    <cacheField name="Question 12A6" numFmtId="0">
      <sharedItems containsBlank="1" containsMixedTypes="1" containsNumber="1" containsInteger="1" minValue="1" maxValue="1"/>
    </cacheField>
    <cacheField name="Question 12A7" numFmtId="0">
      <sharedItems containsBlank="1" containsMixedTypes="1" containsNumber="1" containsInteger="1" minValue="1" maxValue="1"/>
    </cacheField>
    <cacheField name="Question 12A8" numFmtId="0">
      <sharedItems containsBlank="1" containsMixedTypes="1" containsNumber="1" containsInteger="1" minValue="1" maxValue="1"/>
    </cacheField>
    <cacheField name="Question 12A9" numFmtId="0">
      <sharedItems containsBlank="1"/>
    </cacheField>
    <cacheField name="Question 13" numFmtId="0">
      <sharedItems containsBlank="1" containsMixedTypes="1" containsNumber="1" containsInteger="1" minValue="1" maxValue="2"/>
    </cacheField>
    <cacheField name="Question 13A" numFmtId="0">
      <sharedItems containsBlank="1"/>
    </cacheField>
    <cacheField name="Question 14.1" numFmtId="0">
      <sharedItems containsBlank="1" containsMixedTypes="1" containsNumber="1" containsInteger="1" minValue="1" maxValue="2"/>
    </cacheField>
    <cacheField name="Question 14.2" numFmtId="0">
      <sharedItems containsBlank="1" containsMixedTypes="1" containsNumber="1" containsInteger="1" minValue="1" maxValue="2"/>
    </cacheField>
    <cacheField name="Question 14.3" numFmtId="0">
      <sharedItems containsBlank="1" containsMixedTypes="1" containsNumber="1" containsInteger="1" minValue="1" maxValue="2"/>
    </cacheField>
    <cacheField name="Question 14.4" numFmtId="0">
      <sharedItems containsBlank="1" containsMixedTypes="1" containsNumber="1" containsInteger="1" minValue="1" maxValue="2"/>
    </cacheField>
    <cacheField name="Question 14.5" numFmtId="0">
      <sharedItems containsBlank="1" containsMixedTypes="1" containsNumber="1" containsInteger="1" minValue="1" maxValue="2"/>
    </cacheField>
    <cacheField name="Question 14.6" numFmtId="0">
      <sharedItems containsBlank="1" containsMixedTypes="1" containsNumber="1" containsInteger="1" minValue="1" maxValue="2"/>
    </cacheField>
    <cacheField name="Question 14.7" numFmtId="0">
      <sharedItems containsBlank="1" containsMixedTypes="1" containsNumber="1" containsInteger="1" minValue="1" maxValue="2"/>
    </cacheField>
    <cacheField name="Question 14.8" numFmtId="0">
      <sharedItems containsBlank="1" containsMixedTypes="1" containsNumber="1" containsInteger="1" minValue="1" maxValue="2"/>
    </cacheField>
    <cacheField name="Question 15" numFmtId="0">
      <sharedItems containsBlank="1" containsMixedTypes="1" containsNumber="1" containsInteger="1" minValue="1" maxValue="2"/>
    </cacheField>
    <cacheField name="Question 15A" numFmtId="0">
      <sharedItems containsBlank="1" containsMixedTypes="1" containsNumber="1" containsInteger="1" minValue="1" maxValue="2"/>
    </cacheField>
    <cacheField name="Question 16.1" numFmtId="0">
      <sharedItems containsBlank="1" containsMixedTypes="1" containsNumber="1" containsInteger="1" minValue="1" maxValue="7"/>
    </cacheField>
    <cacheField name="Question 16.2" numFmtId="0">
      <sharedItems containsBlank="1" containsMixedTypes="1" containsNumber="1" containsInteger="1" minValue="1" maxValue="7"/>
    </cacheField>
    <cacheField name="Question 16.3" numFmtId="0">
      <sharedItems containsBlank="1" containsMixedTypes="1" containsNumber="1" containsInteger="1" minValue="1" maxValue="7"/>
    </cacheField>
    <cacheField name="Question 17" numFmtId="0">
      <sharedItems containsBlank="1" containsMixedTypes="1" containsNumber="1" containsInteger="1" minValue="1" maxValue="8"/>
    </cacheField>
    <cacheField name="Question 18" numFmtId="0">
      <sharedItems containsBlank="1" containsMixedTypes="1" containsNumber="1" containsInteger="1" minValue="1" maxValue="4"/>
    </cacheField>
    <cacheField name="Question 19" numFmtId="0">
      <sharedItems containsBlank="1" containsMixedTypes="1" containsNumber="1" containsInteger="1" minValue="1" maxValue="8"/>
    </cacheField>
    <cacheField name="Question 20.1" numFmtId="0">
      <sharedItems containsBlank="1" containsMixedTypes="1" containsNumber="1" containsInteger="1" minValue="1" maxValue="8"/>
    </cacheField>
    <cacheField name="Question 20.2" numFmtId="0">
      <sharedItems containsBlank="1" containsMixedTypes="1" containsNumber="1" containsInteger="1" minValue="1" maxValue="8"/>
    </cacheField>
    <cacheField name="Question 20.3" numFmtId="0">
      <sharedItems containsBlank="1" containsMixedTypes="1" containsNumber="1" containsInteger="1" minValue="1" maxValue="8"/>
    </cacheField>
    <cacheField name="Question 21" numFmtId="0">
      <sharedItems containsBlank="1" containsMixedTypes="1" containsNumber="1" containsInteger="1" minValue="1" maxValue="4"/>
    </cacheField>
    <cacheField name="Question 21A" numFmtId="0">
      <sharedItems containsBlank="1" containsMixedTypes="1" containsNumber="1" containsInteger="1" minValue="1" maxValue="4"/>
    </cacheField>
    <cacheField name="Question 21Peu" numFmtId="0">
      <sharedItems containsBlank="1"/>
    </cacheField>
    <cacheField name="Question 21Pas" numFmtId="0">
      <sharedItems containsBlank="1"/>
    </cacheField>
    <cacheField name="Question 22.1" numFmtId="0">
      <sharedItems containsBlank="1" containsMixedTypes="1" containsNumber="1" containsInteger="1" minValue="1" maxValue="2"/>
    </cacheField>
    <cacheField name="Question 22.2" numFmtId="0">
      <sharedItems containsBlank="1" containsMixedTypes="1" containsNumber="1" containsInteger="1" minValue="1" maxValue="2"/>
    </cacheField>
    <cacheField name="Question 22.3" numFmtId="0">
      <sharedItems containsBlank="1" containsMixedTypes="1" containsNumber="1" containsInteger="1" minValue="1" maxValue="2"/>
    </cacheField>
    <cacheField name="Question 22.4" numFmtId="0">
      <sharedItems containsBlank="1" containsMixedTypes="1" containsNumber="1" containsInteger="1" minValue="1" maxValue="2"/>
    </cacheField>
    <cacheField name="Question 22.5" numFmtId="0">
      <sharedItems containsBlank="1" containsMixedTypes="1" containsNumber="1" containsInteger="1" minValue="1" maxValue="2"/>
    </cacheField>
    <cacheField name="Question 22.6" numFmtId="0">
      <sharedItems containsBlank="1" containsMixedTypes="1" containsNumber="1" containsInteger="1" minValue="1" maxValue="2"/>
    </cacheField>
    <cacheField name="Question 23" numFmtId="0">
      <sharedItems containsBlank="1" containsMixedTypes="1" containsNumber="1" containsInteger="1" minValue="1" maxValue="2"/>
    </cacheField>
    <cacheField name="Question 24" numFmtId="0">
      <sharedItems containsBlank="1" containsMixedTypes="1" containsNumber="1" containsInteger="1" minValue="1" maxValue="2"/>
    </cacheField>
    <cacheField name="Question 25" numFmtId="0">
      <sharedItems containsBlank="1" containsMixedTypes="1" containsNumber="1" containsInteger="1" minValue="1" maxValue="4"/>
    </cacheField>
    <cacheField name="Question 25A" numFmtId="0">
      <sharedItems containsBlank="1" containsMixedTypes="1" containsNumber="1" containsInteger="1" minValue="1" maxValue="98"/>
    </cacheField>
    <cacheField name="Question 25Autre" numFmtId="0">
      <sharedItems containsBlank="1"/>
    </cacheField>
    <cacheField name="Question 26" numFmtId="0">
      <sharedItems containsBlank="1" containsMixedTypes="1" containsNumber="1" containsInteger="1" minValue="1" maxValue="2"/>
    </cacheField>
    <cacheField name="Question 26A" numFmtId="0">
      <sharedItems containsBlank="1" containsMixedTypes="1" containsNumber="1" containsInteger="1" minValue="1" maxValue="4"/>
    </cacheField>
    <cacheField name="Question 26B" numFmtId="0">
      <sharedItems containsBlank="1" containsMixedTypes="1" containsNumber="1" containsInteger="1" minValue="1" maxValue="98"/>
    </cacheField>
    <cacheField name="Question 26Autre" numFmtId="0">
      <sharedItems containsBlank="1"/>
    </cacheField>
    <cacheField name="Question 27" numFmtId="0">
      <sharedItems containsBlank="1" containsMixedTypes="1" containsNumber="1" containsInteger="1" minValue="1" maxValue="8"/>
    </cacheField>
    <cacheField name="Question 28" numFmtId="0">
      <sharedItems containsBlank="1" containsMixedTypes="1" containsNumber="1" containsInteger="1" minValue="1" maxValue="4"/>
    </cacheField>
    <cacheField name="Question 29" numFmtId="0">
      <sharedItems containsBlank="1" containsMixedTypes="1" containsNumber="1" containsInteger="1" minValue="1" maxValue="5"/>
    </cacheField>
    <cacheField name="Question 30" numFmtId="0">
      <sharedItems containsBlank="1" containsMixedTypes="1" containsNumber="1" containsInteger="1" minValue="1" maxValue="2" count="4">
        <s v="Êtes-vous :"/>
        <n v="1"/>
        <n v="2"/>
        <m/>
      </sharedItems>
    </cacheField>
    <cacheField name="Question 31" numFmtId="0">
      <sharedItems containsBlank="1" containsMixedTypes="1" containsNumber="1" containsInteger="1" minValue="1946" maxValue="1994"/>
    </cacheField>
    <cacheField name="Question 32" numFmtId="0">
      <sharedItems containsBlank="1" containsMixedTypes="1" containsNumber="1" containsInteger="1" minValue="1" maxValue="3"/>
    </cacheField>
    <cacheField name="Question 32 Autre" numFmtId="0">
      <sharedItems containsBlank="1"/>
    </cacheField>
    <cacheField name="Question 33" numFmtId="0">
      <sharedItems containsBlank="1" containsMixedTypes="1" containsNumber="1" containsInteger="1" minValue="1" maxValue="7"/>
    </cacheField>
    <cacheField name="Question 33 Autre" numFmtId="0">
      <sharedItems containsBlank="1"/>
    </cacheField>
    <cacheField name="Question 34" numFmtId="0">
      <sharedItems containsBlank="1" containsMixedTypes="1" containsNumber="1" containsInteger="1" minValue="1" maxValue="6"/>
    </cacheField>
    <cacheField name="Question 34 Autre" numFmtId="0">
      <sharedItems containsBlank="1"/>
    </cacheField>
    <cacheField name="Question 35" numFmtId="0">
      <sharedItems containsBlank="1" containsMixedTypes="1" containsNumber="1" containsInteger="1" minValue="1" maxValue="4"/>
    </cacheField>
    <cacheField name="Question 35 Autre" numFmtId="0">
      <sharedItems containsBlank="1"/>
    </cacheField>
    <cacheField name="Question 36" numFmtId="0">
      <sharedItems containsBlank="1" containsMixedTypes="1" containsNumber="1" containsInteger="1" minValue="1" maxValue="4"/>
    </cacheField>
    <cacheField name="Répondant" numFmtId="0">
      <sharedItems containsString="0" containsBlank="1" containsNumber="1" containsInteger="1" minValue="1" maxValue="1"/>
    </cacheField>
    <cacheField name="Calcul de l'âge" numFmtId="0">
      <sharedItems containsString="0" containsBlank="1" containsNumber="1" containsInteger="1" minValue="19" maxValue="2013"/>
    </cacheField>
    <cacheField name="L'âge regrouper" numFmtId="0">
      <sharedItems containsString="0" containsBlank="1" containsNumber="1" containsInteger="1" minValue="1" maxValue="4" count="5">
        <m/>
        <n v="1"/>
        <n v="2"/>
        <n v="3"/>
        <n v="4"/>
      </sharedItems>
    </cacheField>
    <cacheField name="Calcul vivre seul (MS)" numFmtId="0">
      <sharedItems containsString="0" containsBlank="1" containsNumber="1" containsInteger="1" minValue="1" maxValue="3"/>
    </cacheField>
    <cacheField name="Calcul ménage (M)" numFmtId="0">
      <sharedItems containsString="0" containsBlank="1" containsNumber="1" containsInteger="1" minValue="1" maxValue="5"/>
    </cacheField>
    <cacheField name="Calcul enfant (ME)" numFmtId="0">
      <sharedItems containsString="0" containsBlank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5.xml><?xml version="1.0" encoding="utf-8"?>
<pivotCacheDefinition xmlns="http://schemas.openxmlformats.org/spreadsheetml/2006/main" xmlns:r="http://schemas.openxmlformats.org/officeDocument/2006/relationships" r:id="rId1" refreshedBy="Tesmel01" refreshedDate="41416.54515972222" createdVersion="3" refreshedVersion="3" minRefreshableVersion="3" recordCount="632">
  <cacheSource type="worksheet">
    <worksheetSource ref="X1:CQ1048576" sheet="Grille de saisie"/>
  </cacheSource>
  <cacheFields count="72">
    <cacheField name="Question 10.2" numFmtId="0">
      <sharedItems containsBlank="1" containsMixedTypes="1" containsNumber="1" containsInteger="1" minValue="1" maxValue="4" count="6">
        <s v="Dans votre quartier, le niveau de confiance qui règne entre la plupart des personnes est... ?"/>
        <n v="1"/>
        <n v="2"/>
        <n v="3"/>
        <n v="4"/>
        <m/>
      </sharedItems>
    </cacheField>
    <cacheField name="Question 11" numFmtId="0">
      <sharedItems containsBlank="1" containsMixedTypes="1" containsNumber="1" containsInteger="1" minValue="1" maxValue="2"/>
    </cacheField>
    <cacheField name="Question 12" numFmtId="0">
      <sharedItems containsBlank="1" containsMixedTypes="1" containsNumber="1" containsInteger="1" minValue="1" maxValue="2"/>
    </cacheField>
    <cacheField name="Question 12A1" numFmtId="0">
      <sharedItems containsBlank="1" containsMixedTypes="1" containsNumber="1" containsInteger="1" minValue="1" maxValue="1"/>
    </cacheField>
    <cacheField name="Question 12A2" numFmtId="0">
      <sharedItems containsBlank="1" containsMixedTypes="1" containsNumber="1" containsInteger="1" minValue="1" maxValue="1"/>
    </cacheField>
    <cacheField name="Question 12A3" numFmtId="0">
      <sharedItems containsBlank="1" containsMixedTypes="1" containsNumber="1" containsInteger="1" minValue="1" maxValue="1"/>
    </cacheField>
    <cacheField name="Question 12A4" numFmtId="0">
      <sharedItems containsBlank="1" containsMixedTypes="1" containsNumber="1" containsInteger="1" minValue="1" maxValue="1"/>
    </cacheField>
    <cacheField name="Question 12A5" numFmtId="0">
      <sharedItems containsBlank="1" containsMixedTypes="1" containsNumber="1" containsInteger="1" minValue="1" maxValue="1"/>
    </cacheField>
    <cacheField name="Question 12A6" numFmtId="0">
      <sharedItems containsBlank="1" containsMixedTypes="1" containsNumber="1" containsInteger="1" minValue="1" maxValue="1"/>
    </cacheField>
    <cacheField name="Question 12A7" numFmtId="0">
      <sharedItems containsBlank="1" containsMixedTypes="1" containsNumber="1" containsInteger="1" minValue="1" maxValue="1"/>
    </cacheField>
    <cacheField name="Question 12A8" numFmtId="0">
      <sharedItems containsBlank="1" containsMixedTypes="1" containsNumber="1" containsInteger="1" minValue="1" maxValue="1"/>
    </cacheField>
    <cacheField name="Question 12A9" numFmtId="0">
      <sharedItems containsBlank="1"/>
    </cacheField>
    <cacheField name="Question 13" numFmtId="0">
      <sharedItems containsBlank="1" containsMixedTypes="1" containsNumber="1" containsInteger="1" minValue="1" maxValue="2"/>
    </cacheField>
    <cacheField name="Question 13A" numFmtId="0">
      <sharedItems containsBlank="1"/>
    </cacheField>
    <cacheField name="Question 14.1" numFmtId="0">
      <sharedItems containsBlank="1" containsMixedTypes="1" containsNumber="1" containsInteger="1" minValue="1" maxValue="2"/>
    </cacheField>
    <cacheField name="Question 14.2" numFmtId="0">
      <sharedItems containsBlank="1" containsMixedTypes="1" containsNumber="1" containsInteger="1" minValue="1" maxValue="2"/>
    </cacheField>
    <cacheField name="Question 14.3" numFmtId="0">
      <sharedItems containsBlank="1" containsMixedTypes="1" containsNumber="1" containsInteger="1" minValue="1" maxValue="2"/>
    </cacheField>
    <cacheField name="Question 14.4" numFmtId="0">
      <sharedItems containsBlank="1" containsMixedTypes="1" containsNumber="1" containsInteger="1" minValue="1" maxValue="2"/>
    </cacheField>
    <cacheField name="Question 14.5" numFmtId="0">
      <sharedItems containsBlank="1" containsMixedTypes="1" containsNumber="1" containsInteger="1" minValue="1" maxValue="2"/>
    </cacheField>
    <cacheField name="Question 14.6" numFmtId="0">
      <sharedItems containsBlank="1" containsMixedTypes="1" containsNumber="1" containsInteger="1" minValue="1" maxValue="2"/>
    </cacheField>
    <cacheField name="Question 14.7" numFmtId="0">
      <sharedItems containsBlank="1" containsMixedTypes="1" containsNumber="1" containsInteger="1" minValue="1" maxValue="2"/>
    </cacheField>
    <cacheField name="Question 14.8" numFmtId="0">
      <sharedItems containsBlank="1" containsMixedTypes="1" containsNumber="1" containsInteger="1" minValue="1" maxValue="2"/>
    </cacheField>
    <cacheField name="Question 15" numFmtId="0">
      <sharedItems containsBlank="1" containsMixedTypes="1" containsNumber="1" containsInteger="1" minValue="1" maxValue="2"/>
    </cacheField>
    <cacheField name="Question 15A" numFmtId="0">
      <sharedItems containsBlank="1" containsMixedTypes="1" containsNumber="1" containsInteger="1" minValue="1" maxValue="2"/>
    </cacheField>
    <cacheField name="Question 16.1" numFmtId="0">
      <sharedItems containsBlank="1" containsMixedTypes="1" containsNumber="1" containsInteger="1" minValue="1" maxValue="7"/>
    </cacheField>
    <cacheField name="Question 16.2" numFmtId="0">
      <sharedItems containsBlank="1" containsMixedTypes="1" containsNumber="1" containsInteger="1" minValue="1" maxValue="7"/>
    </cacheField>
    <cacheField name="Question 16.3" numFmtId="0">
      <sharedItems containsBlank="1" containsMixedTypes="1" containsNumber="1" containsInteger="1" minValue="1" maxValue="7"/>
    </cacheField>
    <cacheField name="Question 17" numFmtId="0">
      <sharedItems containsBlank="1" containsMixedTypes="1" containsNumber="1" containsInteger="1" minValue="1" maxValue="8"/>
    </cacheField>
    <cacheField name="Question 18" numFmtId="0">
      <sharedItems containsBlank="1" containsMixedTypes="1" containsNumber="1" containsInteger="1" minValue="1" maxValue="4"/>
    </cacheField>
    <cacheField name="Question 19" numFmtId="0">
      <sharedItems containsBlank="1" containsMixedTypes="1" containsNumber="1" containsInteger="1" minValue="1" maxValue="8"/>
    </cacheField>
    <cacheField name="Question 20.1" numFmtId="0">
      <sharedItems containsBlank="1" containsMixedTypes="1" containsNumber="1" containsInteger="1" minValue="1" maxValue="8"/>
    </cacheField>
    <cacheField name="Question 20.2" numFmtId="0">
      <sharedItems containsBlank="1" containsMixedTypes="1" containsNumber="1" containsInteger="1" minValue="1" maxValue="8"/>
    </cacheField>
    <cacheField name="Question 20.3" numFmtId="0">
      <sharedItems containsBlank="1" containsMixedTypes="1" containsNumber="1" containsInteger="1" minValue="1" maxValue="8"/>
    </cacheField>
    <cacheField name="Question 21" numFmtId="0">
      <sharedItems containsBlank="1" containsMixedTypes="1" containsNumber="1" containsInteger="1" minValue="1" maxValue="4"/>
    </cacheField>
    <cacheField name="Question 21A" numFmtId="0">
      <sharedItems containsBlank="1" containsMixedTypes="1" containsNumber="1" containsInteger="1" minValue="1" maxValue="4"/>
    </cacheField>
    <cacheField name="Question 21Peu" numFmtId="0">
      <sharedItems containsBlank="1"/>
    </cacheField>
    <cacheField name="Question 21Pas" numFmtId="0">
      <sharedItems containsBlank="1"/>
    </cacheField>
    <cacheField name="Question 22.1" numFmtId="0">
      <sharedItems containsBlank="1" containsMixedTypes="1" containsNumber="1" containsInteger="1" minValue="1" maxValue="2"/>
    </cacheField>
    <cacheField name="Question 22.2" numFmtId="0">
      <sharedItems containsBlank="1" containsMixedTypes="1" containsNumber="1" containsInteger="1" minValue="1" maxValue="2"/>
    </cacheField>
    <cacheField name="Question 22.3" numFmtId="0">
      <sharedItems containsBlank="1" containsMixedTypes="1" containsNumber="1" containsInteger="1" minValue="1" maxValue="2"/>
    </cacheField>
    <cacheField name="Question 22.4" numFmtId="0">
      <sharedItems containsBlank="1" containsMixedTypes="1" containsNumber="1" containsInteger="1" minValue="1" maxValue="2"/>
    </cacheField>
    <cacheField name="Question 22.5" numFmtId="0">
      <sharedItems containsBlank="1" containsMixedTypes="1" containsNumber="1" containsInteger="1" minValue="1" maxValue="2"/>
    </cacheField>
    <cacheField name="Question 22.6" numFmtId="0">
      <sharedItems containsBlank="1" containsMixedTypes="1" containsNumber="1" containsInteger="1" minValue="1" maxValue="2"/>
    </cacheField>
    <cacheField name="Question 23" numFmtId="0">
      <sharedItems containsBlank="1" containsMixedTypes="1" containsNumber="1" containsInteger="1" minValue="1" maxValue="2"/>
    </cacheField>
    <cacheField name="Question 24" numFmtId="0">
      <sharedItems containsBlank="1" containsMixedTypes="1" containsNumber="1" containsInteger="1" minValue="1" maxValue="2"/>
    </cacheField>
    <cacheField name="Question 25" numFmtId="0">
      <sharedItems containsBlank="1" containsMixedTypes="1" containsNumber="1" containsInteger="1" minValue="1" maxValue="4"/>
    </cacheField>
    <cacheField name="Question 25A" numFmtId="0">
      <sharedItems containsBlank="1" containsMixedTypes="1" containsNumber="1" containsInteger="1" minValue="1" maxValue="98"/>
    </cacheField>
    <cacheField name="Question 25Autre" numFmtId="0">
      <sharedItems containsBlank="1"/>
    </cacheField>
    <cacheField name="Question 26" numFmtId="0">
      <sharedItems containsBlank="1" containsMixedTypes="1" containsNumber="1" containsInteger="1" minValue="1" maxValue="2"/>
    </cacheField>
    <cacheField name="Question 26A" numFmtId="0">
      <sharedItems containsBlank="1" containsMixedTypes="1" containsNumber="1" containsInteger="1" minValue="1" maxValue="4"/>
    </cacheField>
    <cacheField name="Question 26B" numFmtId="0">
      <sharedItems containsBlank="1" containsMixedTypes="1" containsNumber="1" containsInteger="1" minValue="1" maxValue="98"/>
    </cacheField>
    <cacheField name="Question 26Autre" numFmtId="0">
      <sharedItems containsBlank="1"/>
    </cacheField>
    <cacheField name="Question 27" numFmtId="0">
      <sharedItems containsBlank="1" containsMixedTypes="1" containsNumber="1" containsInteger="1" minValue="1" maxValue="8"/>
    </cacheField>
    <cacheField name="Question 28" numFmtId="0">
      <sharedItems containsBlank="1" containsMixedTypes="1" containsNumber="1" containsInteger="1" minValue="1" maxValue="4"/>
    </cacheField>
    <cacheField name="Question 29" numFmtId="0">
      <sharedItems containsBlank="1" containsMixedTypes="1" containsNumber="1" containsInteger="1" minValue="1" maxValue="5"/>
    </cacheField>
    <cacheField name="Question 30" numFmtId="0">
      <sharedItems containsBlank="1" containsMixedTypes="1" containsNumber="1" containsInteger="1" minValue="1" maxValue="2" count="4">
        <s v="Êtes-vous :"/>
        <n v="1"/>
        <n v="2"/>
        <m/>
      </sharedItems>
    </cacheField>
    <cacheField name="Question 31" numFmtId="0">
      <sharedItems containsBlank="1" containsMixedTypes="1" containsNumber="1" containsInteger="1" minValue="1946" maxValue="1994"/>
    </cacheField>
    <cacheField name="Question 32" numFmtId="0">
      <sharedItems containsBlank="1" containsMixedTypes="1" containsNumber="1" containsInteger="1" minValue="1" maxValue="3"/>
    </cacheField>
    <cacheField name="Question 32 Autre" numFmtId="0">
      <sharedItems containsBlank="1"/>
    </cacheField>
    <cacheField name="Question 33" numFmtId="0">
      <sharedItems containsBlank="1" containsMixedTypes="1" containsNumber="1" containsInteger="1" minValue="1" maxValue="7"/>
    </cacheField>
    <cacheField name="Question 33 Autre" numFmtId="0">
      <sharedItems containsBlank="1"/>
    </cacheField>
    <cacheField name="Question 34" numFmtId="0">
      <sharedItems containsBlank="1" containsMixedTypes="1" containsNumber="1" containsInteger="1" minValue="1" maxValue="6"/>
    </cacheField>
    <cacheField name="Question 34 Autre" numFmtId="0">
      <sharedItems containsBlank="1"/>
    </cacheField>
    <cacheField name="Question 35" numFmtId="0">
      <sharedItems containsBlank="1" containsMixedTypes="1" containsNumber="1" containsInteger="1" minValue="1" maxValue="4"/>
    </cacheField>
    <cacheField name="Question 35 Autre" numFmtId="0">
      <sharedItems containsBlank="1"/>
    </cacheField>
    <cacheField name="Question 36" numFmtId="0">
      <sharedItems containsBlank="1" containsMixedTypes="1" containsNumber="1" containsInteger="1" minValue="1" maxValue="4"/>
    </cacheField>
    <cacheField name="Répondant" numFmtId="0">
      <sharedItems containsString="0" containsBlank="1" containsNumber="1" containsInteger="1" minValue="1" maxValue="1"/>
    </cacheField>
    <cacheField name="Calcul de l'âge" numFmtId="0">
      <sharedItems containsString="0" containsBlank="1" containsNumber="1" containsInteger="1" minValue="19" maxValue="2013"/>
    </cacheField>
    <cacheField name="L'âge regrouper" numFmtId="0">
      <sharedItems containsString="0" containsBlank="1" containsNumber="1" containsInteger="1" minValue="1" maxValue="4" count="5">
        <m/>
        <n v="1"/>
        <n v="2"/>
        <n v="3"/>
        <n v="4"/>
      </sharedItems>
    </cacheField>
    <cacheField name="Calcul vivre seul (MS)" numFmtId="0">
      <sharedItems containsString="0" containsBlank="1" containsNumber="1" containsInteger="1" minValue="1" maxValue="3"/>
    </cacheField>
    <cacheField name="Calcul ménage (M)" numFmtId="0">
      <sharedItems containsString="0" containsBlank="1" containsNumber="1" containsInteger="1" minValue="1" maxValue="5"/>
    </cacheField>
    <cacheField name="Calcul enfant (ME)" numFmtId="0">
      <sharedItems containsString="0" containsBlank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6.xml><?xml version="1.0" encoding="utf-8"?>
<pivotCacheDefinition xmlns="http://schemas.openxmlformats.org/spreadsheetml/2006/main" xmlns:r="http://schemas.openxmlformats.org/officeDocument/2006/relationships" r:id="rId1" refreshedBy="Tesmel01" refreshedDate="41416.545160300928" createdVersion="3" refreshedVersion="3" minRefreshableVersion="3" recordCount="632">
  <cacheSource type="worksheet">
    <worksheetSource ref="Y1:CQ1048576" sheet="Grille de saisie"/>
  </cacheSource>
  <cacheFields count="71">
    <cacheField name="Question 11" numFmtId="0">
      <sharedItems containsBlank="1" containsMixedTypes="1" containsNumber="1" containsInteger="1" minValue="1" maxValue="2" count="4">
        <s v="Dans votre quartier, les comportements des jeunes ou des groupes de jeunes sont-ils pour vous une source de menace ou d'insécurité ?"/>
        <n v="1"/>
        <n v="2"/>
        <m/>
      </sharedItems>
    </cacheField>
    <cacheField name="Question 12" numFmtId="0">
      <sharedItems containsBlank="1" containsMixedTypes="1" containsNumber="1" containsInteger="1" minValue="1" maxValue="2"/>
    </cacheField>
    <cacheField name="Question 12A1" numFmtId="0">
      <sharedItems containsBlank="1" containsMixedTypes="1" containsNumber="1" containsInteger="1" minValue="1" maxValue="1"/>
    </cacheField>
    <cacheField name="Question 12A2" numFmtId="0">
      <sharedItems containsBlank="1" containsMixedTypes="1" containsNumber="1" containsInteger="1" minValue="1" maxValue="1"/>
    </cacheField>
    <cacheField name="Question 12A3" numFmtId="0">
      <sharedItems containsBlank="1" containsMixedTypes="1" containsNumber="1" containsInteger="1" minValue="1" maxValue="1"/>
    </cacheField>
    <cacheField name="Question 12A4" numFmtId="0">
      <sharedItems containsBlank="1" containsMixedTypes="1" containsNumber="1" containsInteger="1" minValue="1" maxValue="1"/>
    </cacheField>
    <cacheField name="Question 12A5" numFmtId="0">
      <sharedItems containsBlank="1" containsMixedTypes="1" containsNumber="1" containsInteger="1" minValue="1" maxValue="1"/>
    </cacheField>
    <cacheField name="Question 12A6" numFmtId="0">
      <sharedItems containsBlank="1" containsMixedTypes="1" containsNumber="1" containsInteger="1" minValue="1" maxValue="1"/>
    </cacheField>
    <cacheField name="Question 12A7" numFmtId="0">
      <sharedItems containsBlank="1" containsMixedTypes="1" containsNumber="1" containsInteger="1" minValue="1" maxValue="1"/>
    </cacheField>
    <cacheField name="Question 12A8" numFmtId="0">
      <sharedItems containsBlank="1" containsMixedTypes="1" containsNumber="1" containsInteger="1" minValue="1" maxValue="1"/>
    </cacheField>
    <cacheField name="Question 12A9" numFmtId="0">
      <sharedItems containsBlank="1"/>
    </cacheField>
    <cacheField name="Question 13" numFmtId="0">
      <sharedItems containsBlank="1" containsMixedTypes="1" containsNumber="1" containsInteger="1" minValue="1" maxValue="2"/>
    </cacheField>
    <cacheField name="Question 13A" numFmtId="0">
      <sharedItems containsBlank="1"/>
    </cacheField>
    <cacheField name="Question 14.1" numFmtId="0">
      <sharedItems containsBlank="1" containsMixedTypes="1" containsNumber="1" containsInteger="1" minValue="1" maxValue="2"/>
    </cacheField>
    <cacheField name="Question 14.2" numFmtId="0">
      <sharedItems containsBlank="1" containsMixedTypes="1" containsNumber="1" containsInteger="1" minValue="1" maxValue="2"/>
    </cacheField>
    <cacheField name="Question 14.3" numFmtId="0">
      <sharedItems containsBlank="1" containsMixedTypes="1" containsNumber="1" containsInteger="1" minValue="1" maxValue="2"/>
    </cacheField>
    <cacheField name="Question 14.4" numFmtId="0">
      <sharedItems containsBlank="1" containsMixedTypes="1" containsNumber="1" containsInteger="1" minValue="1" maxValue="2"/>
    </cacheField>
    <cacheField name="Question 14.5" numFmtId="0">
      <sharedItems containsBlank="1" containsMixedTypes="1" containsNumber="1" containsInteger="1" minValue="1" maxValue="2"/>
    </cacheField>
    <cacheField name="Question 14.6" numFmtId="0">
      <sharedItems containsBlank="1" containsMixedTypes="1" containsNumber="1" containsInteger="1" minValue="1" maxValue="2"/>
    </cacheField>
    <cacheField name="Question 14.7" numFmtId="0">
      <sharedItems containsBlank="1" containsMixedTypes="1" containsNumber="1" containsInteger="1" minValue="1" maxValue="2"/>
    </cacheField>
    <cacheField name="Question 14.8" numFmtId="0">
      <sharedItems containsBlank="1" containsMixedTypes="1" containsNumber="1" containsInteger="1" minValue="1" maxValue="2"/>
    </cacheField>
    <cacheField name="Question 15" numFmtId="0">
      <sharedItems containsBlank="1" containsMixedTypes="1" containsNumber="1" containsInteger="1" minValue="1" maxValue="2"/>
    </cacheField>
    <cacheField name="Question 15A" numFmtId="0">
      <sharedItems containsBlank="1" containsMixedTypes="1" containsNumber="1" containsInteger="1" minValue="1" maxValue="2"/>
    </cacheField>
    <cacheField name="Question 16.1" numFmtId="0">
      <sharedItems containsBlank="1" containsMixedTypes="1" containsNumber="1" containsInteger="1" minValue="1" maxValue="7"/>
    </cacheField>
    <cacheField name="Question 16.2" numFmtId="0">
      <sharedItems containsBlank="1" containsMixedTypes="1" containsNumber="1" containsInteger="1" minValue="1" maxValue="7"/>
    </cacheField>
    <cacheField name="Question 16.3" numFmtId="0">
      <sharedItems containsBlank="1" containsMixedTypes="1" containsNumber="1" containsInteger="1" minValue="1" maxValue="7"/>
    </cacheField>
    <cacheField name="Question 17" numFmtId="0">
      <sharedItems containsBlank="1" containsMixedTypes="1" containsNumber="1" containsInteger="1" minValue="1" maxValue="8"/>
    </cacheField>
    <cacheField name="Question 18" numFmtId="0">
      <sharedItems containsBlank="1" containsMixedTypes="1" containsNumber="1" containsInteger="1" minValue="1" maxValue="4"/>
    </cacheField>
    <cacheField name="Question 19" numFmtId="0">
      <sharedItems containsBlank="1" containsMixedTypes="1" containsNumber="1" containsInteger="1" minValue="1" maxValue="8"/>
    </cacheField>
    <cacheField name="Question 20.1" numFmtId="0">
      <sharedItems containsBlank="1" containsMixedTypes="1" containsNumber="1" containsInteger="1" minValue="1" maxValue="8"/>
    </cacheField>
    <cacheField name="Question 20.2" numFmtId="0">
      <sharedItems containsBlank="1" containsMixedTypes="1" containsNumber="1" containsInteger="1" minValue="1" maxValue="8"/>
    </cacheField>
    <cacheField name="Question 20.3" numFmtId="0">
      <sharedItems containsBlank="1" containsMixedTypes="1" containsNumber="1" containsInteger="1" minValue="1" maxValue="8"/>
    </cacheField>
    <cacheField name="Question 21" numFmtId="0">
      <sharedItems containsBlank="1" containsMixedTypes="1" containsNumber="1" containsInteger="1" minValue="1" maxValue="4"/>
    </cacheField>
    <cacheField name="Question 21A" numFmtId="0">
      <sharedItems containsBlank="1" containsMixedTypes="1" containsNumber="1" containsInteger="1" minValue="1" maxValue="4"/>
    </cacheField>
    <cacheField name="Question 21Peu" numFmtId="0">
      <sharedItems containsBlank="1"/>
    </cacheField>
    <cacheField name="Question 21Pas" numFmtId="0">
      <sharedItems containsBlank="1"/>
    </cacheField>
    <cacheField name="Question 22.1" numFmtId="0">
      <sharedItems containsBlank="1" containsMixedTypes="1" containsNumber="1" containsInteger="1" minValue="1" maxValue="2"/>
    </cacheField>
    <cacheField name="Question 22.2" numFmtId="0">
      <sharedItems containsBlank="1" containsMixedTypes="1" containsNumber="1" containsInteger="1" minValue="1" maxValue="2"/>
    </cacheField>
    <cacheField name="Question 22.3" numFmtId="0">
      <sharedItems containsBlank="1" containsMixedTypes="1" containsNumber="1" containsInteger="1" minValue="1" maxValue="2"/>
    </cacheField>
    <cacheField name="Question 22.4" numFmtId="0">
      <sharedItems containsBlank="1" containsMixedTypes="1" containsNumber="1" containsInteger="1" minValue="1" maxValue="2"/>
    </cacheField>
    <cacheField name="Question 22.5" numFmtId="0">
      <sharedItems containsBlank="1" containsMixedTypes="1" containsNumber="1" containsInteger="1" minValue="1" maxValue="2"/>
    </cacheField>
    <cacheField name="Question 22.6" numFmtId="0">
      <sharedItems containsBlank="1" containsMixedTypes="1" containsNumber="1" containsInteger="1" minValue="1" maxValue="2"/>
    </cacheField>
    <cacheField name="Question 23" numFmtId="0">
      <sharedItems containsBlank="1" containsMixedTypes="1" containsNumber="1" containsInteger="1" minValue="1" maxValue="2"/>
    </cacheField>
    <cacheField name="Question 24" numFmtId="0">
      <sharedItems containsBlank="1" containsMixedTypes="1" containsNumber="1" containsInteger="1" minValue="1" maxValue="2"/>
    </cacheField>
    <cacheField name="Question 25" numFmtId="0">
      <sharedItems containsBlank="1" containsMixedTypes="1" containsNumber="1" containsInteger="1" minValue="1" maxValue="4"/>
    </cacheField>
    <cacheField name="Question 25A" numFmtId="0">
      <sharedItems containsBlank="1" containsMixedTypes="1" containsNumber="1" containsInteger="1" minValue="1" maxValue="98"/>
    </cacheField>
    <cacheField name="Question 25Autre" numFmtId="0">
      <sharedItems containsBlank="1"/>
    </cacheField>
    <cacheField name="Question 26" numFmtId="0">
      <sharedItems containsBlank="1" containsMixedTypes="1" containsNumber="1" containsInteger="1" minValue="1" maxValue="2"/>
    </cacheField>
    <cacheField name="Question 26A" numFmtId="0">
      <sharedItems containsBlank="1" containsMixedTypes="1" containsNumber="1" containsInteger="1" minValue="1" maxValue="4"/>
    </cacheField>
    <cacheField name="Question 26B" numFmtId="0">
      <sharedItems containsBlank="1" containsMixedTypes="1" containsNumber="1" containsInteger="1" minValue="1" maxValue="98"/>
    </cacheField>
    <cacheField name="Question 26Autre" numFmtId="0">
      <sharedItems containsBlank="1"/>
    </cacheField>
    <cacheField name="Question 27" numFmtId="0">
      <sharedItems containsBlank="1" containsMixedTypes="1" containsNumber="1" containsInteger="1" minValue="1" maxValue="8"/>
    </cacheField>
    <cacheField name="Question 28" numFmtId="0">
      <sharedItems containsBlank="1" containsMixedTypes="1" containsNumber="1" containsInteger="1" minValue="1" maxValue="4"/>
    </cacheField>
    <cacheField name="Question 29" numFmtId="0">
      <sharedItems containsBlank="1" containsMixedTypes="1" containsNumber="1" containsInteger="1" minValue="1" maxValue="5"/>
    </cacheField>
    <cacheField name="Question 30" numFmtId="0">
      <sharedItems containsBlank="1" containsMixedTypes="1" containsNumber="1" containsInteger="1" minValue="1" maxValue="2" count="4">
        <s v="Êtes-vous :"/>
        <n v="1"/>
        <n v="2"/>
        <m/>
      </sharedItems>
    </cacheField>
    <cacheField name="Question 31" numFmtId="0">
      <sharedItems containsBlank="1" containsMixedTypes="1" containsNumber="1" containsInteger="1" minValue="1946" maxValue="1994"/>
    </cacheField>
    <cacheField name="Question 32" numFmtId="0">
      <sharedItems containsBlank="1" containsMixedTypes="1" containsNumber="1" containsInteger="1" minValue="1" maxValue="3"/>
    </cacheField>
    <cacheField name="Question 32 Autre" numFmtId="0">
      <sharedItems containsBlank="1"/>
    </cacheField>
    <cacheField name="Question 33" numFmtId="0">
      <sharedItems containsBlank="1" containsMixedTypes="1" containsNumber="1" containsInteger="1" minValue="1" maxValue="7"/>
    </cacheField>
    <cacheField name="Question 33 Autre" numFmtId="0">
      <sharedItems containsBlank="1"/>
    </cacheField>
    <cacheField name="Question 34" numFmtId="0">
      <sharedItems containsBlank="1" containsMixedTypes="1" containsNumber="1" containsInteger="1" minValue="1" maxValue="6"/>
    </cacheField>
    <cacheField name="Question 34 Autre" numFmtId="0">
      <sharedItems containsBlank="1"/>
    </cacheField>
    <cacheField name="Question 35" numFmtId="0">
      <sharedItems containsBlank="1" containsMixedTypes="1" containsNumber="1" containsInteger="1" minValue="1" maxValue="4"/>
    </cacheField>
    <cacheField name="Question 35 Autre" numFmtId="0">
      <sharedItems containsBlank="1"/>
    </cacheField>
    <cacheField name="Question 36" numFmtId="0">
      <sharedItems containsBlank="1" containsMixedTypes="1" containsNumber="1" containsInteger="1" minValue="1" maxValue="4"/>
    </cacheField>
    <cacheField name="Répondant" numFmtId="0">
      <sharedItems containsString="0" containsBlank="1" containsNumber="1" containsInteger="1" minValue="1" maxValue="1"/>
    </cacheField>
    <cacheField name="Calcul de l'âge" numFmtId="0">
      <sharedItems containsString="0" containsBlank="1" containsNumber="1" containsInteger="1" minValue="19" maxValue="2013"/>
    </cacheField>
    <cacheField name="L'âge regrouper" numFmtId="0">
      <sharedItems containsString="0" containsBlank="1" containsNumber="1" containsInteger="1" minValue="1" maxValue="4" count="5">
        <m/>
        <n v="1"/>
        <n v="2"/>
        <n v="3"/>
        <n v="4"/>
      </sharedItems>
    </cacheField>
    <cacheField name="Calcul vivre seul (MS)" numFmtId="0">
      <sharedItems containsString="0" containsBlank="1" containsNumber="1" containsInteger="1" minValue="1" maxValue="3"/>
    </cacheField>
    <cacheField name="Calcul ménage (M)" numFmtId="0">
      <sharedItems containsString="0" containsBlank="1" containsNumber="1" containsInteger="1" minValue="1" maxValue="5"/>
    </cacheField>
    <cacheField name="Calcul enfant (ME)" numFmtId="0">
      <sharedItems containsString="0" containsBlank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7.xml><?xml version="1.0" encoding="utf-8"?>
<pivotCacheDefinition xmlns="http://schemas.openxmlformats.org/spreadsheetml/2006/main" xmlns:r="http://schemas.openxmlformats.org/officeDocument/2006/relationships" r:id="rId1" refreshedBy="Tesmel01" refreshedDate="41416.54516076389" createdVersion="3" refreshedVersion="3" minRefreshableVersion="3" recordCount="632">
  <cacheSource type="worksheet">
    <worksheetSource ref="Z1:CQ1048576" sheet="Grille de saisie"/>
  </cacheSource>
  <cacheFields count="70">
    <cacheField name="Question 12" numFmtId="0">
      <sharedItems containsBlank="1" containsMixedTypes="1" containsNumber="1" containsInteger="1" minValue="1" maxValue="2" count="4">
        <s v="Y a-t-il d'autres individus ou des groupes d'individus dont les comportements sont pour vous une source de menace ou d'insécurité ?"/>
        <n v="1"/>
        <n v="2"/>
        <m/>
      </sharedItems>
    </cacheField>
    <cacheField name="Question 12A1" numFmtId="0">
      <sharedItems containsBlank="1" containsMixedTypes="1" containsNumber="1" containsInteger="1" minValue="1" maxValue="1"/>
    </cacheField>
    <cacheField name="Question 12A2" numFmtId="0">
      <sharedItems containsBlank="1" containsMixedTypes="1" containsNumber="1" containsInteger="1" minValue="1" maxValue="1"/>
    </cacheField>
    <cacheField name="Question 12A3" numFmtId="0">
      <sharedItems containsBlank="1" containsMixedTypes="1" containsNumber="1" containsInteger="1" minValue="1" maxValue="1"/>
    </cacheField>
    <cacheField name="Question 12A4" numFmtId="0">
      <sharedItems containsBlank="1" containsMixedTypes="1" containsNumber="1" containsInteger="1" minValue="1" maxValue="1"/>
    </cacheField>
    <cacheField name="Question 12A5" numFmtId="0">
      <sharedItems containsBlank="1" containsMixedTypes="1" containsNumber="1" containsInteger="1" minValue="1" maxValue="1"/>
    </cacheField>
    <cacheField name="Question 12A6" numFmtId="0">
      <sharedItems containsBlank="1" containsMixedTypes="1" containsNumber="1" containsInteger="1" minValue="1" maxValue="1"/>
    </cacheField>
    <cacheField name="Question 12A7" numFmtId="0">
      <sharedItems containsBlank="1" containsMixedTypes="1" containsNumber="1" containsInteger="1" minValue="1" maxValue="1"/>
    </cacheField>
    <cacheField name="Question 12A8" numFmtId="0">
      <sharedItems containsBlank="1" containsMixedTypes="1" containsNumber="1" containsInteger="1" minValue="1" maxValue="1"/>
    </cacheField>
    <cacheField name="Question 12A9" numFmtId="0">
      <sharedItems containsBlank="1"/>
    </cacheField>
    <cacheField name="Question 13" numFmtId="0">
      <sharedItems containsBlank="1" containsMixedTypes="1" containsNumber="1" containsInteger="1" minValue="1" maxValue="2"/>
    </cacheField>
    <cacheField name="Question 13A" numFmtId="0">
      <sharedItems containsBlank="1"/>
    </cacheField>
    <cacheField name="Question 14.1" numFmtId="0">
      <sharedItems containsBlank="1" containsMixedTypes="1" containsNumber="1" containsInteger="1" minValue="1" maxValue="2"/>
    </cacheField>
    <cacheField name="Question 14.2" numFmtId="0">
      <sharedItems containsBlank="1" containsMixedTypes="1" containsNumber="1" containsInteger="1" minValue="1" maxValue="2"/>
    </cacheField>
    <cacheField name="Question 14.3" numFmtId="0">
      <sharedItems containsBlank="1" containsMixedTypes="1" containsNumber="1" containsInteger="1" minValue="1" maxValue="2"/>
    </cacheField>
    <cacheField name="Question 14.4" numFmtId="0">
      <sharedItems containsBlank="1" containsMixedTypes="1" containsNumber="1" containsInteger="1" minValue="1" maxValue="2"/>
    </cacheField>
    <cacheField name="Question 14.5" numFmtId="0">
      <sharedItems containsBlank="1" containsMixedTypes="1" containsNumber="1" containsInteger="1" minValue="1" maxValue="2"/>
    </cacheField>
    <cacheField name="Question 14.6" numFmtId="0">
      <sharedItems containsBlank="1" containsMixedTypes="1" containsNumber="1" containsInteger="1" minValue="1" maxValue="2"/>
    </cacheField>
    <cacheField name="Question 14.7" numFmtId="0">
      <sharedItems containsBlank="1" containsMixedTypes="1" containsNumber="1" containsInteger="1" minValue="1" maxValue="2"/>
    </cacheField>
    <cacheField name="Question 14.8" numFmtId="0">
      <sharedItems containsBlank="1" containsMixedTypes="1" containsNumber="1" containsInteger="1" minValue="1" maxValue="2"/>
    </cacheField>
    <cacheField name="Question 15" numFmtId="0">
      <sharedItems containsBlank="1" containsMixedTypes="1" containsNumber="1" containsInteger="1" minValue="1" maxValue="2"/>
    </cacheField>
    <cacheField name="Question 15A" numFmtId="0">
      <sharedItems containsBlank="1" containsMixedTypes="1" containsNumber="1" containsInteger="1" minValue="1" maxValue="2"/>
    </cacheField>
    <cacheField name="Question 16.1" numFmtId="0">
      <sharedItems containsBlank="1" containsMixedTypes="1" containsNumber="1" containsInteger="1" minValue="1" maxValue="7"/>
    </cacheField>
    <cacheField name="Question 16.2" numFmtId="0">
      <sharedItems containsBlank="1" containsMixedTypes="1" containsNumber="1" containsInteger="1" minValue="1" maxValue="7"/>
    </cacheField>
    <cacheField name="Question 16.3" numFmtId="0">
      <sharedItems containsBlank="1" containsMixedTypes="1" containsNumber="1" containsInteger="1" minValue="1" maxValue="7"/>
    </cacheField>
    <cacheField name="Question 17" numFmtId="0">
      <sharedItems containsBlank="1" containsMixedTypes="1" containsNumber="1" containsInteger="1" minValue="1" maxValue="8"/>
    </cacheField>
    <cacheField name="Question 18" numFmtId="0">
      <sharedItems containsBlank="1" containsMixedTypes="1" containsNumber="1" containsInteger="1" minValue="1" maxValue="4"/>
    </cacheField>
    <cacheField name="Question 19" numFmtId="0">
      <sharedItems containsBlank="1" containsMixedTypes="1" containsNumber="1" containsInteger="1" minValue="1" maxValue="8"/>
    </cacheField>
    <cacheField name="Question 20.1" numFmtId="0">
      <sharedItems containsBlank="1" containsMixedTypes="1" containsNumber="1" containsInteger="1" minValue="1" maxValue="8"/>
    </cacheField>
    <cacheField name="Question 20.2" numFmtId="0">
      <sharedItems containsBlank="1" containsMixedTypes="1" containsNumber="1" containsInteger="1" minValue="1" maxValue="8"/>
    </cacheField>
    <cacheField name="Question 20.3" numFmtId="0">
      <sharedItems containsBlank="1" containsMixedTypes="1" containsNumber="1" containsInteger="1" minValue="1" maxValue="8"/>
    </cacheField>
    <cacheField name="Question 21" numFmtId="0">
      <sharedItems containsBlank="1" containsMixedTypes="1" containsNumber="1" containsInteger="1" minValue="1" maxValue="4"/>
    </cacheField>
    <cacheField name="Question 21A" numFmtId="0">
      <sharedItems containsBlank="1" containsMixedTypes="1" containsNumber="1" containsInteger="1" minValue="1" maxValue="4"/>
    </cacheField>
    <cacheField name="Question 21Peu" numFmtId="0">
      <sharedItems containsBlank="1"/>
    </cacheField>
    <cacheField name="Question 21Pas" numFmtId="0">
      <sharedItems containsBlank="1"/>
    </cacheField>
    <cacheField name="Question 22.1" numFmtId="0">
      <sharedItems containsBlank="1" containsMixedTypes="1" containsNumber="1" containsInteger="1" minValue="1" maxValue="2"/>
    </cacheField>
    <cacheField name="Question 22.2" numFmtId="0">
      <sharedItems containsBlank="1" containsMixedTypes="1" containsNumber="1" containsInteger="1" minValue="1" maxValue="2"/>
    </cacheField>
    <cacheField name="Question 22.3" numFmtId="0">
      <sharedItems containsBlank="1" containsMixedTypes="1" containsNumber="1" containsInteger="1" minValue="1" maxValue="2"/>
    </cacheField>
    <cacheField name="Question 22.4" numFmtId="0">
      <sharedItems containsBlank="1" containsMixedTypes="1" containsNumber="1" containsInteger="1" minValue="1" maxValue="2"/>
    </cacheField>
    <cacheField name="Question 22.5" numFmtId="0">
      <sharedItems containsBlank="1" containsMixedTypes="1" containsNumber="1" containsInteger="1" minValue="1" maxValue="2"/>
    </cacheField>
    <cacheField name="Question 22.6" numFmtId="0">
      <sharedItems containsBlank="1" containsMixedTypes="1" containsNumber="1" containsInteger="1" minValue="1" maxValue="2"/>
    </cacheField>
    <cacheField name="Question 23" numFmtId="0">
      <sharedItems containsBlank="1" containsMixedTypes="1" containsNumber="1" containsInteger="1" minValue="1" maxValue="2"/>
    </cacheField>
    <cacheField name="Question 24" numFmtId="0">
      <sharedItems containsBlank="1" containsMixedTypes="1" containsNumber="1" containsInteger="1" minValue="1" maxValue="2"/>
    </cacheField>
    <cacheField name="Question 25" numFmtId="0">
      <sharedItems containsBlank="1" containsMixedTypes="1" containsNumber="1" containsInteger="1" minValue="1" maxValue="4"/>
    </cacheField>
    <cacheField name="Question 25A" numFmtId="0">
      <sharedItems containsBlank="1" containsMixedTypes="1" containsNumber="1" containsInteger="1" minValue="1" maxValue="98"/>
    </cacheField>
    <cacheField name="Question 25Autre" numFmtId="0">
      <sharedItems containsBlank="1"/>
    </cacheField>
    <cacheField name="Question 26" numFmtId="0">
      <sharedItems containsBlank="1" containsMixedTypes="1" containsNumber="1" containsInteger="1" minValue="1" maxValue="2"/>
    </cacheField>
    <cacheField name="Question 26A" numFmtId="0">
      <sharedItems containsBlank="1" containsMixedTypes="1" containsNumber="1" containsInteger="1" minValue="1" maxValue="4"/>
    </cacheField>
    <cacheField name="Question 26B" numFmtId="0">
      <sharedItems containsBlank="1" containsMixedTypes="1" containsNumber="1" containsInteger="1" minValue="1" maxValue="98"/>
    </cacheField>
    <cacheField name="Question 26Autre" numFmtId="0">
      <sharedItems containsBlank="1"/>
    </cacheField>
    <cacheField name="Question 27" numFmtId="0">
      <sharedItems containsBlank="1" containsMixedTypes="1" containsNumber="1" containsInteger="1" minValue="1" maxValue="8"/>
    </cacheField>
    <cacheField name="Question 28" numFmtId="0">
      <sharedItems containsBlank="1" containsMixedTypes="1" containsNumber="1" containsInteger="1" minValue="1" maxValue="4"/>
    </cacheField>
    <cacheField name="Question 29" numFmtId="0">
      <sharedItems containsBlank="1" containsMixedTypes="1" containsNumber="1" containsInteger="1" minValue="1" maxValue="5"/>
    </cacheField>
    <cacheField name="Question 30" numFmtId="0">
      <sharedItems containsBlank="1" containsMixedTypes="1" containsNumber="1" containsInteger="1" minValue="1" maxValue="2" count="4">
        <s v="Êtes-vous :"/>
        <n v="1"/>
        <n v="2"/>
        <m/>
      </sharedItems>
    </cacheField>
    <cacheField name="Question 31" numFmtId="0">
      <sharedItems containsBlank="1" containsMixedTypes="1" containsNumber="1" containsInteger="1" minValue="1946" maxValue="1994"/>
    </cacheField>
    <cacheField name="Question 32" numFmtId="0">
      <sharedItems containsBlank="1" containsMixedTypes="1" containsNumber="1" containsInteger="1" minValue="1" maxValue="3"/>
    </cacheField>
    <cacheField name="Question 32 Autre" numFmtId="0">
      <sharedItems containsBlank="1"/>
    </cacheField>
    <cacheField name="Question 33" numFmtId="0">
      <sharedItems containsBlank="1" containsMixedTypes="1" containsNumber="1" containsInteger="1" minValue="1" maxValue="7"/>
    </cacheField>
    <cacheField name="Question 33 Autre" numFmtId="0">
      <sharedItems containsBlank="1"/>
    </cacheField>
    <cacheField name="Question 34" numFmtId="0">
      <sharedItems containsBlank="1" containsMixedTypes="1" containsNumber="1" containsInteger="1" minValue="1" maxValue="6"/>
    </cacheField>
    <cacheField name="Question 34 Autre" numFmtId="0">
      <sharedItems containsBlank="1"/>
    </cacheField>
    <cacheField name="Question 35" numFmtId="0">
      <sharedItems containsBlank="1" containsMixedTypes="1" containsNumber="1" containsInteger="1" minValue="1" maxValue="4"/>
    </cacheField>
    <cacheField name="Question 35 Autre" numFmtId="0">
      <sharedItems containsBlank="1"/>
    </cacheField>
    <cacheField name="Question 36" numFmtId="0">
      <sharedItems containsBlank="1" containsMixedTypes="1" containsNumber="1" containsInteger="1" minValue="1" maxValue="4"/>
    </cacheField>
    <cacheField name="Répondant" numFmtId="0">
      <sharedItems containsString="0" containsBlank="1" containsNumber="1" containsInteger="1" minValue="1" maxValue="1"/>
    </cacheField>
    <cacheField name="Calcul de l'âge" numFmtId="0">
      <sharedItems containsString="0" containsBlank="1" containsNumber="1" containsInteger="1" minValue="19" maxValue="2013"/>
    </cacheField>
    <cacheField name="L'âge regrouper" numFmtId="0">
      <sharedItems containsString="0" containsBlank="1" containsNumber="1" containsInteger="1" minValue="1" maxValue="4" count="5">
        <m/>
        <n v="1"/>
        <n v="2"/>
        <n v="3"/>
        <n v="4"/>
      </sharedItems>
    </cacheField>
    <cacheField name="Calcul vivre seul (MS)" numFmtId="0">
      <sharedItems containsString="0" containsBlank="1" containsNumber="1" containsInteger="1" minValue="1" maxValue="3"/>
    </cacheField>
    <cacheField name="Calcul ménage (M)" numFmtId="0">
      <sharedItems containsString="0" containsBlank="1" containsNumber="1" containsInteger="1" minValue="1" maxValue="5"/>
    </cacheField>
    <cacheField name="Calcul enfant (ME)" numFmtId="0">
      <sharedItems containsString="0" containsBlank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8.xml><?xml version="1.0" encoding="utf-8"?>
<pivotCacheDefinition xmlns="http://schemas.openxmlformats.org/spreadsheetml/2006/main" xmlns:r="http://schemas.openxmlformats.org/officeDocument/2006/relationships" r:id="rId1" refreshedBy="Tesmel01" refreshedDate="41416.54516134259" createdVersion="3" refreshedVersion="3" minRefreshableVersion="3" recordCount="632">
  <cacheSource type="worksheet">
    <worksheetSource ref="AJ1:CQ1048576" sheet="Grille de saisie"/>
  </cacheSource>
  <cacheFields count="60">
    <cacheField name="Question 13" numFmtId="0">
      <sharedItems containsBlank="1" containsMixedTypes="1" containsNumber="1" containsInteger="1" minValue="1" maxValue="2" count="4">
        <s v="Y a-t-il dans votre quartier des endroits que vous évitez de fréquenter pour des raisons de sécurité ?"/>
        <n v="1"/>
        <n v="2"/>
        <m/>
      </sharedItems>
    </cacheField>
    <cacheField name="Question 13A" numFmtId="0">
      <sharedItems containsBlank="1"/>
    </cacheField>
    <cacheField name="Question 14.1" numFmtId="0">
      <sharedItems containsBlank="1" containsMixedTypes="1" containsNumber="1" containsInteger="1" minValue="1" maxValue="2"/>
    </cacheField>
    <cacheField name="Question 14.2" numFmtId="0">
      <sharedItems containsBlank="1" containsMixedTypes="1" containsNumber="1" containsInteger="1" minValue="1" maxValue="2"/>
    </cacheField>
    <cacheField name="Question 14.3" numFmtId="0">
      <sharedItems containsBlank="1" containsMixedTypes="1" containsNumber="1" containsInteger="1" minValue="1" maxValue="2"/>
    </cacheField>
    <cacheField name="Question 14.4" numFmtId="0">
      <sharedItems containsBlank="1" containsMixedTypes="1" containsNumber="1" containsInteger="1" minValue="1" maxValue="2"/>
    </cacheField>
    <cacheField name="Question 14.5" numFmtId="0">
      <sharedItems containsBlank="1" containsMixedTypes="1" containsNumber="1" containsInteger="1" minValue="1" maxValue="2"/>
    </cacheField>
    <cacheField name="Question 14.6" numFmtId="0">
      <sharedItems containsBlank="1" containsMixedTypes="1" containsNumber="1" containsInteger="1" minValue="1" maxValue="2"/>
    </cacheField>
    <cacheField name="Question 14.7" numFmtId="0">
      <sharedItems containsBlank="1" containsMixedTypes="1" containsNumber="1" containsInteger="1" minValue="1" maxValue="2"/>
    </cacheField>
    <cacheField name="Question 14.8" numFmtId="0">
      <sharedItems containsBlank="1" containsMixedTypes="1" containsNumber="1" containsInteger="1" minValue="1" maxValue="2"/>
    </cacheField>
    <cacheField name="Question 15" numFmtId="0">
      <sharedItems containsBlank="1" containsMixedTypes="1" containsNumber="1" containsInteger="1" minValue="1" maxValue="2"/>
    </cacheField>
    <cacheField name="Question 15A" numFmtId="0">
      <sharedItems containsBlank="1" containsMixedTypes="1" containsNumber="1" containsInteger="1" minValue="1" maxValue="2"/>
    </cacheField>
    <cacheField name="Question 16.1" numFmtId="0">
      <sharedItems containsBlank="1" containsMixedTypes="1" containsNumber="1" containsInteger="1" minValue="1" maxValue="7"/>
    </cacheField>
    <cacheField name="Question 16.2" numFmtId="0">
      <sharedItems containsBlank="1" containsMixedTypes="1" containsNumber="1" containsInteger="1" minValue="1" maxValue="7"/>
    </cacheField>
    <cacheField name="Question 16.3" numFmtId="0">
      <sharedItems containsBlank="1" containsMixedTypes="1" containsNumber="1" containsInteger="1" minValue="1" maxValue="7"/>
    </cacheField>
    <cacheField name="Question 17" numFmtId="0">
      <sharedItems containsBlank="1" containsMixedTypes="1" containsNumber="1" containsInteger="1" minValue="1" maxValue="8"/>
    </cacheField>
    <cacheField name="Question 18" numFmtId="0">
      <sharedItems containsBlank="1" containsMixedTypes="1" containsNumber="1" containsInteger="1" minValue="1" maxValue="4"/>
    </cacheField>
    <cacheField name="Question 19" numFmtId="0">
      <sharedItems containsBlank="1" containsMixedTypes="1" containsNumber="1" containsInteger="1" minValue="1" maxValue="8"/>
    </cacheField>
    <cacheField name="Question 20.1" numFmtId="0">
      <sharedItems containsBlank="1" containsMixedTypes="1" containsNumber="1" containsInteger="1" minValue="1" maxValue="8"/>
    </cacheField>
    <cacheField name="Question 20.2" numFmtId="0">
      <sharedItems containsBlank="1" containsMixedTypes="1" containsNumber="1" containsInteger="1" minValue="1" maxValue="8"/>
    </cacheField>
    <cacheField name="Question 20.3" numFmtId="0">
      <sharedItems containsBlank="1" containsMixedTypes="1" containsNumber="1" containsInteger="1" minValue="1" maxValue="8"/>
    </cacheField>
    <cacheField name="Question 21" numFmtId="0">
      <sharedItems containsBlank="1" containsMixedTypes="1" containsNumber="1" containsInteger="1" minValue="1" maxValue="4"/>
    </cacheField>
    <cacheField name="Question 21A" numFmtId="0">
      <sharedItems containsBlank="1" containsMixedTypes="1" containsNumber="1" containsInteger="1" minValue="1" maxValue="4"/>
    </cacheField>
    <cacheField name="Question 21Peu" numFmtId="0">
      <sharedItems containsBlank="1"/>
    </cacheField>
    <cacheField name="Question 21Pas" numFmtId="0">
      <sharedItems containsBlank="1"/>
    </cacheField>
    <cacheField name="Question 22.1" numFmtId="0">
      <sharedItems containsBlank="1" containsMixedTypes="1" containsNumber="1" containsInteger="1" minValue="1" maxValue="2"/>
    </cacheField>
    <cacheField name="Question 22.2" numFmtId="0">
      <sharedItems containsBlank="1" containsMixedTypes="1" containsNumber="1" containsInteger="1" minValue="1" maxValue="2"/>
    </cacheField>
    <cacheField name="Question 22.3" numFmtId="0">
      <sharedItems containsBlank="1" containsMixedTypes="1" containsNumber="1" containsInteger="1" minValue="1" maxValue="2"/>
    </cacheField>
    <cacheField name="Question 22.4" numFmtId="0">
      <sharedItems containsBlank="1" containsMixedTypes="1" containsNumber="1" containsInteger="1" minValue="1" maxValue="2"/>
    </cacheField>
    <cacheField name="Question 22.5" numFmtId="0">
      <sharedItems containsBlank="1" containsMixedTypes="1" containsNumber="1" containsInteger="1" minValue="1" maxValue="2"/>
    </cacheField>
    <cacheField name="Question 22.6" numFmtId="0">
      <sharedItems containsBlank="1" containsMixedTypes="1" containsNumber="1" containsInteger="1" minValue="1" maxValue="2"/>
    </cacheField>
    <cacheField name="Question 23" numFmtId="0">
      <sharedItems containsBlank="1" containsMixedTypes="1" containsNumber="1" containsInteger="1" minValue="1" maxValue="2"/>
    </cacheField>
    <cacheField name="Question 24" numFmtId="0">
      <sharedItems containsBlank="1" containsMixedTypes="1" containsNumber="1" containsInteger="1" minValue="1" maxValue="2"/>
    </cacheField>
    <cacheField name="Question 25" numFmtId="0">
      <sharedItems containsBlank="1" containsMixedTypes="1" containsNumber="1" containsInteger="1" minValue="1" maxValue="4"/>
    </cacheField>
    <cacheField name="Question 25A" numFmtId="0">
      <sharedItems containsBlank="1" containsMixedTypes="1" containsNumber="1" containsInteger="1" minValue="1" maxValue="98"/>
    </cacheField>
    <cacheField name="Question 25Autre" numFmtId="0">
      <sharedItems containsBlank="1"/>
    </cacheField>
    <cacheField name="Question 26" numFmtId="0">
      <sharedItems containsBlank="1" containsMixedTypes="1" containsNumber="1" containsInteger="1" minValue="1" maxValue="2"/>
    </cacheField>
    <cacheField name="Question 26A" numFmtId="0">
      <sharedItems containsBlank="1" containsMixedTypes="1" containsNumber="1" containsInteger="1" minValue="1" maxValue="4"/>
    </cacheField>
    <cacheField name="Question 26B" numFmtId="0">
      <sharedItems containsBlank="1" containsMixedTypes="1" containsNumber="1" containsInteger="1" minValue="1" maxValue="98"/>
    </cacheField>
    <cacheField name="Question 26Autre" numFmtId="0">
      <sharedItems containsBlank="1"/>
    </cacheField>
    <cacheField name="Question 27" numFmtId="0">
      <sharedItems containsBlank="1" containsMixedTypes="1" containsNumber="1" containsInteger="1" minValue="1" maxValue="8"/>
    </cacheField>
    <cacheField name="Question 28" numFmtId="0">
      <sharedItems containsBlank="1" containsMixedTypes="1" containsNumber="1" containsInteger="1" minValue="1" maxValue="4"/>
    </cacheField>
    <cacheField name="Question 29" numFmtId="0">
      <sharedItems containsBlank="1" containsMixedTypes="1" containsNumber="1" containsInteger="1" minValue="1" maxValue="5"/>
    </cacheField>
    <cacheField name="Question 30" numFmtId="0">
      <sharedItems containsBlank="1" containsMixedTypes="1" containsNumber="1" containsInteger="1" minValue="1" maxValue="2" count="4">
        <s v="Êtes-vous :"/>
        <n v="1"/>
        <n v="2"/>
        <m/>
      </sharedItems>
    </cacheField>
    <cacheField name="Question 31" numFmtId="0">
      <sharedItems containsBlank="1" containsMixedTypes="1" containsNumber="1" containsInteger="1" minValue="1946" maxValue="1994"/>
    </cacheField>
    <cacheField name="Question 32" numFmtId="0">
      <sharedItems containsBlank="1" containsMixedTypes="1" containsNumber="1" containsInteger="1" minValue="1" maxValue="3"/>
    </cacheField>
    <cacheField name="Question 32 Autre" numFmtId="0">
      <sharedItems containsBlank="1"/>
    </cacheField>
    <cacheField name="Question 33" numFmtId="0">
      <sharedItems containsBlank="1" containsMixedTypes="1" containsNumber="1" containsInteger="1" minValue="1" maxValue="7"/>
    </cacheField>
    <cacheField name="Question 33 Autre" numFmtId="0">
      <sharedItems containsBlank="1"/>
    </cacheField>
    <cacheField name="Question 34" numFmtId="0">
      <sharedItems containsBlank="1" containsMixedTypes="1" containsNumber="1" containsInteger="1" minValue="1" maxValue="6"/>
    </cacheField>
    <cacheField name="Question 34 Autre" numFmtId="0">
      <sharedItems containsBlank="1"/>
    </cacheField>
    <cacheField name="Question 35" numFmtId="0">
      <sharedItems containsBlank="1" containsMixedTypes="1" containsNumber="1" containsInteger="1" minValue="1" maxValue="4"/>
    </cacheField>
    <cacheField name="Question 35 Autre" numFmtId="0">
      <sharedItems containsBlank="1"/>
    </cacheField>
    <cacheField name="Question 36" numFmtId="0">
      <sharedItems containsBlank="1" containsMixedTypes="1" containsNumber="1" containsInteger="1" minValue="1" maxValue="4"/>
    </cacheField>
    <cacheField name="Répondant" numFmtId="0">
      <sharedItems containsString="0" containsBlank="1" containsNumber="1" containsInteger="1" minValue="1" maxValue="1"/>
    </cacheField>
    <cacheField name="Calcul de l'âge" numFmtId="0">
      <sharedItems containsString="0" containsBlank="1" containsNumber="1" containsInteger="1" minValue="19" maxValue="2013"/>
    </cacheField>
    <cacheField name="L'âge regrouper" numFmtId="0">
      <sharedItems containsString="0" containsBlank="1" containsNumber="1" containsInteger="1" minValue="1" maxValue="4" count="5">
        <m/>
        <n v="1"/>
        <n v="2"/>
        <n v="3"/>
        <n v="4"/>
      </sharedItems>
    </cacheField>
    <cacheField name="Calcul vivre seul (MS)" numFmtId="0">
      <sharedItems containsString="0" containsBlank="1" containsNumber="1" containsInteger="1" minValue="1" maxValue="3"/>
    </cacheField>
    <cacheField name="Calcul ménage (M)" numFmtId="0">
      <sharedItems containsString="0" containsBlank="1" containsNumber="1" containsInteger="1" minValue="1" maxValue="5"/>
    </cacheField>
    <cacheField name="Calcul enfant (ME)" numFmtId="0">
      <sharedItems containsString="0" containsBlank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9.xml><?xml version="1.0" encoding="utf-8"?>
<pivotCacheDefinition xmlns="http://schemas.openxmlformats.org/spreadsheetml/2006/main" xmlns:r="http://schemas.openxmlformats.org/officeDocument/2006/relationships" r:id="rId1" refreshedBy="Tesmel01" refreshedDate="41416.545161805552" createdVersion="3" refreshedVersion="3" minRefreshableVersion="3" recordCount="632">
  <cacheSource type="worksheet">
    <worksheetSource ref="AL1:CQ1048576" sheet="Grille de saisie"/>
  </cacheSource>
  <cacheFields count="58">
    <cacheField name="Question 14.1" numFmtId="0">
      <sharedItems containsBlank="1" containsMixedTypes="1" containsNumber="1" containsInteger="1" minValue="1" maxValue="2" count="4">
        <s v="Veuillez répondre à chacun des énoncés suivants. Quand je me déplace dans mon quartier, j'apporte habituellement quelque chose pour assurer ma protection. "/>
        <n v="2"/>
        <n v="1"/>
        <m/>
      </sharedItems>
    </cacheField>
    <cacheField name="Question 14.2" numFmtId="0">
      <sharedItems containsBlank="1" containsMixedTypes="1" containsNumber="1" containsInteger="1" minValue="1" maxValue="2"/>
    </cacheField>
    <cacheField name="Question 14.3" numFmtId="0">
      <sharedItems containsBlank="1" containsMixedTypes="1" containsNumber="1" containsInteger="1" minValue="1" maxValue="2"/>
    </cacheField>
    <cacheField name="Question 14.4" numFmtId="0">
      <sharedItems containsBlank="1" containsMixedTypes="1" containsNumber="1" containsInteger="1" minValue="1" maxValue="2"/>
    </cacheField>
    <cacheField name="Question 14.5" numFmtId="0">
      <sharedItems containsBlank="1" containsMixedTypes="1" containsNumber="1" containsInteger="1" minValue="1" maxValue="2"/>
    </cacheField>
    <cacheField name="Question 14.6" numFmtId="0">
      <sharedItems containsBlank="1" containsMixedTypes="1" containsNumber="1" containsInteger="1" minValue="1" maxValue="2"/>
    </cacheField>
    <cacheField name="Question 14.7" numFmtId="0">
      <sharedItems containsBlank="1" containsMixedTypes="1" containsNumber="1" containsInteger="1" minValue="1" maxValue="2"/>
    </cacheField>
    <cacheField name="Question 14.8" numFmtId="0">
      <sharedItems containsBlank="1" containsMixedTypes="1" containsNumber="1" containsInteger="1" minValue="1" maxValue="2"/>
    </cacheField>
    <cacheField name="Question 15" numFmtId="0">
      <sharedItems containsBlank="1" containsMixedTypes="1" containsNumber="1" containsInteger="1" minValue="1" maxValue="2"/>
    </cacheField>
    <cacheField name="Question 15A" numFmtId="0">
      <sharedItems containsBlank="1" containsMixedTypes="1" containsNumber="1" containsInteger="1" minValue="1" maxValue="2"/>
    </cacheField>
    <cacheField name="Question 16.1" numFmtId="0">
      <sharedItems containsBlank="1" containsMixedTypes="1" containsNumber="1" containsInteger="1" minValue="1" maxValue="7"/>
    </cacheField>
    <cacheField name="Question 16.2" numFmtId="0">
      <sharedItems containsBlank="1" containsMixedTypes="1" containsNumber="1" containsInteger="1" minValue="1" maxValue="7"/>
    </cacheField>
    <cacheField name="Question 16.3" numFmtId="0">
      <sharedItems containsBlank="1" containsMixedTypes="1" containsNumber="1" containsInteger="1" minValue="1" maxValue="7"/>
    </cacheField>
    <cacheField name="Question 17" numFmtId="0">
      <sharedItems containsBlank="1" containsMixedTypes="1" containsNumber="1" containsInteger="1" minValue="1" maxValue="8"/>
    </cacheField>
    <cacheField name="Question 18" numFmtId="0">
      <sharedItems containsBlank="1" containsMixedTypes="1" containsNumber="1" containsInteger="1" minValue="1" maxValue="4"/>
    </cacheField>
    <cacheField name="Question 19" numFmtId="0">
      <sharedItems containsBlank="1" containsMixedTypes="1" containsNumber="1" containsInteger="1" minValue="1" maxValue="8"/>
    </cacheField>
    <cacheField name="Question 20.1" numFmtId="0">
      <sharedItems containsBlank="1" containsMixedTypes="1" containsNumber="1" containsInteger="1" minValue="1" maxValue="8"/>
    </cacheField>
    <cacheField name="Question 20.2" numFmtId="0">
      <sharedItems containsBlank="1" containsMixedTypes="1" containsNumber="1" containsInteger="1" minValue="1" maxValue="8"/>
    </cacheField>
    <cacheField name="Question 20.3" numFmtId="0">
      <sharedItems containsBlank="1" containsMixedTypes="1" containsNumber="1" containsInteger="1" minValue="1" maxValue="8"/>
    </cacheField>
    <cacheField name="Question 21" numFmtId="0">
      <sharedItems containsBlank="1" containsMixedTypes="1" containsNumber="1" containsInteger="1" minValue="1" maxValue="4"/>
    </cacheField>
    <cacheField name="Question 21A" numFmtId="0">
      <sharedItems containsBlank="1" containsMixedTypes="1" containsNumber="1" containsInteger="1" minValue="1" maxValue="4"/>
    </cacheField>
    <cacheField name="Question 21Peu" numFmtId="0">
      <sharedItems containsBlank="1"/>
    </cacheField>
    <cacheField name="Question 21Pas" numFmtId="0">
      <sharedItems containsBlank="1"/>
    </cacheField>
    <cacheField name="Question 22.1" numFmtId="0">
      <sharedItems containsBlank="1" containsMixedTypes="1" containsNumber="1" containsInteger="1" minValue="1" maxValue="2"/>
    </cacheField>
    <cacheField name="Question 22.2" numFmtId="0">
      <sharedItems containsBlank="1" containsMixedTypes="1" containsNumber="1" containsInteger="1" minValue="1" maxValue="2"/>
    </cacheField>
    <cacheField name="Question 22.3" numFmtId="0">
      <sharedItems containsBlank="1" containsMixedTypes="1" containsNumber="1" containsInteger="1" minValue="1" maxValue="2"/>
    </cacheField>
    <cacheField name="Question 22.4" numFmtId="0">
      <sharedItems containsBlank="1" containsMixedTypes="1" containsNumber="1" containsInteger="1" minValue="1" maxValue="2"/>
    </cacheField>
    <cacheField name="Question 22.5" numFmtId="0">
      <sharedItems containsBlank="1" containsMixedTypes="1" containsNumber="1" containsInteger="1" minValue="1" maxValue="2"/>
    </cacheField>
    <cacheField name="Question 22.6" numFmtId="0">
      <sharedItems containsBlank="1" containsMixedTypes="1" containsNumber="1" containsInteger="1" minValue="1" maxValue="2"/>
    </cacheField>
    <cacheField name="Question 23" numFmtId="0">
      <sharedItems containsBlank="1" containsMixedTypes="1" containsNumber="1" containsInteger="1" minValue="1" maxValue="2"/>
    </cacheField>
    <cacheField name="Question 24" numFmtId="0">
      <sharedItems containsBlank="1" containsMixedTypes="1" containsNumber="1" containsInteger="1" minValue="1" maxValue="2"/>
    </cacheField>
    <cacheField name="Question 25" numFmtId="0">
      <sharedItems containsBlank="1" containsMixedTypes="1" containsNumber="1" containsInteger="1" minValue="1" maxValue="4"/>
    </cacheField>
    <cacheField name="Question 25A" numFmtId="0">
      <sharedItems containsBlank="1" containsMixedTypes="1" containsNumber="1" containsInteger="1" minValue="1" maxValue="98"/>
    </cacheField>
    <cacheField name="Question 25Autre" numFmtId="0">
      <sharedItems containsBlank="1"/>
    </cacheField>
    <cacheField name="Question 26" numFmtId="0">
      <sharedItems containsBlank="1" containsMixedTypes="1" containsNumber="1" containsInteger="1" minValue="1" maxValue="2"/>
    </cacheField>
    <cacheField name="Question 26A" numFmtId="0">
      <sharedItems containsBlank="1" containsMixedTypes="1" containsNumber="1" containsInteger="1" minValue="1" maxValue="4"/>
    </cacheField>
    <cacheField name="Question 26B" numFmtId="0">
      <sharedItems containsBlank="1" containsMixedTypes="1" containsNumber="1" containsInteger="1" minValue="1" maxValue="98"/>
    </cacheField>
    <cacheField name="Question 26Autre" numFmtId="0">
      <sharedItems containsBlank="1"/>
    </cacheField>
    <cacheField name="Question 27" numFmtId="0">
      <sharedItems containsBlank="1" containsMixedTypes="1" containsNumber="1" containsInteger="1" minValue="1" maxValue="8"/>
    </cacheField>
    <cacheField name="Question 28" numFmtId="0">
      <sharedItems containsBlank="1" containsMixedTypes="1" containsNumber="1" containsInteger="1" minValue="1" maxValue="4"/>
    </cacheField>
    <cacheField name="Question 29" numFmtId="0">
      <sharedItems containsBlank="1" containsMixedTypes="1" containsNumber="1" containsInteger="1" minValue="1" maxValue="5"/>
    </cacheField>
    <cacheField name="Question 30" numFmtId="0">
      <sharedItems containsBlank="1" containsMixedTypes="1" containsNumber="1" containsInteger="1" minValue="1" maxValue="2" count="4">
        <s v="Êtes-vous :"/>
        <n v="1"/>
        <n v="2"/>
        <m/>
      </sharedItems>
    </cacheField>
    <cacheField name="Question 31" numFmtId="0">
      <sharedItems containsBlank="1" containsMixedTypes="1" containsNumber="1" containsInteger="1" minValue="1946" maxValue="1994"/>
    </cacheField>
    <cacheField name="Question 32" numFmtId="0">
      <sharedItems containsBlank="1" containsMixedTypes="1" containsNumber="1" containsInteger="1" minValue="1" maxValue="3"/>
    </cacheField>
    <cacheField name="Question 32 Autre" numFmtId="0">
      <sharedItems containsBlank="1"/>
    </cacheField>
    <cacheField name="Question 33" numFmtId="0">
      <sharedItems containsBlank="1" containsMixedTypes="1" containsNumber="1" containsInteger="1" minValue="1" maxValue="7"/>
    </cacheField>
    <cacheField name="Question 33 Autre" numFmtId="0">
      <sharedItems containsBlank="1"/>
    </cacheField>
    <cacheField name="Question 34" numFmtId="0">
      <sharedItems containsBlank="1" containsMixedTypes="1" containsNumber="1" containsInteger="1" minValue="1" maxValue="6"/>
    </cacheField>
    <cacheField name="Question 34 Autre" numFmtId="0">
      <sharedItems containsBlank="1"/>
    </cacheField>
    <cacheField name="Question 35" numFmtId="0">
      <sharedItems containsBlank="1" containsMixedTypes="1" containsNumber="1" containsInteger="1" minValue="1" maxValue="4"/>
    </cacheField>
    <cacheField name="Question 35 Autre" numFmtId="0">
      <sharedItems containsBlank="1"/>
    </cacheField>
    <cacheField name="Question 36" numFmtId="0">
      <sharedItems containsBlank="1" containsMixedTypes="1" containsNumber="1" containsInteger="1" minValue="1" maxValue="4"/>
    </cacheField>
    <cacheField name="Répondant" numFmtId="0">
      <sharedItems containsString="0" containsBlank="1" containsNumber="1" containsInteger="1" minValue="1" maxValue="1"/>
    </cacheField>
    <cacheField name="Calcul de l'âge" numFmtId="0">
      <sharedItems containsString="0" containsBlank="1" containsNumber="1" containsInteger="1" minValue="19" maxValue="2013"/>
    </cacheField>
    <cacheField name="L'âge regrouper" numFmtId="0">
      <sharedItems containsString="0" containsBlank="1" containsNumber="1" containsInteger="1" minValue="1" maxValue="4" count="5">
        <m/>
        <n v="1"/>
        <n v="2"/>
        <n v="3"/>
        <n v="4"/>
      </sharedItems>
    </cacheField>
    <cacheField name="Calcul vivre seul (MS)" numFmtId="0">
      <sharedItems containsString="0" containsBlank="1" containsNumber="1" containsInteger="1" minValue="1" maxValue="3"/>
    </cacheField>
    <cacheField name="Calcul ménage (M)" numFmtId="0">
      <sharedItems containsString="0" containsBlank="1" containsNumber="1" containsInteger="1" minValue="1" maxValue="5"/>
    </cacheField>
    <cacheField name="Calcul enfant (ME)" numFmtId="0">
      <sharedItems containsString="0" containsBlank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Tesmel01" refreshedDate="41416.545142824078" createdVersion="3" refreshedVersion="3" minRefreshableVersion="3" recordCount="601">
  <cacheSource type="worksheet">
    <worksheetSource ref="BO1:CQ602" sheet="Grille de saisie"/>
  </cacheSource>
  <cacheFields count="28">
    <cacheField name="Question 24" numFmtId="0">
      <sharedItems containsBlank="1" containsMixedTypes="1" containsNumber="1" containsInteger="1" minValue="1" maxValue="2" count="4">
        <s v="Au cours des deux dernières années, avez-vous été victime d'une agression, d'intimidation ou de tout autre acte de violence, chez vous ou dans votre quartier ?"/>
        <n v="2"/>
        <n v="1"/>
        <m/>
      </sharedItems>
    </cacheField>
    <cacheField name="Question 25" numFmtId="0">
      <sharedItems containsBlank="1" containsMixedTypes="1" containsNumber="1" containsInteger="1" minValue="1" maxValue="4"/>
    </cacheField>
    <cacheField name="Question 25A" numFmtId="0">
      <sharedItems containsBlank="1" containsMixedTypes="1" containsNumber="1" containsInteger="1" minValue="1" maxValue="98"/>
    </cacheField>
    <cacheField name="Question 25Autre" numFmtId="0">
      <sharedItems containsBlank="1"/>
    </cacheField>
    <cacheField name="Question 26" numFmtId="0">
      <sharedItems containsBlank="1" containsMixedTypes="1" containsNumber="1" containsInteger="1" minValue="1" maxValue="2"/>
    </cacheField>
    <cacheField name="Question 26A" numFmtId="0">
      <sharedItems containsBlank="1" containsMixedTypes="1" containsNumber="1" containsInteger="1" minValue="1" maxValue="4"/>
    </cacheField>
    <cacheField name="Question 26B" numFmtId="0">
      <sharedItems containsBlank="1" containsMixedTypes="1" containsNumber="1" containsInteger="1" minValue="1" maxValue="98"/>
    </cacheField>
    <cacheField name="Question 26Autre" numFmtId="0">
      <sharedItems containsBlank="1"/>
    </cacheField>
    <cacheField name="Question 27" numFmtId="0">
      <sharedItems containsBlank="1" containsMixedTypes="1" containsNumber="1" containsInteger="1" minValue="1" maxValue="8"/>
    </cacheField>
    <cacheField name="Question 28" numFmtId="0">
      <sharedItems containsBlank="1" containsMixedTypes="1" containsNumber="1" containsInteger="1" minValue="1" maxValue="4"/>
    </cacheField>
    <cacheField name="Question 29" numFmtId="0">
      <sharedItems containsBlank="1" containsMixedTypes="1" containsNumber="1" containsInteger="1" minValue="1" maxValue="5"/>
    </cacheField>
    <cacheField name="Question 30" numFmtId="0">
      <sharedItems containsBlank="1" containsMixedTypes="1" containsNumber="1" containsInteger="1" minValue="1" maxValue="2" count="4">
        <s v="Êtes-vous :"/>
        <n v="1"/>
        <n v="2"/>
        <m/>
      </sharedItems>
    </cacheField>
    <cacheField name="Question 31" numFmtId="0">
      <sharedItems containsBlank="1" containsMixedTypes="1" containsNumber="1" containsInteger="1" minValue="1946" maxValue="1994"/>
    </cacheField>
    <cacheField name="Question 32" numFmtId="0">
      <sharedItems containsBlank="1" containsMixedTypes="1" containsNumber="1" containsInteger="1" minValue="1" maxValue="3"/>
    </cacheField>
    <cacheField name="Question 32 Autre" numFmtId="0">
      <sharedItems containsBlank="1"/>
    </cacheField>
    <cacheField name="Question 33" numFmtId="0">
      <sharedItems containsBlank="1" containsMixedTypes="1" containsNumber="1" containsInteger="1" minValue="1" maxValue="7"/>
    </cacheField>
    <cacheField name="Question 33 Autre" numFmtId="0">
      <sharedItems containsBlank="1"/>
    </cacheField>
    <cacheField name="Question 34" numFmtId="0">
      <sharedItems containsBlank="1" containsMixedTypes="1" containsNumber="1" containsInteger="1" minValue="1" maxValue="6"/>
    </cacheField>
    <cacheField name="Question 34 Autre" numFmtId="0">
      <sharedItems containsBlank="1"/>
    </cacheField>
    <cacheField name="Question 35" numFmtId="0">
      <sharedItems containsBlank="1" containsMixedTypes="1" containsNumber="1" containsInteger="1" minValue="1" maxValue="4"/>
    </cacheField>
    <cacheField name="Question 35 Autre" numFmtId="0">
      <sharedItems containsBlank="1"/>
    </cacheField>
    <cacheField name="Question 36" numFmtId="0">
      <sharedItems containsBlank="1" containsMixedTypes="1" containsNumber="1" containsInteger="1" minValue="1" maxValue="4"/>
    </cacheField>
    <cacheField name="Répondant" numFmtId="0">
      <sharedItems containsString="0" containsBlank="1" containsNumber="1" containsInteger="1" minValue="1" maxValue="1"/>
    </cacheField>
    <cacheField name="Calcul de l'âge" numFmtId="0">
      <sharedItems containsString="0" containsBlank="1" containsNumber="1" containsInteger="1" minValue="19" maxValue="2013"/>
    </cacheField>
    <cacheField name="L'âge regrouper" numFmtId="0">
      <sharedItems containsString="0" containsBlank="1" containsNumber="1" containsInteger="1" minValue="1" maxValue="4"/>
    </cacheField>
    <cacheField name="Calcul vivre seul (MS)" numFmtId="0">
      <sharedItems containsString="0" containsBlank="1" containsNumber="1" containsInteger="1" minValue="1" maxValue="3"/>
    </cacheField>
    <cacheField name="Calcul ménage (M)" numFmtId="0">
      <sharedItems containsString="0" containsBlank="1" containsNumber="1" containsInteger="1" minValue="1" maxValue="5"/>
    </cacheField>
    <cacheField name="Calcul enfant (ME)" numFmtId="0">
      <sharedItems containsString="0" containsBlank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0.xml><?xml version="1.0" encoding="utf-8"?>
<pivotCacheDefinition xmlns="http://schemas.openxmlformats.org/spreadsheetml/2006/main" xmlns:r="http://schemas.openxmlformats.org/officeDocument/2006/relationships" r:id="rId1" refreshedBy="Tesmel01" refreshedDate="41416.54516238426" createdVersion="3" refreshedVersion="3" minRefreshableVersion="3" recordCount="632">
  <cacheSource type="worksheet">
    <worksheetSource ref="AM1:CQ1048576" sheet="Grille de saisie"/>
  </cacheSource>
  <cacheFields count="57">
    <cacheField name="Question 14.2" numFmtId="0">
      <sharedItems containsBlank="1" containsMixedTypes="1" containsNumber="1" containsInteger="1" minValue="1" maxValue="2" count="4">
        <s v="Veuillez répondre à chacun des énoncés suivants. Lorsque je suis dans mon quartier, je vérifie qu'aucun intrus ne se trouve à l'intérieur de ma voiture avant d'y monter."/>
        <n v="2"/>
        <n v="1"/>
        <m/>
      </sharedItems>
    </cacheField>
    <cacheField name="Question 14.3" numFmtId="0">
      <sharedItems containsBlank="1" containsMixedTypes="1" containsNumber="1" containsInteger="1" minValue="1" maxValue="2"/>
    </cacheField>
    <cacheField name="Question 14.4" numFmtId="0">
      <sharedItems containsBlank="1" containsMixedTypes="1" containsNumber="1" containsInteger="1" minValue="1" maxValue="2"/>
    </cacheField>
    <cacheField name="Question 14.5" numFmtId="0">
      <sharedItems containsBlank="1" containsMixedTypes="1" containsNumber="1" containsInteger="1" minValue="1" maxValue="2"/>
    </cacheField>
    <cacheField name="Question 14.6" numFmtId="0">
      <sharedItems containsBlank="1" containsMixedTypes="1" containsNumber="1" containsInteger="1" minValue="1" maxValue="2"/>
    </cacheField>
    <cacheField name="Question 14.7" numFmtId="0">
      <sharedItems containsBlank="1" containsMixedTypes="1" containsNumber="1" containsInteger="1" minValue="1" maxValue="2"/>
    </cacheField>
    <cacheField name="Question 14.8" numFmtId="0">
      <sharedItems containsBlank="1" containsMixedTypes="1" containsNumber="1" containsInteger="1" minValue="1" maxValue="2"/>
    </cacheField>
    <cacheField name="Question 15" numFmtId="0">
      <sharedItems containsBlank="1" containsMixedTypes="1" containsNumber="1" containsInteger="1" minValue="1" maxValue="2"/>
    </cacheField>
    <cacheField name="Question 15A" numFmtId="0">
      <sharedItems containsBlank="1" containsMixedTypes="1" containsNumber="1" containsInteger="1" minValue="1" maxValue="2"/>
    </cacheField>
    <cacheField name="Question 16.1" numFmtId="0">
      <sharedItems containsBlank="1" containsMixedTypes="1" containsNumber="1" containsInteger="1" minValue="1" maxValue="7"/>
    </cacheField>
    <cacheField name="Question 16.2" numFmtId="0">
      <sharedItems containsBlank="1" containsMixedTypes="1" containsNumber="1" containsInteger="1" minValue="1" maxValue="7"/>
    </cacheField>
    <cacheField name="Question 16.3" numFmtId="0">
      <sharedItems containsBlank="1" containsMixedTypes="1" containsNumber="1" containsInteger="1" minValue="1" maxValue="7"/>
    </cacheField>
    <cacheField name="Question 17" numFmtId="0">
      <sharedItems containsBlank="1" containsMixedTypes="1" containsNumber="1" containsInteger="1" minValue="1" maxValue="8"/>
    </cacheField>
    <cacheField name="Question 18" numFmtId="0">
      <sharedItems containsBlank="1" containsMixedTypes="1" containsNumber="1" containsInteger="1" minValue="1" maxValue="4"/>
    </cacheField>
    <cacheField name="Question 19" numFmtId="0">
      <sharedItems containsBlank="1" containsMixedTypes="1" containsNumber="1" containsInteger="1" minValue="1" maxValue="8"/>
    </cacheField>
    <cacheField name="Question 20.1" numFmtId="0">
      <sharedItems containsBlank="1" containsMixedTypes="1" containsNumber="1" containsInteger="1" minValue="1" maxValue="8"/>
    </cacheField>
    <cacheField name="Question 20.2" numFmtId="0">
      <sharedItems containsBlank="1" containsMixedTypes="1" containsNumber="1" containsInteger="1" minValue="1" maxValue="8"/>
    </cacheField>
    <cacheField name="Question 20.3" numFmtId="0">
      <sharedItems containsBlank="1" containsMixedTypes="1" containsNumber="1" containsInteger="1" minValue="1" maxValue="8"/>
    </cacheField>
    <cacheField name="Question 21" numFmtId="0">
      <sharedItems containsBlank="1" containsMixedTypes="1" containsNumber="1" containsInteger="1" minValue="1" maxValue="4"/>
    </cacheField>
    <cacheField name="Question 21A" numFmtId="0">
      <sharedItems containsBlank="1" containsMixedTypes="1" containsNumber="1" containsInteger="1" minValue="1" maxValue="4"/>
    </cacheField>
    <cacheField name="Question 21Peu" numFmtId="0">
      <sharedItems containsBlank="1"/>
    </cacheField>
    <cacheField name="Question 21Pas" numFmtId="0">
      <sharedItems containsBlank="1"/>
    </cacheField>
    <cacheField name="Question 22.1" numFmtId="0">
      <sharedItems containsBlank="1" containsMixedTypes="1" containsNumber="1" containsInteger="1" minValue="1" maxValue="2"/>
    </cacheField>
    <cacheField name="Question 22.2" numFmtId="0">
      <sharedItems containsBlank="1" containsMixedTypes="1" containsNumber="1" containsInteger="1" minValue="1" maxValue="2"/>
    </cacheField>
    <cacheField name="Question 22.3" numFmtId="0">
      <sharedItems containsBlank="1" containsMixedTypes="1" containsNumber="1" containsInteger="1" minValue="1" maxValue="2"/>
    </cacheField>
    <cacheField name="Question 22.4" numFmtId="0">
      <sharedItems containsBlank="1" containsMixedTypes="1" containsNumber="1" containsInteger="1" minValue="1" maxValue="2"/>
    </cacheField>
    <cacheField name="Question 22.5" numFmtId="0">
      <sharedItems containsBlank="1" containsMixedTypes="1" containsNumber="1" containsInteger="1" minValue="1" maxValue="2"/>
    </cacheField>
    <cacheField name="Question 22.6" numFmtId="0">
      <sharedItems containsBlank="1" containsMixedTypes="1" containsNumber="1" containsInteger="1" minValue="1" maxValue="2"/>
    </cacheField>
    <cacheField name="Question 23" numFmtId="0">
      <sharedItems containsBlank="1" containsMixedTypes="1" containsNumber="1" containsInteger="1" minValue="1" maxValue="2"/>
    </cacheField>
    <cacheField name="Question 24" numFmtId="0">
      <sharedItems containsBlank="1" containsMixedTypes="1" containsNumber="1" containsInteger="1" minValue="1" maxValue="2"/>
    </cacheField>
    <cacheField name="Question 25" numFmtId="0">
      <sharedItems containsBlank="1" containsMixedTypes="1" containsNumber="1" containsInteger="1" minValue="1" maxValue="4"/>
    </cacheField>
    <cacheField name="Question 25A" numFmtId="0">
      <sharedItems containsBlank="1" containsMixedTypes="1" containsNumber="1" containsInteger="1" minValue="1" maxValue="98"/>
    </cacheField>
    <cacheField name="Question 25Autre" numFmtId="0">
      <sharedItems containsBlank="1"/>
    </cacheField>
    <cacheField name="Question 26" numFmtId="0">
      <sharedItems containsBlank="1" containsMixedTypes="1" containsNumber="1" containsInteger="1" minValue="1" maxValue="2"/>
    </cacheField>
    <cacheField name="Question 26A" numFmtId="0">
      <sharedItems containsBlank="1" containsMixedTypes="1" containsNumber="1" containsInteger="1" minValue="1" maxValue="4"/>
    </cacheField>
    <cacheField name="Question 26B" numFmtId="0">
      <sharedItems containsBlank="1" containsMixedTypes="1" containsNumber="1" containsInteger="1" minValue="1" maxValue="98"/>
    </cacheField>
    <cacheField name="Question 26Autre" numFmtId="0">
      <sharedItems containsBlank="1"/>
    </cacheField>
    <cacheField name="Question 27" numFmtId="0">
      <sharedItems containsBlank="1" containsMixedTypes="1" containsNumber="1" containsInteger="1" minValue="1" maxValue="8"/>
    </cacheField>
    <cacheField name="Question 28" numFmtId="0">
      <sharedItems containsBlank="1" containsMixedTypes="1" containsNumber="1" containsInteger="1" minValue="1" maxValue="4"/>
    </cacheField>
    <cacheField name="Question 29" numFmtId="0">
      <sharedItems containsBlank="1" containsMixedTypes="1" containsNumber="1" containsInteger="1" minValue="1" maxValue="5"/>
    </cacheField>
    <cacheField name="Question 30" numFmtId="0">
      <sharedItems containsBlank="1" containsMixedTypes="1" containsNumber="1" containsInteger="1" minValue="1" maxValue="2" count="4">
        <s v="Êtes-vous :"/>
        <n v="1"/>
        <n v="2"/>
        <m/>
      </sharedItems>
    </cacheField>
    <cacheField name="Question 31" numFmtId="0">
      <sharedItems containsBlank="1" containsMixedTypes="1" containsNumber="1" containsInteger="1" minValue="1946" maxValue="1994"/>
    </cacheField>
    <cacheField name="Question 32" numFmtId="0">
      <sharedItems containsBlank="1" containsMixedTypes="1" containsNumber="1" containsInteger="1" minValue="1" maxValue="3"/>
    </cacheField>
    <cacheField name="Question 32 Autre" numFmtId="0">
      <sharedItems containsBlank="1"/>
    </cacheField>
    <cacheField name="Question 33" numFmtId="0">
      <sharedItems containsBlank="1" containsMixedTypes="1" containsNumber="1" containsInteger="1" minValue="1" maxValue="7"/>
    </cacheField>
    <cacheField name="Question 33 Autre" numFmtId="0">
      <sharedItems containsBlank="1"/>
    </cacheField>
    <cacheField name="Question 34" numFmtId="0">
      <sharedItems containsBlank="1" containsMixedTypes="1" containsNumber="1" containsInteger="1" minValue="1" maxValue="6"/>
    </cacheField>
    <cacheField name="Question 34 Autre" numFmtId="0">
      <sharedItems containsBlank="1"/>
    </cacheField>
    <cacheField name="Question 35" numFmtId="0">
      <sharedItems containsBlank="1" containsMixedTypes="1" containsNumber="1" containsInteger="1" minValue="1" maxValue="4"/>
    </cacheField>
    <cacheField name="Question 35 Autre" numFmtId="0">
      <sharedItems containsBlank="1"/>
    </cacheField>
    <cacheField name="Question 36" numFmtId="0">
      <sharedItems containsBlank="1" containsMixedTypes="1" containsNumber="1" containsInteger="1" minValue="1" maxValue="4"/>
    </cacheField>
    <cacheField name="Répondant" numFmtId="0">
      <sharedItems containsString="0" containsBlank="1" containsNumber="1" containsInteger="1" minValue="1" maxValue="1"/>
    </cacheField>
    <cacheField name="Calcul de l'âge" numFmtId="0">
      <sharedItems containsString="0" containsBlank="1" containsNumber="1" containsInteger="1" minValue="19" maxValue="2013"/>
    </cacheField>
    <cacheField name="L'âge regrouper" numFmtId="0">
      <sharedItems containsString="0" containsBlank="1" containsNumber="1" containsInteger="1" minValue="1" maxValue="4" count="5">
        <m/>
        <n v="1"/>
        <n v="2"/>
        <n v="3"/>
        <n v="4"/>
      </sharedItems>
    </cacheField>
    <cacheField name="Calcul vivre seul (MS)" numFmtId="0">
      <sharedItems containsString="0" containsBlank="1" containsNumber="1" containsInteger="1" minValue="1" maxValue="3"/>
    </cacheField>
    <cacheField name="Calcul ménage (M)" numFmtId="0">
      <sharedItems containsString="0" containsBlank="1" containsNumber="1" containsInteger="1" minValue="1" maxValue="5"/>
    </cacheField>
    <cacheField name="Calcul enfant (ME)" numFmtId="0">
      <sharedItems containsString="0" containsBlank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1.xml><?xml version="1.0" encoding="utf-8"?>
<pivotCacheDefinition xmlns="http://schemas.openxmlformats.org/spreadsheetml/2006/main" xmlns:r="http://schemas.openxmlformats.org/officeDocument/2006/relationships" r:id="rId1" refreshedBy="Tesmel01" refreshedDate="41416.545162847222" createdVersion="3" refreshedVersion="3" minRefreshableVersion="3" recordCount="632">
  <cacheSource type="worksheet">
    <worksheetSource ref="AN1:CQ1048576" sheet="Grille de saisie"/>
  </cacheSource>
  <cacheFields count="56">
    <cacheField name="Question 14.3" numFmtId="0">
      <sharedItems containsBlank="1" containsMixedTypes="1" containsNumber="1" containsInteger="1" minValue="1" maxValue="2" count="4">
        <s v="Veuillez répondre à chacun des énoncés suivants. À mon domicile, j'évite d'ouvrir la porte à des inconnus, pour des raisons de sécurité. "/>
        <n v="1"/>
        <n v="2"/>
        <m/>
      </sharedItems>
    </cacheField>
    <cacheField name="Question 14.4" numFmtId="0">
      <sharedItems containsBlank="1" containsMixedTypes="1" containsNumber="1" containsInteger="1" minValue="1" maxValue="2"/>
    </cacheField>
    <cacheField name="Question 14.5" numFmtId="0">
      <sharedItems containsBlank="1" containsMixedTypes="1" containsNumber="1" containsInteger="1" minValue="1" maxValue="2"/>
    </cacheField>
    <cacheField name="Question 14.6" numFmtId="0">
      <sharedItems containsBlank="1" containsMixedTypes="1" containsNumber="1" containsInteger="1" minValue="1" maxValue="2"/>
    </cacheField>
    <cacheField name="Question 14.7" numFmtId="0">
      <sharedItems containsBlank="1" containsMixedTypes="1" containsNumber="1" containsInteger="1" minValue="1" maxValue="2"/>
    </cacheField>
    <cacheField name="Question 14.8" numFmtId="0">
      <sharedItems containsBlank="1" containsMixedTypes="1" containsNumber="1" containsInteger="1" minValue="1" maxValue="2"/>
    </cacheField>
    <cacheField name="Question 15" numFmtId="0">
      <sharedItems containsBlank="1" containsMixedTypes="1" containsNumber="1" containsInteger="1" minValue="1" maxValue="2"/>
    </cacheField>
    <cacheField name="Question 15A" numFmtId="0">
      <sharedItems containsBlank="1" containsMixedTypes="1" containsNumber="1" containsInteger="1" minValue="1" maxValue="2"/>
    </cacheField>
    <cacheField name="Question 16.1" numFmtId="0">
      <sharedItems containsBlank="1" containsMixedTypes="1" containsNumber="1" containsInteger="1" minValue="1" maxValue="7"/>
    </cacheField>
    <cacheField name="Question 16.2" numFmtId="0">
      <sharedItems containsBlank="1" containsMixedTypes="1" containsNumber="1" containsInteger="1" minValue="1" maxValue="7"/>
    </cacheField>
    <cacheField name="Question 16.3" numFmtId="0">
      <sharedItems containsBlank="1" containsMixedTypes="1" containsNumber="1" containsInteger="1" minValue="1" maxValue="7"/>
    </cacheField>
    <cacheField name="Question 17" numFmtId="0">
      <sharedItems containsBlank="1" containsMixedTypes="1" containsNumber="1" containsInteger="1" minValue="1" maxValue="8"/>
    </cacheField>
    <cacheField name="Question 18" numFmtId="0">
      <sharedItems containsBlank="1" containsMixedTypes="1" containsNumber="1" containsInteger="1" minValue="1" maxValue="4"/>
    </cacheField>
    <cacheField name="Question 19" numFmtId="0">
      <sharedItems containsBlank="1" containsMixedTypes="1" containsNumber="1" containsInteger="1" minValue="1" maxValue="8"/>
    </cacheField>
    <cacheField name="Question 20.1" numFmtId="0">
      <sharedItems containsBlank="1" containsMixedTypes="1" containsNumber="1" containsInteger="1" minValue="1" maxValue="8"/>
    </cacheField>
    <cacheField name="Question 20.2" numFmtId="0">
      <sharedItems containsBlank="1" containsMixedTypes="1" containsNumber="1" containsInteger="1" minValue="1" maxValue="8"/>
    </cacheField>
    <cacheField name="Question 20.3" numFmtId="0">
      <sharedItems containsBlank="1" containsMixedTypes="1" containsNumber="1" containsInteger="1" minValue="1" maxValue="8"/>
    </cacheField>
    <cacheField name="Question 21" numFmtId="0">
      <sharedItems containsBlank="1" containsMixedTypes="1" containsNumber="1" containsInteger="1" minValue="1" maxValue="4"/>
    </cacheField>
    <cacheField name="Question 21A" numFmtId="0">
      <sharedItems containsBlank="1" containsMixedTypes="1" containsNumber="1" containsInteger="1" minValue="1" maxValue="4"/>
    </cacheField>
    <cacheField name="Question 21Peu" numFmtId="0">
      <sharedItems containsBlank="1"/>
    </cacheField>
    <cacheField name="Question 21Pas" numFmtId="0">
      <sharedItems containsBlank="1"/>
    </cacheField>
    <cacheField name="Question 22.1" numFmtId="0">
      <sharedItems containsBlank="1" containsMixedTypes="1" containsNumber="1" containsInteger="1" minValue="1" maxValue="2"/>
    </cacheField>
    <cacheField name="Question 22.2" numFmtId="0">
      <sharedItems containsBlank="1" containsMixedTypes="1" containsNumber="1" containsInteger="1" minValue="1" maxValue="2"/>
    </cacheField>
    <cacheField name="Question 22.3" numFmtId="0">
      <sharedItems containsBlank="1" containsMixedTypes="1" containsNumber="1" containsInteger="1" minValue="1" maxValue="2"/>
    </cacheField>
    <cacheField name="Question 22.4" numFmtId="0">
      <sharedItems containsBlank="1" containsMixedTypes="1" containsNumber="1" containsInteger="1" minValue="1" maxValue="2"/>
    </cacheField>
    <cacheField name="Question 22.5" numFmtId="0">
      <sharedItems containsBlank="1" containsMixedTypes="1" containsNumber="1" containsInteger="1" minValue="1" maxValue="2"/>
    </cacheField>
    <cacheField name="Question 22.6" numFmtId="0">
      <sharedItems containsBlank="1" containsMixedTypes="1" containsNumber="1" containsInteger="1" minValue="1" maxValue="2"/>
    </cacheField>
    <cacheField name="Question 23" numFmtId="0">
      <sharedItems containsBlank="1" containsMixedTypes="1" containsNumber="1" containsInteger="1" minValue="1" maxValue="2"/>
    </cacheField>
    <cacheField name="Question 24" numFmtId="0">
      <sharedItems containsBlank="1" containsMixedTypes="1" containsNumber="1" containsInteger="1" minValue="1" maxValue="2"/>
    </cacheField>
    <cacheField name="Question 25" numFmtId="0">
      <sharedItems containsBlank="1" containsMixedTypes="1" containsNumber="1" containsInteger="1" minValue="1" maxValue="4"/>
    </cacheField>
    <cacheField name="Question 25A" numFmtId="0">
      <sharedItems containsBlank="1" containsMixedTypes="1" containsNumber="1" containsInteger="1" minValue="1" maxValue="98"/>
    </cacheField>
    <cacheField name="Question 25Autre" numFmtId="0">
      <sharedItems containsBlank="1"/>
    </cacheField>
    <cacheField name="Question 26" numFmtId="0">
      <sharedItems containsBlank="1" containsMixedTypes="1" containsNumber="1" containsInteger="1" minValue="1" maxValue="2"/>
    </cacheField>
    <cacheField name="Question 26A" numFmtId="0">
      <sharedItems containsBlank="1" containsMixedTypes="1" containsNumber="1" containsInteger="1" minValue="1" maxValue="4"/>
    </cacheField>
    <cacheField name="Question 26B" numFmtId="0">
      <sharedItems containsBlank="1" containsMixedTypes="1" containsNumber="1" containsInteger="1" minValue="1" maxValue="98"/>
    </cacheField>
    <cacheField name="Question 26Autre" numFmtId="0">
      <sharedItems containsBlank="1"/>
    </cacheField>
    <cacheField name="Question 27" numFmtId="0">
      <sharedItems containsBlank="1" containsMixedTypes="1" containsNumber="1" containsInteger="1" minValue="1" maxValue="8"/>
    </cacheField>
    <cacheField name="Question 28" numFmtId="0">
      <sharedItems containsBlank="1" containsMixedTypes="1" containsNumber="1" containsInteger="1" minValue="1" maxValue="4"/>
    </cacheField>
    <cacheField name="Question 29" numFmtId="0">
      <sharedItems containsBlank="1" containsMixedTypes="1" containsNumber="1" containsInteger="1" minValue="1" maxValue="5"/>
    </cacheField>
    <cacheField name="Question 30" numFmtId="0">
      <sharedItems containsBlank="1" containsMixedTypes="1" containsNumber="1" containsInteger="1" minValue="1" maxValue="2" count="4">
        <s v="Êtes-vous :"/>
        <n v="1"/>
        <n v="2"/>
        <m/>
      </sharedItems>
    </cacheField>
    <cacheField name="Question 31" numFmtId="0">
      <sharedItems containsBlank="1" containsMixedTypes="1" containsNumber="1" containsInteger="1" minValue="1946" maxValue="1994"/>
    </cacheField>
    <cacheField name="Question 32" numFmtId="0">
      <sharedItems containsBlank="1" containsMixedTypes="1" containsNumber="1" containsInteger="1" minValue="1" maxValue="3"/>
    </cacheField>
    <cacheField name="Question 32 Autre" numFmtId="0">
      <sharedItems containsBlank="1"/>
    </cacheField>
    <cacheField name="Question 33" numFmtId="0">
      <sharedItems containsBlank="1" containsMixedTypes="1" containsNumber="1" containsInteger="1" minValue="1" maxValue="7"/>
    </cacheField>
    <cacheField name="Question 33 Autre" numFmtId="0">
      <sharedItems containsBlank="1"/>
    </cacheField>
    <cacheField name="Question 34" numFmtId="0">
      <sharedItems containsBlank="1" containsMixedTypes="1" containsNumber="1" containsInteger="1" minValue="1" maxValue="6"/>
    </cacheField>
    <cacheField name="Question 34 Autre" numFmtId="0">
      <sharedItems containsBlank="1"/>
    </cacheField>
    <cacheField name="Question 35" numFmtId="0">
      <sharedItems containsBlank="1" containsMixedTypes="1" containsNumber="1" containsInteger="1" minValue="1" maxValue="4"/>
    </cacheField>
    <cacheField name="Question 35 Autre" numFmtId="0">
      <sharedItems containsBlank="1"/>
    </cacheField>
    <cacheField name="Question 36" numFmtId="0">
      <sharedItems containsBlank="1" containsMixedTypes="1" containsNumber="1" containsInteger="1" minValue="1" maxValue="4"/>
    </cacheField>
    <cacheField name="Répondant" numFmtId="0">
      <sharedItems containsString="0" containsBlank="1" containsNumber="1" containsInteger="1" minValue="1" maxValue="1"/>
    </cacheField>
    <cacheField name="Calcul de l'âge" numFmtId="0">
      <sharedItems containsString="0" containsBlank="1" containsNumber="1" containsInteger="1" minValue="19" maxValue="2013"/>
    </cacheField>
    <cacheField name="L'âge regrouper" numFmtId="0">
      <sharedItems containsString="0" containsBlank="1" containsNumber="1" containsInteger="1" minValue="1" maxValue="4" count="5">
        <m/>
        <n v="1"/>
        <n v="2"/>
        <n v="3"/>
        <n v="4"/>
      </sharedItems>
    </cacheField>
    <cacheField name="Calcul vivre seul (MS)" numFmtId="0">
      <sharedItems containsString="0" containsBlank="1" containsNumber="1" containsInteger="1" minValue="1" maxValue="3"/>
    </cacheField>
    <cacheField name="Calcul ménage (M)" numFmtId="0">
      <sharedItems containsString="0" containsBlank="1" containsNumber="1" containsInteger="1" minValue="1" maxValue="5"/>
    </cacheField>
    <cacheField name="Calcul enfant (ME)" numFmtId="0">
      <sharedItems containsString="0" containsBlank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2.xml><?xml version="1.0" encoding="utf-8"?>
<pivotCacheDefinition xmlns="http://schemas.openxmlformats.org/spreadsheetml/2006/main" xmlns:r="http://schemas.openxmlformats.org/officeDocument/2006/relationships" r:id="rId1" refreshedBy="Tesmel01" refreshedDate="41416.545163425923" createdVersion="3" refreshedVersion="3" minRefreshableVersion="3" recordCount="632">
  <cacheSource type="worksheet">
    <worksheetSource ref="AO1:CQ1048576" sheet="Grille de saisie"/>
  </cacheSource>
  <cacheFields count="55">
    <cacheField name="Question 14.4" numFmtId="0">
      <sharedItems containsBlank="1" containsMixedTypes="1" containsNumber="1" containsInteger="1" minValue="1" maxValue="2" count="4">
        <s v="Veuillez répondre à chacun des énoncés suivants. Je garde les portes extérieures de mon domicile constamment verrouillées, même lorsque je suis chez moi. "/>
        <n v="1"/>
        <n v="2"/>
        <m/>
      </sharedItems>
    </cacheField>
    <cacheField name="Question 14.5" numFmtId="0">
      <sharedItems containsBlank="1" containsMixedTypes="1" containsNumber="1" containsInteger="1" minValue="1" maxValue="2"/>
    </cacheField>
    <cacheField name="Question 14.6" numFmtId="0">
      <sharedItems containsBlank="1" containsMixedTypes="1" containsNumber="1" containsInteger="1" minValue="1" maxValue="2"/>
    </cacheField>
    <cacheField name="Question 14.7" numFmtId="0">
      <sharedItems containsBlank="1" containsMixedTypes="1" containsNumber="1" containsInteger="1" minValue="1" maxValue="2"/>
    </cacheField>
    <cacheField name="Question 14.8" numFmtId="0">
      <sharedItems containsBlank="1" containsMixedTypes="1" containsNumber="1" containsInteger="1" minValue="1" maxValue="2"/>
    </cacheField>
    <cacheField name="Question 15" numFmtId="0">
      <sharedItems containsBlank="1" containsMixedTypes="1" containsNumber="1" containsInteger="1" minValue="1" maxValue="2"/>
    </cacheField>
    <cacheField name="Question 15A" numFmtId="0">
      <sharedItems containsBlank="1" containsMixedTypes="1" containsNumber="1" containsInteger="1" minValue="1" maxValue="2"/>
    </cacheField>
    <cacheField name="Question 16.1" numFmtId="0">
      <sharedItems containsBlank="1" containsMixedTypes="1" containsNumber="1" containsInteger="1" minValue="1" maxValue="7"/>
    </cacheField>
    <cacheField name="Question 16.2" numFmtId="0">
      <sharedItems containsBlank="1" containsMixedTypes="1" containsNumber="1" containsInteger="1" minValue="1" maxValue="7"/>
    </cacheField>
    <cacheField name="Question 16.3" numFmtId="0">
      <sharedItems containsBlank="1" containsMixedTypes="1" containsNumber="1" containsInteger="1" minValue="1" maxValue="7"/>
    </cacheField>
    <cacheField name="Question 17" numFmtId="0">
      <sharedItems containsBlank="1" containsMixedTypes="1" containsNumber="1" containsInteger="1" minValue="1" maxValue="8"/>
    </cacheField>
    <cacheField name="Question 18" numFmtId="0">
      <sharedItems containsBlank="1" containsMixedTypes="1" containsNumber="1" containsInteger="1" minValue="1" maxValue="4"/>
    </cacheField>
    <cacheField name="Question 19" numFmtId="0">
      <sharedItems containsBlank="1" containsMixedTypes="1" containsNumber="1" containsInteger="1" minValue="1" maxValue="8"/>
    </cacheField>
    <cacheField name="Question 20.1" numFmtId="0">
      <sharedItems containsBlank="1" containsMixedTypes="1" containsNumber="1" containsInteger="1" minValue="1" maxValue="8"/>
    </cacheField>
    <cacheField name="Question 20.2" numFmtId="0">
      <sharedItems containsBlank="1" containsMixedTypes="1" containsNumber="1" containsInteger="1" minValue="1" maxValue="8"/>
    </cacheField>
    <cacheField name="Question 20.3" numFmtId="0">
      <sharedItems containsBlank="1" containsMixedTypes="1" containsNumber="1" containsInteger="1" minValue="1" maxValue="8"/>
    </cacheField>
    <cacheField name="Question 21" numFmtId="0">
      <sharedItems containsBlank="1" containsMixedTypes="1" containsNumber="1" containsInteger="1" minValue="1" maxValue="4"/>
    </cacheField>
    <cacheField name="Question 21A" numFmtId="0">
      <sharedItems containsBlank="1" containsMixedTypes="1" containsNumber="1" containsInteger="1" minValue="1" maxValue="4"/>
    </cacheField>
    <cacheField name="Question 21Peu" numFmtId="0">
      <sharedItems containsBlank="1"/>
    </cacheField>
    <cacheField name="Question 21Pas" numFmtId="0">
      <sharedItems containsBlank="1"/>
    </cacheField>
    <cacheField name="Question 22.1" numFmtId="0">
      <sharedItems containsBlank="1" containsMixedTypes="1" containsNumber="1" containsInteger="1" minValue="1" maxValue="2"/>
    </cacheField>
    <cacheField name="Question 22.2" numFmtId="0">
      <sharedItems containsBlank="1" containsMixedTypes="1" containsNumber="1" containsInteger="1" minValue="1" maxValue="2"/>
    </cacheField>
    <cacheField name="Question 22.3" numFmtId="0">
      <sharedItems containsBlank="1" containsMixedTypes="1" containsNumber="1" containsInteger="1" minValue="1" maxValue="2"/>
    </cacheField>
    <cacheField name="Question 22.4" numFmtId="0">
      <sharedItems containsBlank="1" containsMixedTypes="1" containsNumber="1" containsInteger="1" minValue="1" maxValue="2"/>
    </cacheField>
    <cacheField name="Question 22.5" numFmtId="0">
      <sharedItems containsBlank="1" containsMixedTypes="1" containsNumber="1" containsInteger="1" minValue="1" maxValue="2"/>
    </cacheField>
    <cacheField name="Question 22.6" numFmtId="0">
      <sharedItems containsBlank="1" containsMixedTypes="1" containsNumber="1" containsInteger="1" minValue="1" maxValue="2"/>
    </cacheField>
    <cacheField name="Question 23" numFmtId="0">
      <sharedItems containsBlank="1" containsMixedTypes="1" containsNumber="1" containsInteger="1" minValue="1" maxValue="2"/>
    </cacheField>
    <cacheField name="Question 24" numFmtId="0">
      <sharedItems containsBlank="1" containsMixedTypes="1" containsNumber="1" containsInteger="1" minValue="1" maxValue="2"/>
    </cacheField>
    <cacheField name="Question 25" numFmtId="0">
      <sharedItems containsBlank="1" containsMixedTypes="1" containsNumber="1" containsInteger="1" minValue="1" maxValue="4"/>
    </cacheField>
    <cacheField name="Question 25A" numFmtId="0">
      <sharedItems containsBlank="1" containsMixedTypes="1" containsNumber="1" containsInteger="1" minValue="1" maxValue="98"/>
    </cacheField>
    <cacheField name="Question 25Autre" numFmtId="0">
      <sharedItems containsBlank="1"/>
    </cacheField>
    <cacheField name="Question 26" numFmtId="0">
      <sharedItems containsBlank="1" containsMixedTypes="1" containsNumber="1" containsInteger="1" minValue="1" maxValue="2"/>
    </cacheField>
    <cacheField name="Question 26A" numFmtId="0">
      <sharedItems containsBlank="1" containsMixedTypes="1" containsNumber="1" containsInteger="1" minValue="1" maxValue="4"/>
    </cacheField>
    <cacheField name="Question 26B" numFmtId="0">
      <sharedItems containsBlank="1" containsMixedTypes="1" containsNumber="1" containsInteger="1" minValue="1" maxValue="98"/>
    </cacheField>
    <cacheField name="Question 26Autre" numFmtId="0">
      <sharedItems containsBlank="1"/>
    </cacheField>
    <cacheField name="Question 27" numFmtId="0">
      <sharedItems containsBlank="1" containsMixedTypes="1" containsNumber="1" containsInteger="1" minValue="1" maxValue="8"/>
    </cacheField>
    <cacheField name="Question 28" numFmtId="0">
      <sharedItems containsBlank="1" containsMixedTypes="1" containsNumber="1" containsInteger="1" minValue="1" maxValue="4"/>
    </cacheField>
    <cacheField name="Question 29" numFmtId="0">
      <sharedItems containsBlank="1" containsMixedTypes="1" containsNumber="1" containsInteger="1" minValue="1" maxValue="5"/>
    </cacheField>
    <cacheField name="Question 30" numFmtId="0">
      <sharedItems containsBlank="1" containsMixedTypes="1" containsNumber="1" containsInteger="1" minValue="1" maxValue="2" count="4">
        <s v="Êtes-vous :"/>
        <n v="1"/>
        <n v="2"/>
        <m/>
      </sharedItems>
    </cacheField>
    <cacheField name="Question 31" numFmtId="0">
      <sharedItems containsBlank="1" containsMixedTypes="1" containsNumber="1" containsInteger="1" minValue="1946" maxValue="1994"/>
    </cacheField>
    <cacheField name="Question 32" numFmtId="0">
      <sharedItems containsBlank="1" containsMixedTypes="1" containsNumber="1" containsInteger="1" minValue="1" maxValue="3"/>
    </cacheField>
    <cacheField name="Question 32 Autre" numFmtId="0">
      <sharedItems containsBlank="1"/>
    </cacheField>
    <cacheField name="Question 33" numFmtId="0">
      <sharedItems containsBlank="1" containsMixedTypes="1" containsNumber="1" containsInteger="1" minValue="1" maxValue="7"/>
    </cacheField>
    <cacheField name="Question 33 Autre" numFmtId="0">
      <sharedItems containsBlank="1"/>
    </cacheField>
    <cacheField name="Question 34" numFmtId="0">
      <sharedItems containsBlank="1" containsMixedTypes="1" containsNumber="1" containsInteger="1" minValue="1" maxValue="6"/>
    </cacheField>
    <cacheField name="Question 34 Autre" numFmtId="0">
      <sharedItems containsBlank="1"/>
    </cacheField>
    <cacheField name="Question 35" numFmtId="0">
      <sharedItems containsBlank="1" containsMixedTypes="1" containsNumber="1" containsInteger="1" minValue="1" maxValue="4"/>
    </cacheField>
    <cacheField name="Question 35 Autre" numFmtId="0">
      <sharedItems containsBlank="1"/>
    </cacheField>
    <cacheField name="Question 36" numFmtId="0">
      <sharedItems containsBlank="1" containsMixedTypes="1" containsNumber="1" containsInteger="1" minValue="1" maxValue="4"/>
    </cacheField>
    <cacheField name="Répondant" numFmtId="0">
      <sharedItems containsString="0" containsBlank="1" containsNumber="1" containsInteger="1" minValue="1" maxValue="1"/>
    </cacheField>
    <cacheField name="Calcul de l'âge" numFmtId="0">
      <sharedItems containsString="0" containsBlank="1" containsNumber="1" containsInteger="1" minValue="19" maxValue="2013"/>
    </cacheField>
    <cacheField name="L'âge regrouper" numFmtId="0">
      <sharedItems containsString="0" containsBlank="1" containsNumber="1" containsInteger="1" minValue="1" maxValue="4" count="5">
        <m/>
        <n v="1"/>
        <n v="2"/>
        <n v="3"/>
        <n v="4"/>
      </sharedItems>
    </cacheField>
    <cacheField name="Calcul vivre seul (MS)" numFmtId="0">
      <sharedItems containsString="0" containsBlank="1" containsNumber="1" containsInteger="1" minValue="1" maxValue="3"/>
    </cacheField>
    <cacheField name="Calcul ménage (M)" numFmtId="0">
      <sharedItems containsString="0" containsBlank="1" containsNumber="1" containsInteger="1" minValue="1" maxValue="5"/>
    </cacheField>
    <cacheField name="Calcul enfant (ME)" numFmtId="0">
      <sharedItems containsString="0" containsBlank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3.xml><?xml version="1.0" encoding="utf-8"?>
<pivotCacheDefinition xmlns="http://schemas.openxmlformats.org/spreadsheetml/2006/main" xmlns:r="http://schemas.openxmlformats.org/officeDocument/2006/relationships" r:id="rId1" refreshedBy="Tesmel01" refreshedDate="41416.54516400463" createdVersion="3" refreshedVersion="3" minRefreshableVersion="3" recordCount="632">
  <cacheSource type="worksheet">
    <worksheetSource ref="AP1:CQ1048576" sheet="Grille de saisie"/>
  </cacheSource>
  <cacheFields count="54">
    <cacheField name="Question 14.5" numFmtId="0">
      <sharedItems containsBlank="1" containsMixedTypes="1" containsNumber="1" containsInteger="1" minValue="1" maxValue="2" count="4">
        <s v="Veuillez répondre à chacun des énoncés suivants. Spécialement par mesure de protection, il y a un chien à mon domicile. "/>
        <n v="1"/>
        <n v="2"/>
        <m/>
      </sharedItems>
    </cacheField>
    <cacheField name="Question 14.6" numFmtId="0">
      <sharedItems containsBlank="1" containsMixedTypes="1" containsNumber="1" containsInteger="1" minValue="1" maxValue="2"/>
    </cacheField>
    <cacheField name="Question 14.7" numFmtId="0">
      <sharedItems containsBlank="1" containsMixedTypes="1" containsNumber="1" containsInteger="1" minValue="1" maxValue="2"/>
    </cacheField>
    <cacheField name="Question 14.8" numFmtId="0">
      <sharedItems containsBlank="1" containsMixedTypes="1" containsNumber="1" containsInteger="1" minValue="1" maxValue="2"/>
    </cacheField>
    <cacheField name="Question 15" numFmtId="0">
      <sharedItems containsBlank="1" containsMixedTypes="1" containsNumber="1" containsInteger="1" minValue="1" maxValue="2"/>
    </cacheField>
    <cacheField name="Question 15A" numFmtId="0">
      <sharedItems containsBlank="1" containsMixedTypes="1" containsNumber="1" containsInteger="1" minValue="1" maxValue="2"/>
    </cacheField>
    <cacheField name="Question 16.1" numFmtId="0">
      <sharedItems containsBlank="1" containsMixedTypes="1" containsNumber="1" containsInteger="1" minValue="1" maxValue="7"/>
    </cacheField>
    <cacheField name="Question 16.2" numFmtId="0">
      <sharedItems containsBlank="1" containsMixedTypes="1" containsNumber="1" containsInteger="1" minValue="1" maxValue="7"/>
    </cacheField>
    <cacheField name="Question 16.3" numFmtId="0">
      <sharedItems containsBlank="1" containsMixedTypes="1" containsNumber="1" containsInteger="1" minValue="1" maxValue="7"/>
    </cacheField>
    <cacheField name="Question 17" numFmtId="0">
      <sharedItems containsBlank="1" containsMixedTypes="1" containsNumber="1" containsInteger="1" minValue="1" maxValue="8"/>
    </cacheField>
    <cacheField name="Question 18" numFmtId="0">
      <sharedItems containsBlank="1" containsMixedTypes="1" containsNumber="1" containsInteger="1" minValue="1" maxValue="4"/>
    </cacheField>
    <cacheField name="Question 19" numFmtId="0">
      <sharedItems containsBlank="1" containsMixedTypes="1" containsNumber="1" containsInteger="1" minValue="1" maxValue="8"/>
    </cacheField>
    <cacheField name="Question 20.1" numFmtId="0">
      <sharedItems containsBlank="1" containsMixedTypes="1" containsNumber="1" containsInteger="1" minValue="1" maxValue="8"/>
    </cacheField>
    <cacheField name="Question 20.2" numFmtId="0">
      <sharedItems containsBlank="1" containsMixedTypes="1" containsNumber="1" containsInteger="1" minValue="1" maxValue="8"/>
    </cacheField>
    <cacheField name="Question 20.3" numFmtId="0">
      <sharedItems containsBlank="1" containsMixedTypes="1" containsNumber="1" containsInteger="1" minValue="1" maxValue="8"/>
    </cacheField>
    <cacheField name="Question 21" numFmtId="0">
      <sharedItems containsBlank="1" containsMixedTypes="1" containsNumber="1" containsInteger="1" minValue="1" maxValue="4"/>
    </cacheField>
    <cacheField name="Question 21A" numFmtId="0">
      <sharedItems containsBlank="1" containsMixedTypes="1" containsNumber="1" containsInteger="1" minValue="1" maxValue="4"/>
    </cacheField>
    <cacheField name="Question 21Peu" numFmtId="0">
      <sharedItems containsBlank="1"/>
    </cacheField>
    <cacheField name="Question 21Pas" numFmtId="0">
      <sharedItems containsBlank="1"/>
    </cacheField>
    <cacheField name="Question 22.1" numFmtId="0">
      <sharedItems containsBlank="1" containsMixedTypes="1" containsNumber="1" containsInteger="1" minValue="1" maxValue="2"/>
    </cacheField>
    <cacheField name="Question 22.2" numFmtId="0">
      <sharedItems containsBlank="1" containsMixedTypes="1" containsNumber="1" containsInteger="1" minValue="1" maxValue="2"/>
    </cacheField>
    <cacheField name="Question 22.3" numFmtId="0">
      <sharedItems containsBlank="1" containsMixedTypes="1" containsNumber="1" containsInteger="1" minValue="1" maxValue="2"/>
    </cacheField>
    <cacheField name="Question 22.4" numFmtId="0">
      <sharedItems containsBlank="1" containsMixedTypes="1" containsNumber="1" containsInteger="1" minValue="1" maxValue="2"/>
    </cacheField>
    <cacheField name="Question 22.5" numFmtId="0">
      <sharedItems containsBlank="1" containsMixedTypes="1" containsNumber="1" containsInteger="1" minValue="1" maxValue="2"/>
    </cacheField>
    <cacheField name="Question 22.6" numFmtId="0">
      <sharedItems containsBlank="1" containsMixedTypes="1" containsNumber="1" containsInteger="1" minValue="1" maxValue="2"/>
    </cacheField>
    <cacheField name="Question 23" numFmtId="0">
      <sharedItems containsBlank="1" containsMixedTypes="1" containsNumber="1" containsInteger="1" minValue="1" maxValue="2"/>
    </cacheField>
    <cacheField name="Question 24" numFmtId="0">
      <sharedItems containsBlank="1" containsMixedTypes="1" containsNumber="1" containsInteger="1" minValue="1" maxValue="2"/>
    </cacheField>
    <cacheField name="Question 25" numFmtId="0">
      <sharedItems containsBlank="1" containsMixedTypes="1" containsNumber="1" containsInteger="1" minValue="1" maxValue="4"/>
    </cacheField>
    <cacheField name="Question 25A" numFmtId="0">
      <sharedItems containsBlank="1" containsMixedTypes="1" containsNumber="1" containsInteger="1" minValue="1" maxValue="98"/>
    </cacheField>
    <cacheField name="Question 25Autre" numFmtId="0">
      <sharedItems containsBlank="1"/>
    </cacheField>
    <cacheField name="Question 26" numFmtId="0">
      <sharedItems containsBlank="1" containsMixedTypes="1" containsNumber="1" containsInteger="1" minValue="1" maxValue="2"/>
    </cacheField>
    <cacheField name="Question 26A" numFmtId="0">
      <sharedItems containsBlank="1" containsMixedTypes="1" containsNumber="1" containsInteger="1" minValue="1" maxValue="4"/>
    </cacheField>
    <cacheField name="Question 26B" numFmtId="0">
      <sharedItems containsBlank="1" containsMixedTypes="1" containsNumber="1" containsInteger="1" minValue="1" maxValue="98"/>
    </cacheField>
    <cacheField name="Question 26Autre" numFmtId="0">
      <sharedItems containsBlank="1"/>
    </cacheField>
    <cacheField name="Question 27" numFmtId="0">
      <sharedItems containsBlank="1" containsMixedTypes="1" containsNumber="1" containsInteger="1" minValue="1" maxValue="8"/>
    </cacheField>
    <cacheField name="Question 28" numFmtId="0">
      <sharedItems containsBlank="1" containsMixedTypes="1" containsNumber="1" containsInteger="1" minValue="1" maxValue="4"/>
    </cacheField>
    <cacheField name="Question 29" numFmtId="0">
      <sharedItems containsBlank="1" containsMixedTypes="1" containsNumber="1" containsInteger="1" minValue="1" maxValue="5"/>
    </cacheField>
    <cacheField name="Question 30" numFmtId="0">
      <sharedItems containsBlank="1" containsMixedTypes="1" containsNumber="1" containsInteger="1" minValue="1" maxValue="2" count="4">
        <s v="Êtes-vous :"/>
        <n v="1"/>
        <n v="2"/>
        <m/>
      </sharedItems>
    </cacheField>
    <cacheField name="Question 31" numFmtId="0">
      <sharedItems containsBlank="1" containsMixedTypes="1" containsNumber="1" containsInteger="1" minValue="1946" maxValue="1994"/>
    </cacheField>
    <cacheField name="Question 32" numFmtId="0">
      <sharedItems containsBlank="1" containsMixedTypes="1" containsNumber="1" containsInteger="1" minValue="1" maxValue="3"/>
    </cacheField>
    <cacheField name="Question 32 Autre" numFmtId="0">
      <sharedItems containsBlank="1"/>
    </cacheField>
    <cacheField name="Question 33" numFmtId="0">
      <sharedItems containsBlank="1" containsMixedTypes="1" containsNumber="1" containsInteger="1" minValue="1" maxValue="7"/>
    </cacheField>
    <cacheField name="Question 33 Autre" numFmtId="0">
      <sharedItems containsBlank="1"/>
    </cacheField>
    <cacheField name="Question 34" numFmtId="0">
      <sharedItems containsBlank="1" containsMixedTypes="1" containsNumber="1" containsInteger="1" minValue="1" maxValue="6"/>
    </cacheField>
    <cacheField name="Question 34 Autre" numFmtId="0">
      <sharedItems containsBlank="1"/>
    </cacheField>
    <cacheField name="Question 35" numFmtId="0">
      <sharedItems containsBlank="1" containsMixedTypes="1" containsNumber="1" containsInteger="1" minValue="1" maxValue="4"/>
    </cacheField>
    <cacheField name="Question 35 Autre" numFmtId="0">
      <sharedItems containsBlank="1"/>
    </cacheField>
    <cacheField name="Question 36" numFmtId="0">
      <sharedItems containsBlank="1" containsMixedTypes="1" containsNumber="1" containsInteger="1" minValue="1" maxValue="4"/>
    </cacheField>
    <cacheField name="Répondant" numFmtId="0">
      <sharedItems containsString="0" containsBlank="1" containsNumber="1" containsInteger="1" minValue="1" maxValue="1"/>
    </cacheField>
    <cacheField name="Calcul de l'âge" numFmtId="0">
      <sharedItems containsString="0" containsBlank="1" containsNumber="1" containsInteger="1" minValue="19" maxValue="2013"/>
    </cacheField>
    <cacheField name="L'âge regrouper" numFmtId="0">
      <sharedItems containsString="0" containsBlank="1" containsNumber="1" containsInteger="1" minValue="1" maxValue="4" count="5">
        <m/>
        <n v="1"/>
        <n v="2"/>
        <n v="3"/>
        <n v="4"/>
      </sharedItems>
    </cacheField>
    <cacheField name="Calcul vivre seul (MS)" numFmtId="0">
      <sharedItems containsString="0" containsBlank="1" containsNumber="1" containsInteger="1" minValue="1" maxValue="3"/>
    </cacheField>
    <cacheField name="Calcul ménage (M)" numFmtId="0">
      <sharedItems containsString="0" containsBlank="1" containsNumber="1" containsInteger="1" minValue="1" maxValue="5"/>
    </cacheField>
    <cacheField name="Calcul enfant (ME)" numFmtId="0">
      <sharedItems containsString="0" containsBlank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4.xml><?xml version="1.0" encoding="utf-8"?>
<pivotCacheDefinition xmlns="http://schemas.openxmlformats.org/spreadsheetml/2006/main" xmlns:r="http://schemas.openxmlformats.org/officeDocument/2006/relationships" r:id="rId1" refreshedBy="Tesmel01" refreshedDate="41416.545164467592" createdVersion="3" refreshedVersion="3" minRefreshableVersion="3" recordCount="632">
  <cacheSource type="worksheet">
    <worksheetSource ref="AQ1:CQ1048576" sheet="Grille de saisie"/>
  </cacheSource>
  <cacheFields count="53">
    <cacheField name="Question 14.6" numFmtId="0">
      <sharedItems containsBlank="1" containsMixedTypes="1" containsNumber="1" containsInteger="1" minValue="1" maxValue="2" count="4">
        <s v="Veuillez répondre à chacun des énoncés suivants. J'ai un système d'alarme que j'active régulièrement pour protéger mon domicile contre le vol."/>
        <n v="2"/>
        <n v="1"/>
        <m/>
      </sharedItems>
    </cacheField>
    <cacheField name="Question 14.7" numFmtId="0">
      <sharedItems containsBlank="1" containsMixedTypes="1" containsNumber="1" containsInteger="1" minValue="1" maxValue="2"/>
    </cacheField>
    <cacheField name="Question 14.8" numFmtId="0">
      <sharedItems containsBlank="1" containsMixedTypes="1" containsNumber="1" containsInteger="1" minValue="1" maxValue="2"/>
    </cacheField>
    <cacheField name="Question 15" numFmtId="0">
      <sharedItems containsBlank="1" containsMixedTypes="1" containsNumber="1" containsInteger="1" minValue="1" maxValue="2"/>
    </cacheField>
    <cacheField name="Question 15A" numFmtId="0">
      <sharedItems containsBlank="1" containsMixedTypes="1" containsNumber="1" containsInteger="1" minValue="1" maxValue="2"/>
    </cacheField>
    <cacheField name="Question 16.1" numFmtId="0">
      <sharedItems containsBlank="1" containsMixedTypes="1" containsNumber="1" containsInteger="1" minValue="1" maxValue="7"/>
    </cacheField>
    <cacheField name="Question 16.2" numFmtId="0">
      <sharedItems containsBlank="1" containsMixedTypes="1" containsNumber="1" containsInteger="1" minValue="1" maxValue="7"/>
    </cacheField>
    <cacheField name="Question 16.3" numFmtId="0">
      <sharedItems containsBlank="1" containsMixedTypes="1" containsNumber="1" containsInteger="1" minValue="1" maxValue="7"/>
    </cacheField>
    <cacheField name="Question 17" numFmtId="0">
      <sharedItems containsBlank="1" containsMixedTypes="1" containsNumber="1" containsInteger="1" minValue="1" maxValue="8"/>
    </cacheField>
    <cacheField name="Question 18" numFmtId="0">
      <sharedItems containsBlank="1" containsMixedTypes="1" containsNumber="1" containsInteger="1" minValue="1" maxValue="4"/>
    </cacheField>
    <cacheField name="Question 19" numFmtId="0">
      <sharedItems containsBlank="1" containsMixedTypes="1" containsNumber="1" containsInteger="1" minValue="1" maxValue="8"/>
    </cacheField>
    <cacheField name="Question 20.1" numFmtId="0">
      <sharedItems containsBlank="1" containsMixedTypes="1" containsNumber="1" containsInteger="1" minValue="1" maxValue="8"/>
    </cacheField>
    <cacheField name="Question 20.2" numFmtId="0">
      <sharedItems containsBlank="1" containsMixedTypes="1" containsNumber="1" containsInteger="1" minValue="1" maxValue="8"/>
    </cacheField>
    <cacheField name="Question 20.3" numFmtId="0">
      <sharedItems containsBlank="1" containsMixedTypes="1" containsNumber="1" containsInteger="1" minValue="1" maxValue="8"/>
    </cacheField>
    <cacheField name="Question 21" numFmtId="0">
      <sharedItems containsBlank="1" containsMixedTypes="1" containsNumber="1" containsInteger="1" minValue="1" maxValue="4"/>
    </cacheField>
    <cacheField name="Question 21A" numFmtId="0">
      <sharedItems containsBlank="1" containsMixedTypes="1" containsNumber="1" containsInteger="1" minValue="1" maxValue="4"/>
    </cacheField>
    <cacheField name="Question 21Peu" numFmtId="0">
      <sharedItems containsBlank="1"/>
    </cacheField>
    <cacheField name="Question 21Pas" numFmtId="0">
      <sharedItems containsBlank="1"/>
    </cacheField>
    <cacheField name="Question 22.1" numFmtId="0">
      <sharedItems containsBlank="1" containsMixedTypes="1" containsNumber="1" containsInteger="1" minValue="1" maxValue="2"/>
    </cacheField>
    <cacheField name="Question 22.2" numFmtId="0">
      <sharedItems containsBlank="1" containsMixedTypes="1" containsNumber="1" containsInteger="1" minValue="1" maxValue="2"/>
    </cacheField>
    <cacheField name="Question 22.3" numFmtId="0">
      <sharedItems containsBlank="1" containsMixedTypes="1" containsNumber="1" containsInteger="1" minValue="1" maxValue="2"/>
    </cacheField>
    <cacheField name="Question 22.4" numFmtId="0">
      <sharedItems containsBlank="1" containsMixedTypes="1" containsNumber="1" containsInteger="1" minValue="1" maxValue="2"/>
    </cacheField>
    <cacheField name="Question 22.5" numFmtId="0">
      <sharedItems containsBlank="1" containsMixedTypes="1" containsNumber="1" containsInteger="1" minValue="1" maxValue="2"/>
    </cacheField>
    <cacheField name="Question 22.6" numFmtId="0">
      <sharedItems containsBlank="1" containsMixedTypes="1" containsNumber="1" containsInteger="1" minValue="1" maxValue="2"/>
    </cacheField>
    <cacheField name="Question 23" numFmtId="0">
      <sharedItems containsBlank="1" containsMixedTypes="1" containsNumber="1" containsInteger="1" minValue="1" maxValue="2"/>
    </cacheField>
    <cacheField name="Question 24" numFmtId="0">
      <sharedItems containsBlank="1" containsMixedTypes="1" containsNumber="1" containsInteger="1" minValue="1" maxValue="2"/>
    </cacheField>
    <cacheField name="Question 25" numFmtId="0">
      <sharedItems containsBlank="1" containsMixedTypes="1" containsNumber="1" containsInteger="1" minValue="1" maxValue="4"/>
    </cacheField>
    <cacheField name="Question 25A" numFmtId="0">
      <sharedItems containsBlank="1" containsMixedTypes="1" containsNumber="1" containsInteger="1" minValue="1" maxValue="98"/>
    </cacheField>
    <cacheField name="Question 25Autre" numFmtId="0">
      <sharedItems containsBlank="1"/>
    </cacheField>
    <cacheField name="Question 26" numFmtId="0">
      <sharedItems containsBlank="1" containsMixedTypes="1" containsNumber="1" containsInteger="1" minValue="1" maxValue="2"/>
    </cacheField>
    <cacheField name="Question 26A" numFmtId="0">
      <sharedItems containsBlank="1" containsMixedTypes="1" containsNumber="1" containsInteger="1" minValue="1" maxValue="4"/>
    </cacheField>
    <cacheField name="Question 26B" numFmtId="0">
      <sharedItems containsBlank="1" containsMixedTypes="1" containsNumber="1" containsInteger="1" minValue="1" maxValue="98"/>
    </cacheField>
    <cacheField name="Question 26Autre" numFmtId="0">
      <sharedItems containsBlank="1"/>
    </cacheField>
    <cacheField name="Question 27" numFmtId="0">
      <sharedItems containsBlank="1" containsMixedTypes="1" containsNumber="1" containsInteger="1" minValue="1" maxValue="8"/>
    </cacheField>
    <cacheField name="Question 28" numFmtId="0">
      <sharedItems containsBlank="1" containsMixedTypes="1" containsNumber="1" containsInteger="1" minValue="1" maxValue="4"/>
    </cacheField>
    <cacheField name="Question 29" numFmtId="0">
      <sharedItems containsBlank="1" containsMixedTypes="1" containsNumber="1" containsInteger="1" minValue="1" maxValue="5"/>
    </cacheField>
    <cacheField name="Question 30" numFmtId="0">
      <sharedItems containsBlank="1" containsMixedTypes="1" containsNumber="1" containsInteger="1" minValue="1" maxValue="2" count="4">
        <s v="Êtes-vous :"/>
        <n v="1"/>
        <n v="2"/>
        <m/>
      </sharedItems>
    </cacheField>
    <cacheField name="Question 31" numFmtId="0">
      <sharedItems containsBlank="1" containsMixedTypes="1" containsNumber="1" containsInteger="1" minValue="1946" maxValue="1994"/>
    </cacheField>
    <cacheField name="Question 32" numFmtId="0">
      <sharedItems containsBlank="1" containsMixedTypes="1" containsNumber="1" containsInteger="1" minValue="1" maxValue="3"/>
    </cacheField>
    <cacheField name="Question 32 Autre" numFmtId="0">
      <sharedItems containsBlank="1"/>
    </cacheField>
    <cacheField name="Question 33" numFmtId="0">
      <sharedItems containsBlank="1" containsMixedTypes="1" containsNumber="1" containsInteger="1" minValue="1" maxValue="7"/>
    </cacheField>
    <cacheField name="Question 33 Autre" numFmtId="0">
      <sharedItems containsBlank="1"/>
    </cacheField>
    <cacheField name="Question 34" numFmtId="0">
      <sharedItems containsBlank="1" containsMixedTypes="1" containsNumber="1" containsInteger="1" minValue="1" maxValue="6"/>
    </cacheField>
    <cacheField name="Question 34 Autre" numFmtId="0">
      <sharedItems containsBlank="1"/>
    </cacheField>
    <cacheField name="Question 35" numFmtId="0">
      <sharedItems containsBlank="1" containsMixedTypes="1" containsNumber="1" containsInteger="1" minValue="1" maxValue="4"/>
    </cacheField>
    <cacheField name="Question 35 Autre" numFmtId="0">
      <sharedItems containsBlank="1"/>
    </cacheField>
    <cacheField name="Question 36" numFmtId="0">
      <sharedItems containsBlank="1" containsMixedTypes="1" containsNumber="1" containsInteger="1" minValue="1" maxValue="4"/>
    </cacheField>
    <cacheField name="Répondant" numFmtId="0">
      <sharedItems containsString="0" containsBlank="1" containsNumber="1" containsInteger="1" minValue="1" maxValue="1"/>
    </cacheField>
    <cacheField name="Calcul de l'âge" numFmtId="0">
      <sharedItems containsString="0" containsBlank="1" containsNumber="1" containsInteger="1" minValue="19" maxValue="2013"/>
    </cacheField>
    <cacheField name="L'âge regrouper" numFmtId="0">
      <sharedItems containsString="0" containsBlank="1" containsNumber="1" containsInteger="1" minValue="1" maxValue="4" count="5">
        <m/>
        <n v="1"/>
        <n v="2"/>
        <n v="3"/>
        <n v="4"/>
      </sharedItems>
    </cacheField>
    <cacheField name="Calcul vivre seul (MS)" numFmtId="0">
      <sharedItems containsString="0" containsBlank="1" containsNumber="1" containsInteger="1" minValue="1" maxValue="3"/>
    </cacheField>
    <cacheField name="Calcul ménage (M)" numFmtId="0">
      <sharedItems containsString="0" containsBlank="1" containsNumber="1" containsInteger="1" minValue="1" maxValue="5"/>
    </cacheField>
    <cacheField name="Calcul enfant (ME)" numFmtId="0">
      <sharedItems containsString="0" containsBlank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5.xml><?xml version="1.0" encoding="utf-8"?>
<pivotCacheDefinition xmlns="http://schemas.openxmlformats.org/spreadsheetml/2006/main" xmlns:r="http://schemas.openxmlformats.org/officeDocument/2006/relationships" r:id="rId1" refreshedBy="Tesmel01" refreshedDate="41416.545165046293" createdVersion="3" refreshedVersion="3" minRefreshableVersion="3" recordCount="632">
  <cacheSource type="worksheet">
    <worksheetSource ref="AR1:CQ1048576" sheet="Grille de saisie"/>
  </cacheSource>
  <cacheFields count="52">
    <cacheField name="Question 14.7" numFmtId="0">
      <sharedItems containsBlank="1" containsMixedTypes="1" containsNumber="1" containsInteger="1" minValue="1" maxValue="2" count="4">
        <s v="Veuillez répondre à chacun des énoncés suivants. Spécialement par mesure de protection, j'ai suivi un cours d'autodéfense. "/>
        <n v="1"/>
        <n v="2"/>
        <m/>
      </sharedItems>
    </cacheField>
    <cacheField name="Question 14.8" numFmtId="0">
      <sharedItems containsBlank="1" containsMixedTypes="1" containsNumber="1" containsInteger="1" minValue="1" maxValue="2"/>
    </cacheField>
    <cacheField name="Question 15" numFmtId="0">
      <sharedItems containsBlank="1" containsMixedTypes="1" containsNumber="1" containsInteger="1" minValue="1" maxValue="2"/>
    </cacheField>
    <cacheField name="Question 15A" numFmtId="0">
      <sharedItems containsBlank="1" containsMixedTypes="1" containsNumber="1" containsInteger="1" minValue="1" maxValue="2"/>
    </cacheField>
    <cacheField name="Question 16.1" numFmtId="0">
      <sharedItems containsBlank="1" containsMixedTypes="1" containsNumber="1" containsInteger="1" minValue="1" maxValue="7"/>
    </cacheField>
    <cacheField name="Question 16.2" numFmtId="0">
      <sharedItems containsBlank="1" containsMixedTypes="1" containsNumber="1" containsInteger="1" minValue="1" maxValue="7"/>
    </cacheField>
    <cacheField name="Question 16.3" numFmtId="0">
      <sharedItems containsBlank="1" containsMixedTypes="1" containsNumber="1" containsInteger="1" minValue="1" maxValue="7"/>
    </cacheField>
    <cacheField name="Question 17" numFmtId="0">
      <sharedItems containsBlank="1" containsMixedTypes="1" containsNumber="1" containsInteger="1" minValue="1" maxValue="8"/>
    </cacheField>
    <cacheField name="Question 18" numFmtId="0">
      <sharedItems containsBlank="1" containsMixedTypes="1" containsNumber="1" containsInteger="1" minValue="1" maxValue="4"/>
    </cacheField>
    <cacheField name="Question 19" numFmtId="0">
      <sharedItems containsBlank="1" containsMixedTypes="1" containsNumber="1" containsInteger="1" minValue="1" maxValue="8"/>
    </cacheField>
    <cacheField name="Question 20.1" numFmtId="0">
      <sharedItems containsBlank="1" containsMixedTypes="1" containsNumber="1" containsInteger="1" minValue="1" maxValue="8"/>
    </cacheField>
    <cacheField name="Question 20.2" numFmtId="0">
      <sharedItems containsBlank="1" containsMixedTypes="1" containsNumber="1" containsInteger="1" minValue="1" maxValue="8"/>
    </cacheField>
    <cacheField name="Question 20.3" numFmtId="0">
      <sharedItems containsBlank="1" containsMixedTypes="1" containsNumber="1" containsInteger="1" minValue="1" maxValue="8"/>
    </cacheField>
    <cacheField name="Question 21" numFmtId="0">
      <sharedItems containsBlank="1" containsMixedTypes="1" containsNumber="1" containsInteger="1" minValue="1" maxValue="4"/>
    </cacheField>
    <cacheField name="Question 21A" numFmtId="0">
      <sharedItems containsBlank="1" containsMixedTypes="1" containsNumber="1" containsInteger="1" minValue="1" maxValue="4"/>
    </cacheField>
    <cacheField name="Question 21Peu" numFmtId="0">
      <sharedItems containsBlank="1"/>
    </cacheField>
    <cacheField name="Question 21Pas" numFmtId="0">
      <sharedItems containsBlank="1"/>
    </cacheField>
    <cacheField name="Question 22.1" numFmtId="0">
      <sharedItems containsBlank="1" containsMixedTypes="1" containsNumber="1" containsInteger="1" minValue="1" maxValue="2"/>
    </cacheField>
    <cacheField name="Question 22.2" numFmtId="0">
      <sharedItems containsBlank="1" containsMixedTypes="1" containsNumber="1" containsInteger="1" minValue="1" maxValue="2"/>
    </cacheField>
    <cacheField name="Question 22.3" numFmtId="0">
      <sharedItems containsBlank="1" containsMixedTypes="1" containsNumber="1" containsInteger="1" minValue="1" maxValue="2"/>
    </cacheField>
    <cacheField name="Question 22.4" numFmtId="0">
      <sharedItems containsBlank="1" containsMixedTypes="1" containsNumber="1" containsInteger="1" minValue="1" maxValue="2"/>
    </cacheField>
    <cacheField name="Question 22.5" numFmtId="0">
      <sharedItems containsBlank="1" containsMixedTypes="1" containsNumber="1" containsInteger="1" minValue="1" maxValue="2"/>
    </cacheField>
    <cacheField name="Question 22.6" numFmtId="0">
      <sharedItems containsBlank="1" containsMixedTypes="1" containsNumber="1" containsInteger="1" minValue="1" maxValue="2"/>
    </cacheField>
    <cacheField name="Question 23" numFmtId="0">
      <sharedItems containsBlank="1" containsMixedTypes="1" containsNumber="1" containsInteger="1" minValue="1" maxValue="2"/>
    </cacheField>
    <cacheField name="Question 24" numFmtId="0">
      <sharedItems containsBlank="1" containsMixedTypes="1" containsNumber="1" containsInteger="1" minValue="1" maxValue="2"/>
    </cacheField>
    <cacheField name="Question 25" numFmtId="0">
      <sharedItems containsBlank="1" containsMixedTypes="1" containsNumber="1" containsInteger="1" minValue="1" maxValue="4"/>
    </cacheField>
    <cacheField name="Question 25A" numFmtId="0">
      <sharedItems containsBlank="1" containsMixedTypes="1" containsNumber="1" containsInteger="1" minValue="1" maxValue="98"/>
    </cacheField>
    <cacheField name="Question 25Autre" numFmtId="0">
      <sharedItems containsBlank="1"/>
    </cacheField>
    <cacheField name="Question 26" numFmtId="0">
      <sharedItems containsBlank="1" containsMixedTypes="1" containsNumber="1" containsInteger="1" minValue="1" maxValue="2"/>
    </cacheField>
    <cacheField name="Question 26A" numFmtId="0">
      <sharedItems containsBlank="1" containsMixedTypes="1" containsNumber="1" containsInteger="1" minValue="1" maxValue="4"/>
    </cacheField>
    <cacheField name="Question 26B" numFmtId="0">
      <sharedItems containsBlank="1" containsMixedTypes="1" containsNumber="1" containsInteger="1" minValue="1" maxValue="98"/>
    </cacheField>
    <cacheField name="Question 26Autre" numFmtId="0">
      <sharedItems containsBlank="1"/>
    </cacheField>
    <cacheField name="Question 27" numFmtId="0">
      <sharedItems containsBlank="1" containsMixedTypes="1" containsNumber="1" containsInteger="1" minValue="1" maxValue="8"/>
    </cacheField>
    <cacheField name="Question 28" numFmtId="0">
      <sharedItems containsBlank="1" containsMixedTypes="1" containsNumber="1" containsInteger="1" minValue="1" maxValue="4"/>
    </cacheField>
    <cacheField name="Question 29" numFmtId="0">
      <sharedItems containsBlank="1" containsMixedTypes="1" containsNumber="1" containsInteger="1" minValue="1" maxValue="5"/>
    </cacheField>
    <cacheField name="Question 30" numFmtId="0">
      <sharedItems containsBlank="1" containsMixedTypes="1" containsNumber="1" containsInteger="1" minValue="1" maxValue="2" count="4">
        <s v="Êtes-vous :"/>
        <n v="1"/>
        <n v="2"/>
        <m/>
      </sharedItems>
    </cacheField>
    <cacheField name="Question 31" numFmtId="0">
      <sharedItems containsBlank="1" containsMixedTypes="1" containsNumber="1" containsInteger="1" minValue="1946" maxValue="1994"/>
    </cacheField>
    <cacheField name="Question 32" numFmtId="0">
      <sharedItems containsBlank="1" containsMixedTypes="1" containsNumber="1" containsInteger="1" minValue="1" maxValue="3"/>
    </cacheField>
    <cacheField name="Question 32 Autre" numFmtId="0">
      <sharedItems containsBlank="1"/>
    </cacheField>
    <cacheField name="Question 33" numFmtId="0">
      <sharedItems containsBlank="1" containsMixedTypes="1" containsNumber="1" containsInteger="1" minValue="1" maxValue="7"/>
    </cacheField>
    <cacheField name="Question 33 Autre" numFmtId="0">
      <sharedItems containsBlank="1"/>
    </cacheField>
    <cacheField name="Question 34" numFmtId="0">
      <sharedItems containsBlank="1" containsMixedTypes="1" containsNumber="1" containsInteger="1" minValue="1" maxValue="6"/>
    </cacheField>
    <cacheField name="Question 34 Autre" numFmtId="0">
      <sharedItems containsBlank="1"/>
    </cacheField>
    <cacheField name="Question 35" numFmtId="0">
      <sharedItems containsBlank="1" containsMixedTypes="1" containsNumber="1" containsInteger="1" minValue="1" maxValue="4"/>
    </cacheField>
    <cacheField name="Question 35 Autre" numFmtId="0">
      <sharedItems containsBlank="1"/>
    </cacheField>
    <cacheField name="Question 36" numFmtId="0">
      <sharedItems containsBlank="1" containsMixedTypes="1" containsNumber="1" containsInteger="1" minValue="1" maxValue="4"/>
    </cacheField>
    <cacheField name="Répondant" numFmtId="0">
      <sharedItems containsString="0" containsBlank="1" containsNumber="1" containsInteger="1" minValue="1" maxValue="1"/>
    </cacheField>
    <cacheField name="Calcul de l'âge" numFmtId="0">
      <sharedItems containsString="0" containsBlank="1" containsNumber="1" containsInteger="1" minValue="19" maxValue="2013"/>
    </cacheField>
    <cacheField name="L'âge regrouper" numFmtId="0">
      <sharedItems containsString="0" containsBlank="1" containsNumber="1" containsInteger="1" minValue="1" maxValue="4" count="5">
        <m/>
        <n v="1"/>
        <n v="2"/>
        <n v="3"/>
        <n v="4"/>
      </sharedItems>
    </cacheField>
    <cacheField name="Calcul vivre seul (MS)" numFmtId="0">
      <sharedItems containsString="0" containsBlank="1" containsNumber="1" containsInteger="1" minValue="1" maxValue="3"/>
    </cacheField>
    <cacheField name="Calcul ménage (M)" numFmtId="0">
      <sharedItems containsString="0" containsBlank="1" containsNumber="1" containsInteger="1" minValue="1" maxValue="5"/>
    </cacheField>
    <cacheField name="Calcul enfant (ME)" numFmtId="0">
      <sharedItems containsString="0" containsBlank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6.xml><?xml version="1.0" encoding="utf-8"?>
<pivotCacheDefinition xmlns="http://schemas.openxmlformats.org/spreadsheetml/2006/main" xmlns:r="http://schemas.openxmlformats.org/officeDocument/2006/relationships" r:id="rId1" refreshedBy="Tesmel01" refreshedDate="41416.545165625001" createdVersion="3" refreshedVersion="3" minRefreshableVersion="3" recordCount="632">
  <cacheSource type="worksheet">
    <worksheetSource ref="AS1:CQ1048576" sheet="Grille de saisie"/>
  </cacheSource>
  <cacheFields count="51">
    <cacheField name="Question 14.8" numFmtId="0">
      <sharedItems containsBlank="1" containsMixedTypes="1" containsNumber="1" containsInteger="1" minValue="1" maxValue="2" count="4">
        <s v="Veuillez répondre à chacun des énoncés suivants. Spécialement par mesure de protection, il y a une arme à feu à mon domicile. "/>
        <n v="2"/>
        <n v="1"/>
        <m/>
      </sharedItems>
    </cacheField>
    <cacheField name="Question 15" numFmtId="0">
      <sharedItems containsBlank="1" containsMixedTypes="1" containsNumber="1" containsInteger="1" minValue="1" maxValue="2"/>
    </cacheField>
    <cacheField name="Question 15A" numFmtId="0">
      <sharedItems containsBlank="1" containsMixedTypes="1" containsNumber="1" containsInteger="1" minValue="1" maxValue="2"/>
    </cacheField>
    <cacheField name="Question 16.1" numFmtId="0">
      <sharedItems containsBlank="1" containsMixedTypes="1" containsNumber="1" containsInteger="1" minValue="1" maxValue="7"/>
    </cacheField>
    <cacheField name="Question 16.2" numFmtId="0">
      <sharedItems containsBlank="1" containsMixedTypes="1" containsNumber="1" containsInteger="1" minValue="1" maxValue="7"/>
    </cacheField>
    <cacheField name="Question 16.3" numFmtId="0">
      <sharedItems containsBlank="1" containsMixedTypes="1" containsNumber="1" containsInteger="1" minValue="1" maxValue="7"/>
    </cacheField>
    <cacheField name="Question 17" numFmtId="0">
      <sharedItems containsBlank="1" containsMixedTypes="1" containsNumber="1" containsInteger="1" minValue="1" maxValue="8"/>
    </cacheField>
    <cacheField name="Question 18" numFmtId="0">
      <sharedItems containsBlank="1" containsMixedTypes="1" containsNumber="1" containsInteger="1" minValue="1" maxValue="4"/>
    </cacheField>
    <cacheField name="Question 19" numFmtId="0">
      <sharedItems containsBlank="1" containsMixedTypes="1" containsNumber="1" containsInteger="1" minValue="1" maxValue="8"/>
    </cacheField>
    <cacheField name="Question 20.1" numFmtId="0">
      <sharedItems containsBlank="1" containsMixedTypes="1" containsNumber="1" containsInteger="1" minValue="1" maxValue="8"/>
    </cacheField>
    <cacheField name="Question 20.2" numFmtId="0">
      <sharedItems containsBlank="1" containsMixedTypes="1" containsNumber="1" containsInteger="1" minValue="1" maxValue="8"/>
    </cacheField>
    <cacheField name="Question 20.3" numFmtId="0">
      <sharedItems containsBlank="1" containsMixedTypes="1" containsNumber="1" containsInteger="1" minValue="1" maxValue="8"/>
    </cacheField>
    <cacheField name="Question 21" numFmtId="0">
      <sharedItems containsBlank="1" containsMixedTypes="1" containsNumber="1" containsInteger="1" minValue="1" maxValue="4"/>
    </cacheField>
    <cacheField name="Question 21A" numFmtId="0">
      <sharedItems containsBlank="1" containsMixedTypes="1" containsNumber="1" containsInteger="1" minValue="1" maxValue="4"/>
    </cacheField>
    <cacheField name="Question 21Peu" numFmtId="0">
      <sharedItems containsBlank="1"/>
    </cacheField>
    <cacheField name="Question 21Pas" numFmtId="0">
      <sharedItems containsBlank="1"/>
    </cacheField>
    <cacheField name="Question 22.1" numFmtId="0">
      <sharedItems containsBlank="1" containsMixedTypes="1" containsNumber="1" containsInteger="1" minValue="1" maxValue="2"/>
    </cacheField>
    <cacheField name="Question 22.2" numFmtId="0">
      <sharedItems containsBlank="1" containsMixedTypes="1" containsNumber="1" containsInteger="1" minValue="1" maxValue="2"/>
    </cacheField>
    <cacheField name="Question 22.3" numFmtId="0">
      <sharedItems containsBlank="1" containsMixedTypes="1" containsNumber="1" containsInteger="1" minValue="1" maxValue="2"/>
    </cacheField>
    <cacheField name="Question 22.4" numFmtId="0">
      <sharedItems containsBlank="1" containsMixedTypes="1" containsNumber="1" containsInteger="1" minValue="1" maxValue="2"/>
    </cacheField>
    <cacheField name="Question 22.5" numFmtId="0">
      <sharedItems containsBlank="1" containsMixedTypes="1" containsNumber="1" containsInteger="1" minValue="1" maxValue="2"/>
    </cacheField>
    <cacheField name="Question 22.6" numFmtId="0">
      <sharedItems containsBlank="1" containsMixedTypes="1" containsNumber="1" containsInteger="1" minValue="1" maxValue="2"/>
    </cacheField>
    <cacheField name="Question 23" numFmtId="0">
      <sharedItems containsBlank="1" containsMixedTypes="1" containsNumber="1" containsInteger="1" minValue="1" maxValue="2"/>
    </cacheField>
    <cacheField name="Question 24" numFmtId="0">
      <sharedItems containsBlank="1" containsMixedTypes="1" containsNumber="1" containsInteger="1" minValue="1" maxValue="2"/>
    </cacheField>
    <cacheField name="Question 25" numFmtId="0">
      <sharedItems containsBlank="1" containsMixedTypes="1" containsNumber="1" containsInteger="1" minValue="1" maxValue="4"/>
    </cacheField>
    <cacheField name="Question 25A" numFmtId="0">
      <sharedItems containsBlank="1" containsMixedTypes="1" containsNumber="1" containsInteger="1" minValue="1" maxValue="98"/>
    </cacheField>
    <cacheField name="Question 25Autre" numFmtId="0">
      <sharedItems containsBlank="1"/>
    </cacheField>
    <cacheField name="Question 26" numFmtId="0">
      <sharedItems containsBlank="1" containsMixedTypes="1" containsNumber="1" containsInteger="1" minValue="1" maxValue="2"/>
    </cacheField>
    <cacheField name="Question 26A" numFmtId="0">
      <sharedItems containsBlank="1" containsMixedTypes="1" containsNumber="1" containsInteger="1" minValue="1" maxValue="4"/>
    </cacheField>
    <cacheField name="Question 26B" numFmtId="0">
      <sharedItems containsBlank="1" containsMixedTypes="1" containsNumber="1" containsInteger="1" minValue="1" maxValue="98"/>
    </cacheField>
    <cacheField name="Question 26Autre" numFmtId="0">
      <sharedItems containsBlank="1"/>
    </cacheField>
    <cacheField name="Question 27" numFmtId="0">
      <sharedItems containsBlank="1" containsMixedTypes="1" containsNumber="1" containsInteger="1" minValue="1" maxValue="8"/>
    </cacheField>
    <cacheField name="Question 28" numFmtId="0">
      <sharedItems containsBlank="1" containsMixedTypes="1" containsNumber="1" containsInteger="1" minValue="1" maxValue="4"/>
    </cacheField>
    <cacheField name="Question 29" numFmtId="0">
      <sharedItems containsBlank="1" containsMixedTypes="1" containsNumber="1" containsInteger="1" minValue="1" maxValue="5"/>
    </cacheField>
    <cacheField name="Question 30" numFmtId="0">
      <sharedItems containsBlank="1" containsMixedTypes="1" containsNumber="1" containsInteger="1" minValue="1" maxValue="2" count="4">
        <s v="Êtes-vous :"/>
        <n v="1"/>
        <n v="2"/>
        <m/>
      </sharedItems>
    </cacheField>
    <cacheField name="Question 31" numFmtId="0">
      <sharedItems containsBlank="1" containsMixedTypes="1" containsNumber="1" containsInteger="1" minValue="1946" maxValue="1994"/>
    </cacheField>
    <cacheField name="Question 32" numFmtId="0">
      <sharedItems containsBlank="1" containsMixedTypes="1" containsNumber="1" containsInteger="1" minValue="1" maxValue="3"/>
    </cacheField>
    <cacheField name="Question 32 Autre" numFmtId="0">
      <sharedItems containsBlank="1"/>
    </cacheField>
    <cacheField name="Question 33" numFmtId="0">
      <sharedItems containsBlank="1" containsMixedTypes="1" containsNumber="1" containsInteger="1" minValue="1" maxValue="7"/>
    </cacheField>
    <cacheField name="Question 33 Autre" numFmtId="0">
      <sharedItems containsBlank="1"/>
    </cacheField>
    <cacheField name="Question 34" numFmtId="0">
      <sharedItems containsBlank="1" containsMixedTypes="1" containsNumber="1" containsInteger="1" minValue="1" maxValue="6"/>
    </cacheField>
    <cacheField name="Question 34 Autre" numFmtId="0">
      <sharedItems containsBlank="1"/>
    </cacheField>
    <cacheField name="Question 35" numFmtId="0">
      <sharedItems containsBlank="1" containsMixedTypes="1" containsNumber="1" containsInteger="1" minValue="1" maxValue="4"/>
    </cacheField>
    <cacheField name="Question 35 Autre" numFmtId="0">
      <sharedItems containsBlank="1"/>
    </cacheField>
    <cacheField name="Question 36" numFmtId="0">
      <sharedItems containsBlank="1" containsMixedTypes="1" containsNumber="1" containsInteger="1" minValue="1" maxValue="4"/>
    </cacheField>
    <cacheField name="Répondant" numFmtId="0">
      <sharedItems containsString="0" containsBlank="1" containsNumber="1" containsInteger="1" minValue="1" maxValue="1"/>
    </cacheField>
    <cacheField name="Calcul de l'âge" numFmtId="0">
      <sharedItems containsString="0" containsBlank="1" containsNumber="1" containsInteger="1" minValue="19" maxValue="2013"/>
    </cacheField>
    <cacheField name="L'âge regrouper" numFmtId="0">
      <sharedItems containsString="0" containsBlank="1" containsNumber="1" containsInteger="1" minValue="1" maxValue="4" count="5">
        <m/>
        <n v="1"/>
        <n v="2"/>
        <n v="3"/>
        <n v="4"/>
      </sharedItems>
    </cacheField>
    <cacheField name="Calcul vivre seul (MS)" numFmtId="0">
      <sharedItems containsString="0" containsBlank="1" containsNumber="1" containsInteger="1" minValue="1" maxValue="3"/>
    </cacheField>
    <cacheField name="Calcul ménage (M)" numFmtId="0">
      <sharedItems containsString="0" containsBlank="1" containsNumber="1" containsInteger="1" minValue="1" maxValue="5"/>
    </cacheField>
    <cacheField name="Calcul enfant (ME)" numFmtId="0">
      <sharedItems containsString="0" containsBlank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7.xml><?xml version="1.0" encoding="utf-8"?>
<pivotCacheDefinition xmlns="http://schemas.openxmlformats.org/spreadsheetml/2006/main" xmlns:r="http://schemas.openxmlformats.org/officeDocument/2006/relationships" r:id="rId1" refreshedBy="Tesmel01" refreshedDate="41416.545166203701" createdVersion="3" refreshedVersion="3" minRefreshableVersion="3" recordCount="632">
  <cacheSource type="worksheet">
    <worksheetSource ref="AT1:CQ1048576" sheet="Grille de saisie"/>
  </cacheSource>
  <cacheFields count="50">
    <cacheField name="Question 15" numFmtId="0">
      <sharedItems containsBlank="1" containsMixedTypes="1" containsNumber="1" containsInteger="1" minValue="1" maxValue="2" count="4">
        <s v="Est-ce qu'il y a à votre domicile au moins un détecteur de fumée fonctionnel par étage ? "/>
        <n v="2"/>
        <n v="1"/>
        <m/>
      </sharedItems>
    </cacheField>
    <cacheField name="Question 15A" numFmtId="0">
      <sharedItems containsBlank="1" containsMixedTypes="1" containsNumber="1" containsInteger="1" minValue="1" maxValue="2"/>
    </cacheField>
    <cacheField name="Question 16.1" numFmtId="0">
      <sharedItems containsBlank="1" containsMixedTypes="1" containsNumber="1" containsInteger="1" minValue="1" maxValue="7"/>
    </cacheField>
    <cacheField name="Question 16.2" numFmtId="0">
      <sharedItems containsBlank="1" containsMixedTypes="1" containsNumber="1" containsInteger="1" minValue="1" maxValue="7"/>
    </cacheField>
    <cacheField name="Question 16.3" numFmtId="0">
      <sharedItems containsBlank="1" containsMixedTypes="1" containsNumber="1" containsInteger="1" minValue="1" maxValue="7"/>
    </cacheField>
    <cacheField name="Question 17" numFmtId="0">
      <sharedItems containsBlank="1" containsMixedTypes="1" containsNumber="1" containsInteger="1" minValue="1" maxValue="8"/>
    </cacheField>
    <cacheField name="Question 18" numFmtId="0">
      <sharedItems containsBlank="1" containsMixedTypes="1" containsNumber="1" containsInteger="1" minValue="1" maxValue="4"/>
    </cacheField>
    <cacheField name="Question 19" numFmtId="0">
      <sharedItems containsBlank="1" containsMixedTypes="1" containsNumber="1" containsInteger="1" minValue="1" maxValue="8"/>
    </cacheField>
    <cacheField name="Question 20.1" numFmtId="0">
      <sharedItems containsBlank="1" containsMixedTypes="1" containsNumber="1" containsInteger="1" minValue="1" maxValue="8"/>
    </cacheField>
    <cacheField name="Question 20.2" numFmtId="0">
      <sharedItems containsBlank="1" containsMixedTypes="1" containsNumber="1" containsInteger="1" minValue="1" maxValue="8"/>
    </cacheField>
    <cacheField name="Question 20.3" numFmtId="0">
      <sharedItems containsBlank="1" containsMixedTypes="1" containsNumber="1" containsInteger="1" minValue="1" maxValue="8"/>
    </cacheField>
    <cacheField name="Question 21" numFmtId="0">
      <sharedItems containsBlank="1" containsMixedTypes="1" containsNumber="1" containsInteger="1" minValue="1" maxValue="4"/>
    </cacheField>
    <cacheField name="Question 21A" numFmtId="0">
      <sharedItems containsBlank="1" containsMixedTypes="1" containsNumber="1" containsInteger="1" minValue="1" maxValue="4"/>
    </cacheField>
    <cacheField name="Question 21Peu" numFmtId="0">
      <sharedItems containsBlank="1"/>
    </cacheField>
    <cacheField name="Question 21Pas" numFmtId="0">
      <sharedItems containsBlank="1"/>
    </cacheField>
    <cacheField name="Question 22.1" numFmtId="0">
      <sharedItems containsBlank="1" containsMixedTypes="1" containsNumber="1" containsInteger="1" minValue="1" maxValue="2"/>
    </cacheField>
    <cacheField name="Question 22.2" numFmtId="0">
      <sharedItems containsBlank="1" containsMixedTypes="1" containsNumber="1" containsInteger="1" minValue="1" maxValue="2"/>
    </cacheField>
    <cacheField name="Question 22.3" numFmtId="0">
      <sharedItems containsBlank="1" containsMixedTypes="1" containsNumber="1" containsInteger="1" minValue="1" maxValue="2"/>
    </cacheField>
    <cacheField name="Question 22.4" numFmtId="0">
      <sharedItems containsBlank="1" containsMixedTypes="1" containsNumber="1" containsInteger="1" minValue="1" maxValue="2"/>
    </cacheField>
    <cacheField name="Question 22.5" numFmtId="0">
      <sharedItems containsBlank="1" containsMixedTypes="1" containsNumber="1" containsInteger="1" minValue="1" maxValue="2"/>
    </cacheField>
    <cacheField name="Question 22.6" numFmtId="0">
      <sharedItems containsBlank="1" containsMixedTypes="1" containsNumber="1" containsInteger="1" minValue="1" maxValue="2"/>
    </cacheField>
    <cacheField name="Question 23" numFmtId="0">
      <sharedItems containsBlank="1" containsMixedTypes="1" containsNumber="1" containsInteger="1" minValue="1" maxValue="2"/>
    </cacheField>
    <cacheField name="Question 24" numFmtId="0">
      <sharedItems containsBlank="1" containsMixedTypes="1" containsNumber="1" containsInteger="1" minValue="1" maxValue="2"/>
    </cacheField>
    <cacheField name="Question 25" numFmtId="0">
      <sharedItems containsBlank="1" containsMixedTypes="1" containsNumber="1" containsInteger="1" minValue="1" maxValue="4"/>
    </cacheField>
    <cacheField name="Question 25A" numFmtId="0">
      <sharedItems containsBlank="1" containsMixedTypes="1" containsNumber="1" containsInteger="1" minValue="1" maxValue="98"/>
    </cacheField>
    <cacheField name="Question 25Autre" numFmtId="0">
      <sharedItems containsBlank="1"/>
    </cacheField>
    <cacheField name="Question 26" numFmtId="0">
      <sharedItems containsBlank="1" containsMixedTypes="1" containsNumber="1" containsInteger="1" minValue="1" maxValue="2"/>
    </cacheField>
    <cacheField name="Question 26A" numFmtId="0">
      <sharedItems containsBlank="1" containsMixedTypes="1" containsNumber="1" containsInteger="1" minValue="1" maxValue="4"/>
    </cacheField>
    <cacheField name="Question 26B" numFmtId="0">
      <sharedItems containsBlank="1" containsMixedTypes="1" containsNumber="1" containsInteger="1" minValue="1" maxValue="98"/>
    </cacheField>
    <cacheField name="Question 26Autre" numFmtId="0">
      <sharedItems containsBlank="1"/>
    </cacheField>
    <cacheField name="Question 27" numFmtId="0">
      <sharedItems containsBlank="1" containsMixedTypes="1" containsNumber="1" containsInteger="1" minValue="1" maxValue="8"/>
    </cacheField>
    <cacheField name="Question 28" numFmtId="0">
      <sharedItems containsBlank="1" containsMixedTypes="1" containsNumber="1" containsInteger="1" minValue="1" maxValue="4"/>
    </cacheField>
    <cacheField name="Question 29" numFmtId="0">
      <sharedItems containsBlank="1" containsMixedTypes="1" containsNumber="1" containsInteger="1" minValue="1" maxValue="5"/>
    </cacheField>
    <cacheField name="Question 30" numFmtId="0">
      <sharedItems containsBlank="1" containsMixedTypes="1" containsNumber="1" containsInteger="1" minValue="1" maxValue="2" count="4">
        <s v="Êtes-vous :"/>
        <n v="1"/>
        <n v="2"/>
        <m/>
      </sharedItems>
    </cacheField>
    <cacheField name="Question 31" numFmtId="0">
      <sharedItems containsBlank="1" containsMixedTypes="1" containsNumber="1" containsInteger="1" minValue="1946" maxValue="1994"/>
    </cacheField>
    <cacheField name="Question 32" numFmtId="0">
      <sharedItems containsBlank="1" containsMixedTypes="1" containsNumber="1" containsInteger="1" minValue="1" maxValue="3"/>
    </cacheField>
    <cacheField name="Question 32 Autre" numFmtId="0">
      <sharedItems containsBlank="1"/>
    </cacheField>
    <cacheField name="Question 33" numFmtId="0">
      <sharedItems containsBlank="1" containsMixedTypes="1" containsNumber="1" containsInteger="1" minValue="1" maxValue="7"/>
    </cacheField>
    <cacheField name="Question 33 Autre" numFmtId="0">
      <sharedItems containsBlank="1"/>
    </cacheField>
    <cacheField name="Question 34" numFmtId="0">
      <sharedItems containsBlank="1" containsMixedTypes="1" containsNumber="1" containsInteger="1" minValue="1" maxValue="6"/>
    </cacheField>
    <cacheField name="Question 34 Autre" numFmtId="0">
      <sharedItems containsBlank="1"/>
    </cacheField>
    <cacheField name="Question 35" numFmtId="0">
      <sharedItems containsBlank="1" containsMixedTypes="1" containsNumber="1" containsInteger="1" minValue="1" maxValue="4"/>
    </cacheField>
    <cacheField name="Question 35 Autre" numFmtId="0">
      <sharedItems containsBlank="1"/>
    </cacheField>
    <cacheField name="Question 36" numFmtId="0">
      <sharedItems containsBlank="1" containsMixedTypes="1" containsNumber="1" containsInteger="1" minValue="1" maxValue="4"/>
    </cacheField>
    <cacheField name="Répondant" numFmtId="0">
      <sharedItems containsString="0" containsBlank="1" containsNumber="1" containsInteger="1" minValue="1" maxValue="1"/>
    </cacheField>
    <cacheField name="Calcul de l'âge" numFmtId="0">
      <sharedItems containsString="0" containsBlank="1" containsNumber="1" containsInteger="1" minValue="19" maxValue="2013"/>
    </cacheField>
    <cacheField name="L'âge regrouper" numFmtId="0">
      <sharedItems containsString="0" containsBlank="1" containsNumber="1" containsInteger="1" minValue="1" maxValue="4" count="5">
        <m/>
        <n v="1"/>
        <n v="2"/>
        <n v="3"/>
        <n v="4"/>
      </sharedItems>
    </cacheField>
    <cacheField name="Calcul vivre seul (MS)" numFmtId="0">
      <sharedItems containsString="0" containsBlank="1" containsNumber="1" containsInteger="1" minValue="1" maxValue="3"/>
    </cacheField>
    <cacheField name="Calcul ménage (M)" numFmtId="0">
      <sharedItems containsString="0" containsBlank="1" containsNumber="1" containsInteger="1" minValue="1" maxValue="5"/>
    </cacheField>
    <cacheField name="Calcul enfant (ME)" numFmtId="0">
      <sharedItems containsString="0" containsBlank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8.xml><?xml version="1.0" encoding="utf-8"?>
<pivotCacheDefinition xmlns="http://schemas.openxmlformats.org/spreadsheetml/2006/main" xmlns:r="http://schemas.openxmlformats.org/officeDocument/2006/relationships" r:id="rId1" refreshedBy="Tesmel01" refreshedDate="41416.545166666663" createdVersion="3" refreshedVersion="3" minRefreshableVersion="3" recordCount="632">
  <cacheSource type="worksheet">
    <worksheetSource ref="AU1:CQ1048576" sheet="Grille de saisie"/>
  </cacheSource>
  <cacheFields count="49">
    <cacheField name="Question 15A" numFmtId="0">
      <sharedItems containsBlank="1" containsMixedTypes="1" containsNumber="1" containsInteger="1" minValue="1" maxValue="2" count="4">
        <s v="Le bon fonctionnement de cet/ces appareil(s) a-t-il été vérifié, au cours des douze (12) derniers mois ?"/>
        <m/>
        <n v="1"/>
        <n v="2"/>
      </sharedItems>
    </cacheField>
    <cacheField name="Question 16.1" numFmtId="0">
      <sharedItems containsBlank="1" containsMixedTypes="1" containsNumber="1" containsInteger="1" minValue="1" maxValue="7"/>
    </cacheField>
    <cacheField name="Question 16.2" numFmtId="0">
      <sharedItems containsBlank="1" containsMixedTypes="1" containsNumber="1" containsInteger="1" minValue="1" maxValue="7"/>
    </cacheField>
    <cacheField name="Question 16.3" numFmtId="0">
      <sharedItems containsBlank="1" containsMixedTypes="1" containsNumber="1" containsInteger="1" minValue="1" maxValue="7"/>
    </cacheField>
    <cacheField name="Question 17" numFmtId="0">
      <sharedItems containsBlank="1" containsMixedTypes="1" containsNumber="1" containsInteger="1" minValue="1" maxValue="8"/>
    </cacheField>
    <cacheField name="Question 18" numFmtId="0">
      <sharedItems containsBlank="1" containsMixedTypes="1" containsNumber="1" containsInteger="1" minValue="1" maxValue="4"/>
    </cacheField>
    <cacheField name="Question 19" numFmtId="0">
      <sharedItems containsBlank="1" containsMixedTypes="1" containsNumber="1" containsInteger="1" minValue="1" maxValue="8"/>
    </cacheField>
    <cacheField name="Question 20.1" numFmtId="0">
      <sharedItems containsBlank="1" containsMixedTypes="1" containsNumber="1" containsInteger="1" minValue="1" maxValue="8"/>
    </cacheField>
    <cacheField name="Question 20.2" numFmtId="0">
      <sharedItems containsBlank="1" containsMixedTypes="1" containsNumber="1" containsInteger="1" minValue="1" maxValue="8"/>
    </cacheField>
    <cacheField name="Question 20.3" numFmtId="0">
      <sharedItems containsBlank="1" containsMixedTypes="1" containsNumber="1" containsInteger="1" minValue="1" maxValue="8"/>
    </cacheField>
    <cacheField name="Question 21" numFmtId="0">
      <sharedItems containsBlank="1" containsMixedTypes="1" containsNumber="1" containsInteger="1" minValue="1" maxValue="4"/>
    </cacheField>
    <cacheField name="Question 21A" numFmtId="0">
      <sharedItems containsBlank="1" containsMixedTypes="1" containsNumber="1" containsInteger="1" minValue="1" maxValue="4"/>
    </cacheField>
    <cacheField name="Question 21Peu" numFmtId="0">
      <sharedItems containsBlank="1"/>
    </cacheField>
    <cacheField name="Question 21Pas" numFmtId="0">
      <sharedItems containsBlank="1"/>
    </cacheField>
    <cacheField name="Question 22.1" numFmtId="0">
      <sharedItems containsBlank="1" containsMixedTypes="1" containsNumber="1" containsInteger="1" minValue="1" maxValue="2"/>
    </cacheField>
    <cacheField name="Question 22.2" numFmtId="0">
      <sharedItems containsBlank="1" containsMixedTypes="1" containsNumber="1" containsInteger="1" minValue="1" maxValue="2"/>
    </cacheField>
    <cacheField name="Question 22.3" numFmtId="0">
      <sharedItems containsBlank="1" containsMixedTypes="1" containsNumber="1" containsInteger="1" minValue="1" maxValue="2"/>
    </cacheField>
    <cacheField name="Question 22.4" numFmtId="0">
      <sharedItems containsBlank="1" containsMixedTypes="1" containsNumber="1" containsInteger="1" minValue="1" maxValue="2"/>
    </cacheField>
    <cacheField name="Question 22.5" numFmtId="0">
      <sharedItems containsBlank="1" containsMixedTypes="1" containsNumber="1" containsInteger="1" minValue="1" maxValue="2"/>
    </cacheField>
    <cacheField name="Question 22.6" numFmtId="0">
      <sharedItems containsBlank="1" containsMixedTypes="1" containsNumber="1" containsInteger="1" minValue="1" maxValue="2"/>
    </cacheField>
    <cacheField name="Question 23" numFmtId="0">
      <sharedItems containsBlank="1" containsMixedTypes="1" containsNumber="1" containsInteger="1" minValue="1" maxValue="2"/>
    </cacheField>
    <cacheField name="Question 24" numFmtId="0">
      <sharedItems containsBlank="1" containsMixedTypes="1" containsNumber="1" containsInteger="1" minValue="1" maxValue="2"/>
    </cacheField>
    <cacheField name="Question 25" numFmtId="0">
      <sharedItems containsBlank="1" containsMixedTypes="1" containsNumber="1" containsInteger="1" minValue="1" maxValue="4"/>
    </cacheField>
    <cacheField name="Question 25A" numFmtId="0">
      <sharedItems containsBlank="1" containsMixedTypes="1" containsNumber="1" containsInteger="1" minValue="1" maxValue="98"/>
    </cacheField>
    <cacheField name="Question 25Autre" numFmtId="0">
      <sharedItems containsBlank="1"/>
    </cacheField>
    <cacheField name="Question 26" numFmtId="0">
      <sharedItems containsBlank="1" containsMixedTypes="1" containsNumber="1" containsInteger="1" minValue="1" maxValue="2"/>
    </cacheField>
    <cacheField name="Question 26A" numFmtId="0">
      <sharedItems containsBlank="1" containsMixedTypes="1" containsNumber="1" containsInteger="1" minValue="1" maxValue="4"/>
    </cacheField>
    <cacheField name="Question 26B" numFmtId="0">
      <sharedItems containsBlank="1" containsMixedTypes="1" containsNumber="1" containsInteger="1" minValue="1" maxValue="98"/>
    </cacheField>
    <cacheField name="Question 26Autre" numFmtId="0">
      <sharedItems containsBlank="1"/>
    </cacheField>
    <cacheField name="Question 27" numFmtId="0">
      <sharedItems containsBlank="1" containsMixedTypes="1" containsNumber="1" containsInteger="1" minValue="1" maxValue="8"/>
    </cacheField>
    <cacheField name="Question 28" numFmtId="0">
      <sharedItems containsBlank="1" containsMixedTypes="1" containsNumber="1" containsInteger="1" minValue="1" maxValue="4"/>
    </cacheField>
    <cacheField name="Question 29" numFmtId="0">
      <sharedItems containsBlank="1" containsMixedTypes="1" containsNumber="1" containsInteger="1" minValue="1" maxValue="5"/>
    </cacheField>
    <cacheField name="Question 30" numFmtId="0">
      <sharedItems containsBlank="1" containsMixedTypes="1" containsNumber="1" containsInteger="1" minValue="1" maxValue="2" count="4">
        <s v="Êtes-vous :"/>
        <n v="1"/>
        <n v="2"/>
        <m/>
      </sharedItems>
    </cacheField>
    <cacheField name="Question 31" numFmtId="0">
      <sharedItems containsBlank="1" containsMixedTypes="1" containsNumber="1" containsInteger="1" minValue="1946" maxValue="1994"/>
    </cacheField>
    <cacheField name="Question 32" numFmtId="0">
      <sharedItems containsBlank="1" containsMixedTypes="1" containsNumber="1" containsInteger="1" minValue="1" maxValue="3"/>
    </cacheField>
    <cacheField name="Question 32 Autre" numFmtId="0">
      <sharedItems containsBlank="1"/>
    </cacheField>
    <cacheField name="Question 33" numFmtId="0">
      <sharedItems containsBlank="1" containsMixedTypes="1" containsNumber="1" containsInteger="1" minValue="1" maxValue="7"/>
    </cacheField>
    <cacheField name="Question 33 Autre" numFmtId="0">
      <sharedItems containsBlank="1"/>
    </cacheField>
    <cacheField name="Question 34" numFmtId="0">
      <sharedItems containsBlank="1" containsMixedTypes="1" containsNumber="1" containsInteger="1" minValue="1" maxValue="6"/>
    </cacheField>
    <cacheField name="Question 34 Autre" numFmtId="0">
      <sharedItems containsBlank="1"/>
    </cacheField>
    <cacheField name="Question 35" numFmtId="0">
      <sharedItems containsBlank="1" containsMixedTypes="1" containsNumber="1" containsInteger="1" minValue="1" maxValue="4"/>
    </cacheField>
    <cacheField name="Question 35 Autre" numFmtId="0">
      <sharedItems containsBlank="1"/>
    </cacheField>
    <cacheField name="Question 36" numFmtId="0">
      <sharedItems containsBlank="1" containsMixedTypes="1" containsNumber="1" containsInteger="1" minValue="1" maxValue="4"/>
    </cacheField>
    <cacheField name="Répondant" numFmtId="0">
      <sharedItems containsString="0" containsBlank="1" containsNumber="1" containsInteger="1" minValue="1" maxValue="1"/>
    </cacheField>
    <cacheField name="Calcul de l'âge" numFmtId="0">
      <sharedItems containsString="0" containsBlank="1" containsNumber="1" containsInteger="1" minValue="19" maxValue="2013"/>
    </cacheField>
    <cacheField name="L'âge regrouper" numFmtId="0">
      <sharedItems containsString="0" containsBlank="1" containsNumber="1" containsInteger="1" minValue="1" maxValue="4" count="5">
        <m/>
        <n v="1"/>
        <n v="2"/>
        <n v="3"/>
        <n v="4"/>
      </sharedItems>
    </cacheField>
    <cacheField name="Calcul vivre seul (MS)" numFmtId="0">
      <sharedItems containsString="0" containsBlank="1" containsNumber="1" containsInteger="1" minValue="1" maxValue="3"/>
    </cacheField>
    <cacheField name="Calcul ménage (M)" numFmtId="0">
      <sharedItems containsString="0" containsBlank="1" containsNumber="1" containsInteger="1" minValue="1" maxValue="5"/>
    </cacheField>
    <cacheField name="Calcul enfant (ME)" numFmtId="0">
      <sharedItems containsString="0" containsBlank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9.xml><?xml version="1.0" encoding="utf-8"?>
<pivotCacheDefinition xmlns="http://schemas.openxmlformats.org/spreadsheetml/2006/main" xmlns:r="http://schemas.openxmlformats.org/officeDocument/2006/relationships" r:id="rId1" refreshedBy="Tesmel01" refreshedDate="41416.545167245371" createdVersion="3" refreshedVersion="3" minRefreshableVersion="3" recordCount="632">
  <cacheSource type="worksheet">
    <worksheetSource ref="AV1:CQ1048576" sheet="Grille de saisie"/>
  </cacheSource>
  <cacheFields count="48">
    <cacheField name="Question 16.1" numFmtId="0">
      <sharedItems containsBlank="1" containsMixedTypes="1" containsNumber="1" containsInteger="1" minValue="1" maxValue="7" count="7">
        <s v="Veuillez nous dire votre degré de satisfaction à l'égard : du déneigement et du déglaçage des rues et des trottoirs de votre quartier ? "/>
        <n v="1"/>
        <n v="2"/>
        <n v="3"/>
        <n v="4"/>
        <n v="7"/>
        <m/>
      </sharedItems>
    </cacheField>
    <cacheField name="Question 16.2" numFmtId="0">
      <sharedItems containsBlank="1" containsMixedTypes="1" containsNumber="1" containsInteger="1" minValue="1" maxValue="7"/>
    </cacheField>
    <cacheField name="Question 16.3" numFmtId="0">
      <sharedItems containsBlank="1" containsMixedTypes="1" containsNumber="1" containsInteger="1" minValue="1" maxValue="7"/>
    </cacheField>
    <cacheField name="Question 17" numFmtId="0">
      <sharedItems containsBlank="1" containsMixedTypes="1" containsNumber="1" containsInteger="1" minValue="1" maxValue="8"/>
    </cacheField>
    <cacheField name="Question 18" numFmtId="0">
      <sharedItems containsBlank="1" containsMixedTypes="1" containsNumber="1" containsInteger="1" minValue="1" maxValue="4"/>
    </cacheField>
    <cacheField name="Question 19" numFmtId="0">
      <sharedItems containsBlank="1" containsMixedTypes="1" containsNumber="1" containsInteger="1" minValue="1" maxValue="8"/>
    </cacheField>
    <cacheField name="Question 20.1" numFmtId="0">
      <sharedItems containsBlank="1" containsMixedTypes="1" containsNumber="1" containsInteger="1" minValue="1" maxValue="8"/>
    </cacheField>
    <cacheField name="Question 20.2" numFmtId="0">
      <sharedItems containsBlank="1" containsMixedTypes="1" containsNumber="1" containsInteger="1" minValue="1" maxValue="8"/>
    </cacheField>
    <cacheField name="Question 20.3" numFmtId="0">
      <sharedItems containsBlank="1" containsMixedTypes="1" containsNumber="1" containsInteger="1" minValue="1" maxValue="8"/>
    </cacheField>
    <cacheField name="Question 21" numFmtId="0">
      <sharedItems containsBlank="1" containsMixedTypes="1" containsNumber="1" containsInteger="1" minValue="1" maxValue="4"/>
    </cacheField>
    <cacheField name="Question 21A" numFmtId="0">
      <sharedItems containsBlank="1" containsMixedTypes="1" containsNumber="1" containsInteger="1" minValue="1" maxValue="4"/>
    </cacheField>
    <cacheField name="Question 21Peu" numFmtId="0">
      <sharedItems containsBlank="1"/>
    </cacheField>
    <cacheField name="Question 21Pas" numFmtId="0">
      <sharedItems containsBlank="1"/>
    </cacheField>
    <cacheField name="Question 22.1" numFmtId="0">
      <sharedItems containsBlank="1" containsMixedTypes="1" containsNumber="1" containsInteger="1" minValue="1" maxValue="2"/>
    </cacheField>
    <cacheField name="Question 22.2" numFmtId="0">
      <sharedItems containsBlank="1" containsMixedTypes="1" containsNumber="1" containsInteger="1" minValue="1" maxValue="2"/>
    </cacheField>
    <cacheField name="Question 22.3" numFmtId="0">
      <sharedItems containsBlank="1" containsMixedTypes="1" containsNumber="1" containsInteger="1" minValue="1" maxValue="2"/>
    </cacheField>
    <cacheField name="Question 22.4" numFmtId="0">
      <sharedItems containsBlank="1" containsMixedTypes="1" containsNumber="1" containsInteger="1" minValue="1" maxValue="2"/>
    </cacheField>
    <cacheField name="Question 22.5" numFmtId="0">
      <sharedItems containsBlank="1" containsMixedTypes="1" containsNumber="1" containsInteger="1" minValue="1" maxValue="2"/>
    </cacheField>
    <cacheField name="Question 22.6" numFmtId="0">
      <sharedItems containsBlank="1" containsMixedTypes="1" containsNumber="1" containsInteger="1" minValue="1" maxValue="2"/>
    </cacheField>
    <cacheField name="Question 23" numFmtId="0">
      <sharedItems containsBlank="1" containsMixedTypes="1" containsNumber="1" containsInteger="1" minValue="1" maxValue="2"/>
    </cacheField>
    <cacheField name="Question 24" numFmtId="0">
      <sharedItems containsBlank="1" containsMixedTypes="1" containsNumber="1" containsInteger="1" minValue="1" maxValue="2"/>
    </cacheField>
    <cacheField name="Question 25" numFmtId="0">
      <sharedItems containsBlank="1" containsMixedTypes="1" containsNumber="1" containsInteger="1" minValue="1" maxValue="4"/>
    </cacheField>
    <cacheField name="Question 25A" numFmtId="0">
      <sharedItems containsBlank="1" containsMixedTypes="1" containsNumber="1" containsInteger="1" minValue="1" maxValue="98"/>
    </cacheField>
    <cacheField name="Question 25Autre" numFmtId="0">
      <sharedItems containsBlank="1"/>
    </cacheField>
    <cacheField name="Question 26" numFmtId="0">
      <sharedItems containsBlank="1" containsMixedTypes="1" containsNumber="1" containsInteger="1" minValue="1" maxValue="2"/>
    </cacheField>
    <cacheField name="Question 26A" numFmtId="0">
      <sharedItems containsBlank="1" containsMixedTypes="1" containsNumber="1" containsInteger="1" minValue="1" maxValue="4"/>
    </cacheField>
    <cacheField name="Question 26B" numFmtId="0">
      <sharedItems containsBlank="1" containsMixedTypes="1" containsNumber="1" containsInteger="1" minValue="1" maxValue="98"/>
    </cacheField>
    <cacheField name="Question 26Autre" numFmtId="0">
      <sharedItems containsBlank="1"/>
    </cacheField>
    <cacheField name="Question 27" numFmtId="0">
      <sharedItems containsBlank="1" containsMixedTypes="1" containsNumber="1" containsInteger="1" minValue="1" maxValue="8"/>
    </cacheField>
    <cacheField name="Question 28" numFmtId="0">
      <sharedItems containsBlank="1" containsMixedTypes="1" containsNumber="1" containsInteger="1" minValue="1" maxValue="4"/>
    </cacheField>
    <cacheField name="Question 29" numFmtId="0">
      <sharedItems containsBlank="1" containsMixedTypes="1" containsNumber="1" containsInteger="1" minValue="1" maxValue="5"/>
    </cacheField>
    <cacheField name="Question 30" numFmtId="0">
      <sharedItems containsBlank="1" containsMixedTypes="1" containsNumber="1" containsInteger="1" minValue="1" maxValue="2" count="4">
        <s v="Êtes-vous :"/>
        <n v="1"/>
        <n v="2"/>
        <m/>
      </sharedItems>
    </cacheField>
    <cacheField name="Question 31" numFmtId="0">
      <sharedItems containsBlank="1" containsMixedTypes="1" containsNumber="1" containsInteger="1" minValue="1946" maxValue="1994"/>
    </cacheField>
    <cacheField name="Question 32" numFmtId="0">
      <sharedItems containsBlank="1" containsMixedTypes="1" containsNumber="1" containsInteger="1" minValue="1" maxValue="3"/>
    </cacheField>
    <cacheField name="Question 32 Autre" numFmtId="0">
      <sharedItems containsBlank="1"/>
    </cacheField>
    <cacheField name="Question 33" numFmtId="0">
      <sharedItems containsBlank="1" containsMixedTypes="1" containsNumber="1" containsInteger="1" minValue="1" maxValue="7"/>
    </cacheField>
    <cacheField name="Question 33 Autre" numFmtId="0">
      <sharedItems containsBlank="1"/>
    </cacheField>
    <cacheField name="Question 34" numFmtId="0">
      <sharedItems containsBlank="1" containsMixedTypes="1" containsNumber="1" containsInteger="1" minValue="1" maxValue="6"/>
    </cacheField>
    <cacheField name="Question 34 Autre" numFmtId="0">
      <sharedItems containsBlank="1"/>
    </cacheField>
    <cacheField name="Question 35" numFmtId="0">
      <sharedItems containsBlank="1" containsMixedTypes="1" containsNumber="1" containsInteger="1" minValue="1" maxValue="4"/>
    </cacheField>
    <cacheField name="Question 35 Autre" numFmtId="0">
      <sharedItems containsBlank="1"/>
    </cacheField>
    <cacheField name="Question 36" numFmtId="0">
      <sharedItems containsBlank="1" containsMixedTypes="1" containsNumber="1" containsInteger="1" minValue="1" maxValue="4"/>
    </cacheField>
    <cacheField name="Répondant" numFmtId="0">
      <sharedItems containsString="0" containsBlank="1" containsNumber="1" containsInteger="1" minValue="1" maxValue="1"/>
    </cacheField>
    <cacheField name="Calcul de l'âge" numFmtId="0">
      <sharedItems containsString="0" containsBlank="1" containsNumber="1" containsInteger="1" minValue="19" maxValue="2013"/>
    </cacheField>
    <cacheField name="L'âge regrouper" numFmtId="0">
      <sharedItems containsString="0" containsBlank="1" containsNumber="1" containsInteger="1" minValue="1" maxValue="4" count="5">
        <m/>
        <n v="1"/>
        <n v="2"/>
        <n v="3"/>
        <n v="4"/>
      </sharedItems>
    </cacheField>
    <cacheField name="Calcul vivre seul (MS)" numFmtId="0">
      <sharedItems containsString="0" containsBlank="1" containsNumber="1" containsInteger="1" minValue="1" maxValue="3"/>
    </cacheField>
    <cacheField name="Calcul ménage (M)" numFmtId="0">
      <sharedItems containsString="0" containsBlank="1" containsNumber="1" containsInteger="1" minValue="1" maxValue="5"/>
    </cacheField>
    <cacheField name="Calcul enfant (ME)" numFmtId="0">
      <sharedItems containsString="0" containsBlank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Tesmel01" refreshedDate="41416.545143055555" createdVersion="3" refreshedVersion="3" minRefreshableVersion="3" recordCount="608">
  <cacheSource type="worksheet">
    <worksheetSource ref="BN1:CQ1048576" sheet="Grille de saisie"/>
  </cacheSource>
  <cacheFields count="29">
    <cacheField name="Question 23" numFmtId="0">
      <sharedItems containsBlank="1" containsMixedTypes="1" containsNumber="1" containsInteger="1" minValue="1" maxValue="2" count="4">
        <s v="Au cours des deux dernières années, avez-vous été victime de vol, de vandalisme ou de tout autre crime contre vos biens, chez vous ou dans votre quartier ?"/>
        <n v="1"/>
        <n v="2"/>
        <m/>
      </sharedItems>
    </cacheField>
    <cacheField name="Question 24" numFmtId="0">
      <sharedItems containsBlank="1" containsMixedTypes="1" containsNumber="1" containsInteger="1" minValue="1" maxValue="2"/>
    </cacheField>
    <cacheField name="Question 25" numFmtId="0">
      <sharedItems containsBlank="1" containsMixedTypes="1" containsNumber="1" containsInteger="1" minValue="1" maxValue="4"/>
    </cacheField>
    <cacheField name="Question 25A" numFmtId="0">
      <sharedItems containsBlank="1" containsMixedTypes="1" containsNumber="1" containsInteger="1" minValue="1" maxValue="98"/>
    </cacheField>
    <cacheField name="Question 25Autre" numFmtId="0">
      <sharedItems containsBlank="1"/>
    </cacheField>
    <cacheField name="Question 26" numFmtId="0">
      <sharedItems containsBlank="1" containsMixedTypes="1" containsNumber="1" containsInteger="1" minValue="1" maxValue="2"/>
    </cacheField>
    <cacheField name="Question 26A" numFmtId="0">
      <sharedItems containsBlank="1" containsMixedTypes="1" containsNumber="1" containsInteger="1" minValue="1" maxValue="4"/>
    </cacheField>
    <cacheField name="Question 26B" numFmtId="0">
      <sharedItems containsBlank="1" containsMixedTypes="1" containsNumber="1" containsInteger="1" minValue="1" maxValue="98"/>
    </cacheField>
    <cacheField name="Question 26Autre" numFmtId="0">
      <sharedItems containsBlank="1"/>
    </cacheField>
    <cacheField name="Question 27" numFmtId="0">
      <sharedItems containsBlank="1" containsMixedTypes="1" containsNumber="1" containsInteger="1" minValue="1" maxValue="8"/>
    </cacheField>
    <cacheField name="Question 28" numFmtId="0">
      <sharedItems containsBlank="1" containsMixedTypes="1" containsNumber="1" containsInteger="1" minValue="1" maxValue="4"/>
    </cacheField>
    <cacheField name="Question 29" numFmtId="0">
      <sharedItems containsBlank="1" containsMixedTypes="1" containsNumber="1" containsInteger="1" minValue="1" maxValue="5"/>
    </cacheField>
    <cacheField name="Question 30" numFmtId="0">
      <sharedItems containsBlank="1" containsMixedTypes="1" containsNumber="1" containsInteger="1" minValue="1" maxValue="2" count="4">
        <s v="Êtes-vous :"/>
        <n v="1"/>
        <n v="2"/>
        <m/>
      </sharedItems>
    </cacheField>
    <cacheField name="Question 31" numFmtId="0">
      <sharedItems containsBlank="1" containsMixedTypes="1" containsNumber="1" containsInteger="1" minValue="1946" maxValue="1994"/>
    </cacheField>
    <cacheField name="Question 32" numFmtId="0">
      <sharedItems containsBlank="1" containsMixedTypes="1" containsNumber="1" containsInteger="1" minValue="1" maxValue="3"/>
    </cacheField>
    <cacheField name="Question 32 Autre" numFmtId="0">
      <sharedItems containsBlank="1"/>
    </cacheField>
    <cacheField name="Question 33" numFmtId="0">
      <sharedItems containsBlank="1" containsMixedTypes="1" containsNumber="1" containsInteger="1" minValue="1" maxValue="7"/>
    </cacheField>
    <cacheField name="Question 33 Autre" numFmtId="0">
      <sharedItems containsBlank="1"/>
    </cacheField>
    <cacheField name="Question 34" numFmtId="0">
      <sharedItems containsBlank="1" containsMixedTypes="1" containsNumber="1" containsInteger="1" minValue="1" maxValue="6"/>
    </cacheField>
    <cacheField name="Question 34 Autre" numFmtId="0">
      <sharedItems containsBlank="1"/>
    </cacheField>
    <cacheField name="Question 35" numFmtId="0">
      <sharedItems containsBlank="1" containsMixedTypes="1" containsNumber="1" containsInteger="1" minValue="1" maxValue="4"/>
    </cacheField>
    <cacheField name="Question 35 Autre" numFmtId="0">
      <sharedItems containsBlank="1"/>
    </cacheField>
    <cacheField name="Question 36" numFmtId="0">
      <sharedItems containsBlank="1" containsMixedTypes="1" containsNumber="1" containsInteger="1" minValue="1" maxValue="4"/>
    </cacheField>
    <cacheField name="Répondant" numFmtId="0">
      <sharedItems containsString="0" containsBlank="1" containsNumber="1" containsInteger="1" minValue="1" maxValue="1"/>
    </cacheField>
    <cacheField name="Calcul de l'âge" numFmtId="0">
      <sharedItems containsString="0" containsBlank="1" containsNumber="1" containsInteger="1" minValue="19" maxValue="2013"/>
    </cacheField>
    <cacheField name="L'âge regrouper" numFmtId="0">
      <sharedItems containsString="0" containsBlank="1" containsNumber="1" containsInteger="1" minValue="1" maxValue="4" count="5">
        <m/>
        <n v="1"/>
        <n v="2"/>
        <n v="3"/>
        <n v="4"/>
      </sharedItems>
    </cacheField>
    <cacheField name="Calcul vivre seul (MS)" numFmtId="0">
      <sharedItems containsString="0" containsBlank="1" containsNumber="1" containsInteger="1" minValue="1" maxValue="3"/>
    </cacheField>
    <cacheField name="Calcul ménage (M)" numFmtId="0">
      <sharedItems containsString="0" containsBlank="1" containsNumber="1" containsInteger="1" minValue="1" maxValue="5"/>
    </cacheField>
    <cacheField name="Calcul enfant (ME)" numFmtId="0">
      <sharedItems containsString="0" containsBlank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0.xml><?xml version="1.0" encoding="utf-8"?>
<pivotCacheDefinition xmlns="http://schemas.openxmlformats.org/spreadsheetml/2006/main" xmlns:r="http://schemas.openxmlformats.org/officeDocument/2006/relationships" r:id="rId1" refreshedBy="Tesmel01" refreshedDate="41416.545167708333" createdVersion="3" refreshedVersion="3" minRefreshableVersion="3" recordCount="632">
  <cacheSource type="worksheet">
    <worksheetSource ref="AW1:CQ1048576" sheet="Grille de saisie"/>
  </cacheSource>
  <cacheFields count="47">
    <cacheField name="Question 16.2" numFmtId="0">
      <sharedItems containsBlank="1" containsMixedTypes="1" containsNumber="1" containsInteger="1" minValue="1" maxValue="7" count="7">
        <s v="Veuillez nous dire votre degré de satisfaction à l'égard :  de la propreté et de l'entretien des parcs et terrains de jeux de votre quartier ?"/>
        <n v="7"/>
        <n v="4"/>
        <n v="1"/>
        <n v="3"/>
        <n v="2"/>
        <m/>
      </sharedItems>
    </cacheField>
    <cacheField name="Question 16.3" numFmtId="0">
      <sharedItems containsBlank="1" containsMixedTypes="1" containsNumber="1" containsInteger="1" minValue="1" maxValue="7"/>
    </cacheField>
    <cacheField name="Question 17" numFmtId="0">
      <sharedItems containsBlank="1" containsMixedTypes="1" containsNumber="1" containsInteger="1" minValue="1" maxValue="8"/>
    </cacheField>
    <cacheField name="Question 18" numFmtId="0">
      <sharedItems containsBlank="1" containsMixedTypes="1" containsNumber="1" containsInteger="1" minValue="1" maxValue="4"/>
    </cacheField>
    <cacheField name="Question 19" numFmtId="0">
      <sharedItems containsBlank="1" containsMixedTypes="1" containsNumber="1" containsInteger="1" minValue="1" maxValue="8"/>
    </cacheField>
    <cacheField name="Question 20.1" numFmtId="0">
      <sharedItems containsBlank="1" containsMixedTypes="1" containsNumber="1" containsInteger="1" minValue="1" maxValue="8"/>
    </cacheField>
    <cacheField name="Question 20.2" numFmtId="0">
      <sharedItems containsBlank="1" containsMixedTypes="1" containsNumber="1" containsInteger="1" minValue="1" maxValue="8"/>
    </cacheField>
    <cacheField name="Question 20.3" numFmtId="0">
      <sharedItems containsBlank="1" containsMixedTypes="1" containsNumber="1" containsInteger="1" minValue="1" maxValue="8"/>
    </cacheField>
    <cacheField name="Question 21" numFmtId="0">
      <sharedItems containsBlank="1" containsMixedTypes="1" containsNumber="1" containsInteger="1" minValue="1" maxValue="4"/>
    </cacheField>
    <cacheField name="Question 21A" numFmtId="0">
      <sharedItems containsBlank="1" containsMixedTypes="1" containsNumber="1" containsInteger="1" minValue="1" maxValue="4"/>
    </cacheField>
    <cacheField name="Question 21Peu" numFmtId="0">
      <sharedItems containsBlank="1"/>
    </cacheField>
    <cacheField name="Question 21Pas" numFmtId="0">
      <sharedItems containsBlank="1"/>
    </cacheField>
    <cacheField name="Question 22.1" numFmtId="0">
      <sharedItems containsBlank="1" containsMixedTypes="1" containsNumber="1" containsInteger="1" minValue="1" maxValue="2"/>
    </cacheField>
    <cacheField name="Question 22.2" numFmtId="0">
      <sharedItems containsBlank="1" containsMixedTypes="1" containsNumber="1" containsInteger="1" minValue="1" maxValue="2"/>
    </cacheField>
    <cacheField name="Question 22.3" numFmtId="0">
      <sharedItems containsBlank="1" containsMixedTypes="1" containsNumber="1" containsInteger="1" minValue="1" maxValue="2"/>
    </cacheField>
    <cacheField name="Question 22.4" numFmtId="0">
      <sharedItems containsBlank="1" containsMixedTypes="1" containsNumber="1" containsInteger="1" minValue="1" maxValue="2"/>
    </cacheField>
    <cacheField name="Question 22.5" numFmtId="0">
      <sharedItems containsBlank="1" containsMixedTypes="1" containsNumber="1" containsInteger="1" minValue="1" maxValue="2"/>
    </cacheField>
    <cacheField name="Question 22.6" numFmtId="0">
      <sharedItems containsBlank="1" containsMixedTypes="1" containsNumber="1" containsInteger="1" minValue="1" maxValue="2"/>
    </cacheField>
    <cacheField name="Question 23" numFmtId="0">
      <sharedItems containsBlank="1" containsMixedTypes="1" containsNumber="1" containsInteger="1" minValue="1" maxValue="2"/>
    </cacheField>
    <cacheField name="Question 24" numFmtId="0">
      <sharedItems containsBlank="1" containsMixedTypes="1" containsNumber="1" containsInteger="1" minValue="1" maxValue="2"/>
    </cacheField>
    <cacheField name="Question 25" numFmtId="0">
      <sharedItems containsBlank="1" containsMixedTypes="1" containsNumber="1" containsInteger="1" minValue="1" maxValue="4"/>
    </cacheField>
    <cacheField name="Question 25A" numFmtId="0">
      <sharedItems containsBlank="1" containsMixedTypes="1" containsNumber="1" containsInteger="1" minValue="1" maxValue="98"/>
    </cacheField>
    <cacheField name="Question 25Autre" numFmtId="0">
      <sharedItems containsBlank="1"/>
    </cacheField>
    <cacheField name="Question 26" numFmtId="0">
      <sharedItems containsBlank="1" containsMixedTypes="1" containsNumber="1" containsInteger="1" minValue="1" maxValue="2"/>
    </cacheField>
    <cacheField name="Question 26A" numFmtId="0">
      <sharedItems containsBlank="1" containsMixedTypes="1" containsNumber="1" containsInteger="1" minValue="1" maxValue="4"/>
    </cacheField>
    <cacheField name="Question 26B" numFmtId="0">
      <sharedItems containsBlank="1" containsMixedTypes="1" containsNumber="1" containsInteger="1" minValue="1" maxValue="98"/>
    </cacheField>
    <cacheField name="Question 26Autre" numFmtId="0">
      <sharedItems containsBlank="1"/>
    </cacheField>
    <cacheField name="Question 27" numFmtId="0">
      <sharedItems containsBlank="1" containsMixedTypes="1" containsNumber="1" containsInteger="1" minValue="1" maxValue="8"/>
    </cacheField>
    <cacheField name="Question 28" numFmtId="0">
      <sharedItems containsBlank="1" containsMixedTypes="1" containsNumber="1" containsInteger="1" minValue="1" maxValue="4"/>
    </cacheField>
    <cacheField name="Question 29" numFmtId="0">
      <sharedItems containsBlank="1" containsMixedTypes="1" containsNumber="1" containsInteger="1" minValue="1" maxValue="5"/>
    </cacheField>
    <cacheField name="Question 30" numFmtId="0">
      <sharedItems containsBlank="1" containsMixedTypes="1" containsNumber="1" containsInteger="1" minValue="1" maxValue="2" count="4">
        <s v="Êtes-vous :"/>
        <n v="1"/>
        <n v="2"/>
        <m/>
      </sharedItems>
    </cacheField>
    <cacheField name="Question 31" numFmtId="0">
      <sharedItems containsBlank="1" containsMixedTypes="1" containsNumber="1" containsInteger="1" minValue="1946" maxValue="1994"/>
    </cacheField>
    <cacheField name="Question 32" numFmtId="0">
      <sharedItems containsBlank="1" containsMixedTypes="1" containsNumber="1" containsInteger="1" minValue="1" maxValue="3"/>
    </cacheField>
    <cacheField name="Question 32 Autre" numFmtId="0">
      <sharedItems containsBlank="1"/>
    </cacheField>
    <cacheField name="Question 33" numFmtId="0">
      <sharedItems containsBlank="1" containsMixedTypes="1" containsNumber="1" containsInteger="1" minValue="1" maxValue="7"/>
    </cacheField>
    <cacheField name="Question 33 Autre" numFmtId="0">
      <sharedItems containsBlank="1"/>
    </cacheField>
    <cacheField name="Question 34" numFmtId="0">
      <sharedItems containsBlank="1" containsMixedTypes="1" containsNumber="1" containsInteger="1" minValue="1" maxValue="6"/>
    </cacheField>
    <cacheField name="Question 34 Autre" numFmtId="0">
      <sharedItems containsBlank="1"/>
    </cacheField>
    <cacheField name="Question 35" numFmtId="0">
      <sharedItems containsBlank="1" containsMixedTypes="1" containsNumber="1" containsInteger="1" minValue="1" maxValue="4"/>
    </cacheField>
    <cacheField name="Question 35 Autre" numFmtId="0">
      <sharedItems containsBlank="1"/>
    </cacheField>
    <cacheField name="Question 36" numFmtId="0">
      <sharedItems containsBlank="1" containsMixedTypes="1" containsNumber="1" containsInteger="1" minValue="1" maxValue="4"/>
    </cacheField>
    <cacheField name="Répondant" numFmtId="0">
      <sharedItems containsString="0" containsBlank="1" containsNumber="1" containsInteger="1" minValue="1" maxValue="1"/>
    </cacheField>
    <cacheField name="Calcul de l'âge" numFmtId="0">
      <sharedItems containsString="0" containsBlank="1" containsNumber="1" containsInteger="1" minValue="19" maxValue="2013"/>
    </cacheField>
    <cacheField name="L'âge regrouper" numFmtId="0">
      <sharedItems containsString="0" containsBlank="1" containsNumber="1" containsInteger="1" minValue="1" maxValue="4" count="5">
        <m/>
        <n v="1"/>
        <n v="2"/>
        <n v="3"/>
        <n v="4"/>
      </sharedItems>
    </cacheField>
    <cacheField name="Calcul vivre seul (MS)" numFmtId="0">
      <sharedItems containsString="0" containsBlank="1" containsNumber="1" containsInteger="1" minValue="1" maxValue="3"/>
    </cacheField>
    <cacheField name="Calcul ménage (M)" numFmtId="0">
      <sharedItems containsString="0" containsBlank="1" containsNumber="1" containsInteger="1" minValue="1" maxValue="5"/>
    </cacheField>
    <cacheField name="Calcul enfant (ME)" numFmtId="0">
      <sharedItems containsString="0" containsBlank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1.xml><?xml version="1.0" encoding="utf-8"?>
<pivotCacheDefinition xmlns="http://schemas.openxmlformats.org/spreadsheetml/2006/main" xmlns:r="http://schemas.openxmlformats.org/officeDocument/2006/relationships" r:id="rId1" refreshedBy="Tesmel01" refreshedDate="41416.545168287033" createdVersion="3" refreshedVersion="3" minRefreshableVersion="3" recordCount="632">
  <cacheSource type="worksheet">
    <worksheetSource ref="AX1:CQ1048576" sheet="Grille de saisie"/>
  </cacheSource>
  <cacheFields count="46">
    <cacheField name="Question 16.3" numFmtId="0">
      <sharedItems containsBlank="1" containsMixedTypes="1" containsNumber="1" containsInteger="1" minValue="1" maxValue="7" count="7">
        <s v="Veuillez nous dire votre degré de satisfaction à l'égard :  de la sécurité des équipements dans les parcs, aires de jeux ou centre récréatif ou sportif de votre quartier ? "/>
        <n v="4"/>
        <n v="1"/>
        <n v="2"/>
        <n v="3"/>
        <n v="7"/>
        <m/>
      </sharedItems>
    </cacheField>
    <cacheField name="Question 17" numFmtId="0">
      <sharedItems containsBlank="1" containsMixedTypes="1" containsNumber="1" containsInteger="1" minValue="1" maxValue="8"/>
    </cacheField>
    <cacheField name="Question 18" numFmtId="0">
      <sharedItems containsBlank="1" containsMixedTypes="1" containsNumber="1" containsInteger="1" minValue="1" maxValue="4"/>
    </cacheField>
    <cacheField name="Question 19" numFmtId="0">
      <sharedItems containsBlank="1" containsMixedTypes="1" containsNumber="1" containsInteger="1" minValue="1" maxValue="8"/>
    </cacheField>
    <cacheField name="Question 20.1" numFmtId="0">
      <sharedItems containsBlank="1" containsMixedTypes="1" containsNumber="1" containsInteger="1" minValue="1" maxValue="8"/>
    </cacheField>
    <cacheField name="Question 20.2" numFmtId="0">
      <sharedItems containsBlank="1" containsMixedTypes="1" containsNumber="1" containsInteger="1" minValue="1" maxValue="8"/>
    </cacheField>
    <cacheField name="Question 20.3" numFmtId="0">
      <sharedItems containsBlank="1" containsMixedTypes="1" containsNumber="1" containsInteger="1" minValue="1" maxValue="8"/>
    </cacheField>
    <cacheField name="Question 21" numFmtId="0">
      <sharedItems containsBlank="1" containsMixedTypes="1" containsNumber="1" containsInteger="1" minValue="1" maxValue="4"/>
    </cacheField>
    <cacheField name="Question 21A" numFmtId="0">
      <sharedItems containsBlank="1" containsMixedTypes="1" containsNumber="1" containsInteger="1" minValue="1" maxValue="4"/>
    </cacheField>
    <cacheField name="Question 21Peu" numFmtId="0">
      <sharedItems containsBlank="1"/>
    </cacheField>
    <cacheField name="Question 21Pas" numFmtId="0">
      <sharedItems containsBlank="1"/>
    </cacheField>
    <cacheField name="Question 22.1" numFmtId="0">
      <sharedItems containsBlank="1" containsMixedTypes="1" containsNumber="1" containsInteger="1" minValue="1" maxValue="2"/>
    </cacheField>
    <cacheField name="Question 22.2" numFmtId="0">
      <sharedItems containsBlank="1" containsMixedTypes="1" containsNumber="1" containsInteger="1" minValue="1" maxValue="2"/>
    </cacheField>
    <cacheField name="Question 22.3" numFmtId="0">
      <sharedItems containsBlank="1" containsMixedTypes="1" containsNumber="1" containsInteger="1" minValue="1" maxValue="2"/>
    </cacheField>
    <cacheField name="Question 22.4" numFmtId="0">
      <sharedItems containsBlank="1" containsMixedTypes="1" containsNumber="1" containsInteger="1" minValue="1" maxValue="2"/>
    </cacheField>
    <cacheField name="Question 22.5" numFmtId="0">
      <sharedItems containsBlank="1" containsMixedTypes="1" containsNumber="1" containsInteger="1" minValue="1" maxValue="2"/>
    </cacheField>
    <cacheField name="Question 22.6" numFmtId="0">
      <sharedItems containsBlank="1" containsMixedTypes="1" containsNumber="1" containsInteger="1" minValue="1" maxValue="2"/>
    </cacheField>
    <cacheField name="Question 23" numFmtId="0">
      <sharedItems containsBlank="1" containsMixedTypes="1" containsNumber="1" containsInteger="1" minValue="1" maxValue="2"/>
    </cacheField>
    <cacheField name="Question 24" numFmtId="0">
      <sharedItems containsBlank="1" containsMixedTypes="1" containsNumber="1" containsInteger="1" minValue="1" maxValue="2"/>
    </cacheField>
    <cacheField name="Question 25" numFmtId="0">
      <sharedItems containsBlank="1" containsMixedTypes="1" containsNumber="1" containsInteger="1" minValue="1" maxValue="4"/>
    </cacheField>
    <cacheField name="Question 25A" numFmtId="0">
      <sharedItems containsBlank="1" containsMixedTypes="1" containsNumber="1" containsInteger="1" minValue="1" maxValue="98"/>
    </cacheField>
    <cacheField name="Question 25Autre" numFmtId="0">
      <sharedItems containsBlank="1"/>
    </cacheField>
    <cacheField name="Question 26" numFmtId="0">
      <sharedItems containsBlank="1" containsMixedTypes="1" containsNumber="1" containsInteger="1" minValue="1" maxValue="2"/>
    </cacheField>
    <cacheField name="Question 26A" numFmtId="0">
      <sharedItems containsBlank="1" containsMixedTypes="1" containsNumber="1" containsInteger="1" minValue="1" maxValue="4"/>
    </cacheField>
    <cacheField name="Question 26B" numFmtId="0">
      <sharedItems containsBlank="1" containsMixedTypes="1" containsNumber="1" containsInteger="1" minValue="1" maxValue="98"/>
    </cacheField>
    <cacheField name="Question 26Autre" numFmtId="0">
      <sharedItems containsBlank="1"/>
    </cacheField>
    <cacheField name="Question 27" numFmtId="0">
      <sharedItems containsBlank="1" containsMixedTypes="1" containsNumber="1" containsInteger="1" minValue="1" maxValue="8"/>
    </cacheField>
    <cacheField name="Question 28" numFmtId="0">
      <sharedItems containsBlank="1" containsMixedTypes="1" containsNumber="1" containsInteger="1" minValue="1" maxValue="4"/>
    </cacheField>
    <cacheField name="Question 29" numFmtId="0">
      <sharedItems containsBlank="1" containsMixedTypes="1" containsNumber="1" containsInteger="1" minValue="1" maxValue="5"/>
    </cacheField>
    <cacheField name="Question 30" numFmtId="0">
      <sharedItems containsBlank="1" containsMixedTypes="1" containsNumber="1" containsInteger="1" minValue="1" maxValue="2" count="4">
        <s v="Êtes-vous :"/>
        <n v="1"/>
        <n v="2"/>
        <m/>
      </sharedItems>
    </cacheField>
    <cacheField name="Question 31" numFmtId="0">
      <sharedItems containsBlank="1" containsMixedTypes="1" containsNumber="1" containsInteger="1" minValue="1946" maxValue="1994"/>
    </cacheField>
    <cacheField name="Question 32" numFmtId="0">
      <sharedItems containsBlank="1" containsMixedTypes="1" containsNumber="1" containsInteger="1" minValue="1" maxValue="3"/>
    </cacheField>
    <cacheField name="Question 32 Autre" numFmtId="0">
      <sharedItems containsBlank="1"/>
    </cacheField>
    <cacheField name="Question 33" numFmtId="0">
      <sharedItems containsBlank="1" containsMixedTypes="1" containsNumber="1" containsInteger="1" minValue="1" maxValue="7"/>
    </cacheField>
    <cacheField name="Question 33 Autre" numFmtId="0">
      <sharedItems containsBlank="1"/>
    </cacheField>
    <cacheField name="Question 34" numFmtId="0">
      <sharedItems containsBlank="1" containsMixedTypes="1" containsNumber="1" containsInteger="1" minValue="1" maxValue="6"/>
    </cacheField>
    <cacheField name="Question 34 Autre" numFmtId="0">
      <sharedItems containsBlank="1"/>
    </cacheField>
    <cacheField name="Question 35" numFmtId="0">
      <sharedItems containsBlank="1" containsMixedTypes="1" containsNumber="1" containsInteger="1" minValue="1" maxValue="4"/>
    </cacheField>
    <cacheField name="Question 35 Autre" numFmtId="0">
      <sharedItems containsBlank="1"/>
    </cacheField>
    <cacheField name="Question 36" numFmtId="0">
      <sharedItems containsBlank="1" containsMixedTypes="1" containsNumber="1" containsInteger="1" minValue="1" maxValue="4"/>
    </cacheField>
    <cacheField name="Répondant" numFmtId="0">
      <sharedItems containsString="0" containsBlank="1" containsNumber="1" containsInteger="1" minValue="1" maxValue="1"/>
    </cacheField>
    <cacheField name="Calcul de l'âge" numFmtId="0">
      <sharedItems containsString="0" containsBlank="1" containsNumber="1" containsInteger="1" minValue="19" maxValue="2013"/>
    </cacheField>
    <cacheField name="L'âge regrouper" numFmtId="0">
      <sharedItems containsString="0" containsBlank="1" containsNumber="1" containsInteger="1" minValue="1" maxValue="4" count="5">
        <m/>
        <n v="1"/>
        <n v="2"/>
        <n v="3"/>
        <n v="4"/>
      </sharedItems>
    </cacheField>
    <cacheField name="Calcul vivre seul (MS)" numFmtId="0">
      <sharedItems containsString="0" containsBlank="1" containsNumber="1" containsInteger="1" minValue="1" maxValue="3"/>
    </cacheField>
    <cacheField name="Calcul ménage (M)" numFmtId="0">
      <sharedItems containsString="0" containsBlank="1" containsNumber="1" containsInteger="1" minValue="1" maxValue="5"/>
    </cacheField>
    <cacheField name="Calcul enfant (ME)" numFmtId="0">
      <sharedItems containsString="0" containsBlank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2.xml><?xml version="1.0" encoding="utf-8"?>
<pivotCacheDefinition xmlns="http://schemas.openxmlformats.org/spreadsheetml/2006/main" xmlns:r="http://schemas.openxmlformats.org/officeDocument/2006/relationships" r:id="rId1" refreshedBy="Tesmel01" refreshedDate="41416.545168750003" createdVersion="3" refreshedVersion="3" minRefreshableVersion="3" recordCount="632">
  <cacheSource type="worksheet">
    <worksheetSource ref="AY1:CQ1048576" sheet="Grille de saisie"/>
  </cacheSource>
  <cacheFields count="45">
    <cacheField name="Question 17" numFmtId="0">
      <sharedItems containsBlank="1" containsMixedTypes="1" containsNumber="1" containsInteger="1" minValue="1" maxValue="8" count="6">
        <s v="Votre quartier est-il desservi par un service de police municipal, une régie intermunicipale ou par la Sûreté du Québec ?"/>
        <n v="8"/>
        <n v="1"/>
        <n v="3"/>
        <n v="2"/>
        <m/>
      </sharedItems>
    </cacheField>
    <cacheField name="Question 18" numFmtId="0">
      <sharedItems containsBlank="1" containsMixedTypes="1" containsNumber="1" containsInteger="1" minValue="1" maxValue="4"/>
    </cacheField>
    <cacheField name="Question 19" numFmtId="0">
      <sharedItems containsBlank="1" containsMixedTypes="1" containsNumber="1" containsInteger="1" minValue="1" maxValue="8"/>
    </cacheField>
    <cacheField name="Question 20.1" numFmtId="0">
      <sharedItems containsBlank="1" containsMixedTypes="1" containsNumber="1" containsInteger="1" minValue="1" maxValue="8"/>
    </cacheField>
    <cacheField name="Question 20.2" numFmtId="0">
      <sharedItems containsBlank="1" containsMixedTypes="1" containsNumber="1" containsInteger="1" minValue="1" maxValue="8"/>
    </cacheField>
    <cacheField name="Question 20.3" numFmtId="0">
      <sharedItems containsBlank="1" containsMixedTypes="1" containsNumber="1" containsInteger="1" minValue="1" maxValue="8"/>
    </cacheField>
    <cacheField name="Question 21" numFmtId="0">
      <sharedItems containsBlank="1" containsMixedTypes="1" containsNumber="1" containsInteger="1" minValue="1" maxValue="4"/>
    </cacheField>
    <cacheField name="Question 21A" numFmtId="0">
      <sharedItems containsBlank="1" containsMixedTypes="1" containsNumber="1" containsInteger="1" minValue="1" maxValue="4"/>
    </cacheField>
    <cacheField name="Question 21Peu" numFmtId="0">
      <sharedItems containsBlank="1"/>
    </cacheField>
    <cacheField name="Question 21Pas" numFmtId="0">
      <sharedItems containsBlank="1"/>
    </cacheField>
    <cacheField name="Question 22.1" numFmtId="0">
      <sharedItems containsBlank="1" containsMixedTypes="1" containsNumber="1" containsInteger="1" minValue="1" maxValue="2"/>
    </cacheField>
    <cacheField name="Question 22.2" numFmtId="0">
      <sharedItems containsBlank="1" containsMixedTypes="1" containsNumber="1" containsInteger="1" minValue="1" maxValue="2"/>
    </cacheField>
    <cacheField name="Question 22.3" numFmtId="0">
      <sharedItems containsBlank="1" containsMixedTypes="1" containsNumber="1" containsInteger="1" minValue="1" maxValue="2"/>
    </cacheField>
    <cacheField name="Question 22.4" numFmtId="0">
      <sharedItems containsBlank="1" containsMixedTypes="1" containsNumber="1" containsInteger="1" minValue="1" maxValue="2"/>
    </cacheField>
    <cacheField name="Question 22.5" numFmtId="0">
      <sharedItems containsBlank="1" containsMixedTypes="1" containsNumber="1" containsInteger="1" minValue="1" maxValue="2"/>
    </cacheField>
    <cacheField name="Question 22.6" numFmtId="0">
      <sharedItems containsBlank="1" containsMixedTypes="1" containsNumber="1" containsInteger="1" minValue="1" maxValue="2"/>
    </cacheField>
    <cacheField name="Question 23" numFmtId="0">
      <sharedItems containsBlank="1" containsMixedTypes="1" containsNumber="1" containsInteger="1" minValue="1" maxValue="2"/>
    </cacheField>
    <cacheField name="Question 24" numFmtId="0">
      <sharedItems containsBlank="1" containsMixedTypes="1" containsNumber="1" containsInteger="1" minValue="1" maxValue="2"/>
    </cacheField>
    <cacheField name="Question 25" numFmtId="0">
      <sharedItems containsBlank="1" containsMixedTypes="1" containsNumber="1" containsInteger="1" minValue="1" maxValue="4"/>
    </cacheField>
    <cacheField name="Question 25A" numFmtId="0">
      <sharedItems containsBlank="1" containsMixedTypes="1" containsNumber="1" containsInteger="1" minValue="1" maxValue="98"/>
    </cacheField>
    <cacheField name="Question 25Autre" numFmtId="0">
      <sharedItems containsBlank="1"/>
    </cacheField>
    <cacheField name="Question 26" numFmtId="0">
      <sharedItems containsBlank="1" containsMixedTypes="1" containsNumber="1" containsInteger="1" minValue="1" maxValue="2"/>
    </cacheField>
    <cacheField name="Question 26A" numFmtId="0">
      <sharedItems containsBlank="1" containsMixedTypes="1" containsNumber="1" containsInteger="1" minValue="1" maxValue="4"/>
    </cacheField>
    <cacheField name="Question 26B" numFmtId="0">
      <sharedItems containsBlank="1" containsMixedTypes="1" containsNumber="1" containsInteger="1" minValue="1" maxValue="98"/>
    </cacheField>
    <cacheField name="Question 26Autre" numFmtId="0">
      <sharedItems containsBlank="1"/>
    </cacheField>
    <cacheField name="Question 27" numFmtId="0">
      <sharedItems containsBlank="1" containsMixedTypes="1" containsNumber="1" containsInteger="1" minValue="1" maxValue="8"/>
    </cacheField>
    <cacheField name="Question 28" numFmtId="0">
      <sharedItems containsBlank="1" containsMixedTypes="1" containsNumber="1" containsInteger="1" minValue="1" maxValue="4"/>
    </cacheField>
    <cacheField name="Question 29" numFmtId="0">
      <sharedItems containsBlank="1" containsMixedTypes="1" containsNumber="1" containsInteger="1" minValue="1" maxValue="5"/>
    </cacheField>
    <cacheField name="Question 30" numFmtId="0">
      <sharedItems containsBlank="1" containsMixedTypes="1" containsNumber="1" containsInteger="1" minValue="1" maxValue="2" count="4">
        <s v="Êtes-vous :"/>
        <n v="1"/>
        <n v="2"/>
        <m/>
      </sharedItems>
    </cacheField>
    <cacheField name="Question 31" numFmtId="0">
      <sharedItems containsBlank="1" containsMixedTypes="1" containsNumber="1" containsInteger="1" minValue="1946" maxValue="1994"/>
    </cacheField>
    <cacheField name="Question 32" numFmtId="0">
      <sharedItems containsBlank="1" containsMixedTypes="1" containsNumber="1" containsInteger="1" minValue="1" maxValue="3"/>
    </cacheField>
    <cacheField name="Question 32 Autre" numFmtId="0">
      <sharedItems containsBlank="1"/>
    </cacheField>
    <cacheField name="Question 33" numFmtId="0">
      <sharedItems containsBlank="1" containsMixedTypes="1" containsNumber="1" containsInteger="1" minValue="1" maxValue="7"/>
    </cacheField>
    <cacheField name="Question 33 Autre" numFmtId="0">
      <sharedItems containsBlank="1"/>
    </cacheField>
    <cacheField name="Question 34" numFmtId="0">
      <sharedItems containsBlank="1" containsMixedTypes="1" containsNumber="1" containsInteger="1" minValue="1" maxValue="6"/>
    </cacheField>
    <cacheField name="Question 34 Autre" numFmtId="0">
      <sharedItems containsBlank="1"/>
    </cacheField>
    <cacheField name="Question 35" numFmtId="0">
      <sharedItems containsBlank="1" containsMixedTypes="1" containsNumber="1" containsInteger="1" minValue="1" maxValue="4"/>
    </cacheField>
    <cacheField name="Question 35 Autre" numFmtId="0">
      <sharedItems containsBlank="1"/>
    </cacheField>
    <cacheField name="Question 36" numFmtId="0">
      <sharedItems containsBlank="1" containsMixedTypes="1" containsNumber="1" containsInteger="1" minValue="1" maxValue="4"/>
    </cacheField>
    <cacheField name="Répondant" numFmtId="0">
      <sharedItems containsString="0" containsBlank="1" containsNumber="1" containsInteger="1" minValue="1" maxValue="1"/>
    </cacheField>
    <cacheField name="Calcul de l'âge" numFmtId="0">
      <sharedItems containsString="0" containsBlank="1" containsNumber="1" containsInteger="1" minValue="19" maxValue="2013"/>
    </cacheField>
    <cacheField name="L'âge regrouper" numFmtId="0">
      <sharedItems containsString="0" containsBlank="1" containsNumber="1" containsInteger="1" minValue="1" maxValue="4" count="5">
        <m/>
        <n v="1"/>
        <n v="2"/>
        <n v="3"/>
        <n v="4"/>
      </sharedItems>
    </cacheField>
    <cacheField name="Calcul vivre seul (MS)" numFmtId="0">
      <sharedItems containsString="0" containsBlank="1" containsNumber="1" containsInteger="1" minValue="1" maxValue="3"/>
    </cacheField>
    <cacheField name="Calcul ménage (M)" numFmtId="0">
      <sharedItems containsString="0" containsBlank="1" containsNumber="1" containsInteger="1" minValue="1" maxValue="5"/>
    </cacheField>
    <cacheField name="Calcul enfant (ME)" numFmtId="0">
      <sharedItems containsString="0" containsBlank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3.xml><?xml version="1.0" encoding="utf-8"?>
<pivotCacheDefinition xmlns="http://schemas.openxmlformats.org/spreadsheetml/2006/main" xmlns:r="http://schemas.openxmlformats.org/officeDocument/2006/relationships" r:id="rId1" refreshedBy="Tesmel01" refreshedDate="41416.545169328703" createdVersion="3" refreshedVersion="3" minRefreshableVersion="3" recordCount="632">
  <cacheSource type="worksheet">
    <worksheetSource ref="AZ1:CQ1048576" sheet="Grille de saisie"/>
  </cacheSource>
  <cacheFields count="44">
    <cacheField name="Question 18" numFmtId="0">
      <sharedItems containsBlank="1" containsMixedTypes="1" containsNumber="1" containsInteger="1" minValue="1" maxValue="4" count="6">
        <s v="Quel est votre niveau de satisfaction à l'égard de la présence des policiers dans votre quartier ?"/>
        <n v="1"/>
        <n v="4"/>
        <n v="2"/>
        <n v="3"/>
        <m/>
      </sharedItems>
    </cacheField>
    <cacheField name="Question 19" numFmtId="0">
      <sharedItems containsBlank="1" containsMixedTypes="1" containsNumber="1" containsInteger="1" minValue="1" maxValue="8"/>
    </cacheField>
    <cacheField name="Question 20.1" numFmtId="0">
      <sharedItems containsBlank="1" containsMixedTypes="1" containsNumber="1" containsInteger="1" minValue="1" maxValue="8"/>
    </cacheField>
    <cacheField name="Question 20.2" numFmtId="0">
      <sharedItems containsBlank="1" containsMixedTypes="1" containsNumber="1" containsInteger="1" minValue="1" maxValue="8"/>
    </cacheField>
    <cacheField name="Question 20.3" numFmtId="0">
      <sharedItems containsBlank="1" containsMixedTypes="1" containsNumber="1" containsInteger="1" minValue="1" maxValue="8"/>
    </cacheField>
    <cacheField name="Question 21" numFmtId="0">
      <sharedItems containsBlank="1" containsMixedTypes="1" containsNumber="1" containsInteger="1" minValue="1" maxValue="4"/>
    </cacheField>
    <cacheField name="Question 21A" numFmtId="0">
      <sharedItems containsBlank="1" containsMixedTypes="1" containsNumber="1" containsInteger="1" minValue="1" maxValue="4"/>
    </cacheField>
    <cacheField name="Question 21Peu" numFmtId="0">
      <sharedItems containsBlank="1"/>
    </cacheField>
    <cacheField name="Question 21Pas" numFmtId="0">
      <sharedItems containsBlank="1"/>
    </cacheField>
    <cacheField name="Question 22.1" numFmtId="0">
      <sharedItems containsBlank="1" containsMixedTypes="1" containsNumber="1" containsInteger="1" minValue="1" maxValue="2"/>
    </cacheField>
    <cacheField name="Question 22.2" numFmtId="0">
      <sharedItems containsBlank="1" containsMixedTypes="1" containsNumber="1" containsInteger="1" minValue="1" maxValue="2"/>
    </cacheField>
    <cacheField name="Question 22.3" numFmtId="0">
      <sharedItems containsBlank="1" containsMixedTypes="1" containsNumber="1" containsInteger="1" minValue="1" maxValue="2"/>
    </cacheField>
    <cacheField name="Question 22.4" numFmtId="0">
      <sharedItems containsBlank="1" containsMixedTypes="1" containsNumber="1" containsInteger="1" minValue="1" maxValue="2"/>
    </cacheField>
    <cacheField name="Question 22.5" numFmtId="0">
      <sharedItems containsBlank="1" containsMixedTypes="1" containsNumber="1" containsInteger="1" minValue="1" maxValue="2"/>
    </cacheField>
    <cacheField name="Question 22.6" numFmtId="0">
      <sharedItems containsBlank="1" containsMixedTypes="1" containsNumber="1" containsInteger="1" minValue="1" maxValue="2"/>
    </cacheField>
    <cacheField name="Question 23" numFmtId="0">
      <sharedItems containsBlank="1" containsMixedTypes="1" containsNumber="1" containsInteger="1" minValue="1" maxValue="2"/>
    </cacheField>
    <cacheField name="Question 24" numFmtId="0">
      <sharedItems containsBlank="1" containsMixedTypes="1" containsNumber="1" containsInteger="1" minValue="1" maxValue="2"/>
    </cacheField>
    <cacheField name="Question 25" numFmtId="0">
      <sharedItems containsBlank="1" containsMixedTypes="1" containsNumber="1" containsInteger="1" minValue="1" maxValue="4"/>
    </cacheField>
    <cacheField name="Question 25A" numFmtId="0">
      <sharedItems containsBlank="1" containsMixedTypes="1" containsNumber="1" containsInteger="1" minValue="1" maxValue="98"/>
    </cacheField>
    <cacheField name="Question 25Autre" numFmtId="0">
      <sharedItems containsBlank="1"/>
    </cacheField>
    <cacheField name="Question 26" numFmtId="0">
      <sharedItems containsBlank="1" containsMixedTypes="1" containsNumber="1" containsInteger="1" minValue="1" maxValue="2"/>
    </cacheField>
    <cacheField name="Question 26A" numFmtId="0">
      <sharedItems containsBlank="1" containsMixedTypes="1" containsNumber="1" containsInteger="1" minValue="1" maxValue="4"/>
    </cacheField>
    <cacheField name="Question 26B" numFmtId="0">
      <sharedItems containsBlank="1" containsMixedTypes="1" containsNumber="1" containsInteger="1" minValue="1" maxValue="98"/>
    </cacheField>
    <cacheField name="Question 26Autre" numFmtId="0">
      <sharedItems containsBlank="1"/>
    </cacheField>
    <cacheField name="Question 27" numFmtId="0">
      <sharedItems containsBlank="1" containsMixedTypes="1" containsNumber="1" containsInteger="1" minValue="1" maxValue="8"/>
    </cacheField>
    <cacheField name="Question 28" numFmtId="0">
      <sharedItems containsBlank="1" containsMixedTypes="1" containsNumber="1" containsInteger="1" minValue="1" maxValue="4"/>
    </cacheField>
    <cacheField name="Question 29" numFmtId="0">
      <sharedItems containsBlank="1" containsMixedTypes="1" containsNumber="1" containsInteger="1" minValue="1" maxValue="5"/>
    </cacheField>
    <cacheField name="Question 30" numFmtId="0">
      <sharedItems containsBlank="1" containsMixedTypes="1" containsNumber="1" containsInteger="1" minValue="1" maxValue="2" count="4">
        <s v="Êtes-vous :"/>
        <n v="1"/>
        <n v="2"/>
        <m/>
      </sharedItems>
    </cacheField>
    <cacheField name="Question 31" numFmtId="0">
      <sharedItems containsBlank="1" containsMixedTypes="1" containsNumber="1" containsInteger="1" minValue="1946" maxValue="1994"/>
    </cacheField>
    <cacheField name="Question 32" numFmtId="0">
      <sharedItems containsBlank="1" containsMixedTypes="1" containsNumber="1" containsInteger="1" minValue="1" maxValue="3"/>
    </cacheField>
    <cacheField name="Question 32 Autre" numFmtId="0">
      <sharedItems containsBlank="1"/>
    </cacheField>
    <cacheField name="Question 33" numFmtId="0">
      <sharedItems containsBlank="1" containsMixedTypes="1" containsNumber="1" containsInteger="1" minValue="1" maxValue="7"/>
    </cacheField>
    <cacheField name="Question 33 Autre" numFmtId="0">
      <sharedItems containsBlank="1"/>
    </cacheField>
    <cacheField name="Question 34" numFmtId="0">
      <sharedItems containsBlank="1" containsMixedTypes="1" containsNumber="1" containsInteger="1" minValue="1" maxValue="6"/>
    </cacheField>
    <cacheField name="Question 34 Autre" numFmtId="0">
      <sharedItems containsBlank="1"/>
    </cacheField>
    <cacheField name="Question 35" numFmtId="0">
      <sharedItems containsBlank="1" containsMixedTypes="1" containsNumber="1" containsInteger="1" minValue="1" maxValue="4"/>
    </cacheField>
    <cacheField name="Question 35 Autre" numFmtId="0">
      <sharedItems containsBlank="1"/>
    </cacheField>
    <cacheField name="Question 36" numFmtId="0">
      <sharedItems containsBlank="1" containsMixedTypes="1" containsNumber="1" containsInteger="1" minValue="1" maxValue="4"/>
    </cacheField>
    <cacheField name="Répondant" numFmtId="0">
      <sharedItems containsString="0" containsBlank="1" containsNumber="1" containsInteger="1" minValue="1" maxValue="1"/>
    </cacheField>
    <cacheField name="Calcul de l'âge" numFmtId="0">
      <sharedItems containsString="0" containsBlank="1" containsNumber="1" containsInteger="1" minValue="19" maxValue="2013"/>
    </cacheField>
    <cacheField name="L'âge regrouper" numFmtId="0">
      <sharedItems containsString="0" containsBlank="1" containsNumber="1" containsInteger="1" minValue="1" maxValue="4" count="5">
        <m/>
        <n v="1"/>
        <n v="2"/>
        <n v="3"/>
        <n v="4"/>
      </sharedItems>
    </cacheField>
    <cacheField name="Calcul vivre seul (MS)" numFmtId="0">
      <sharedItems containsString="0" containsBlank="1" containsNumber="1" containsInteger="1" minValue="1" maxValue="3"/>
    </cacheField>
    <cacheField name="Calcul ménage (M)" numFmtId="0">
      <sharedItems containsString="0" containsBlank="1" containsNumber="1" containsInteger="1" minValue="1" maxValue="5"/>
    </cacheField>
    <cacheField name="Calcul enfant (ME)" numFmtId="0">
      <sharedItems containsString="0" containsBlank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4.xml><?xml version="1.0" encoding="utf-8"?>
<pivotCacheDefinition xmlns="http://schemas.openxmlformats.org/spreadsheetml/2006/main" xmlns:r="http://schemas.openxmlformats.org/officeDocument/2006/relationships" r:id="rId1" refreshedBy="Tesmel01" refreshedDate="41416.545169907411" createdVersion="3" refreshedVersion="3" minRefreshableVersion="3" recordCount="632">
  <cacheSource type="worksheet">
    <worksheetSource ref="BA1:CQ1048576" sheet="Grille de saisie"/>
  </cacheSource>
  <cacheFields count="43">
    <cacheField name="Question 19" numFmtId="0">
      <sharedItems containsBlank="1" containsMixedTypes="1" containsNumber="1" containsInteger="1" minValue="1" maxValue="8" count="7">
        <s v="Quel est votre niveau de satisfaction à l'égard du travail effectué par les policiers dans votre quartier ?"/>
        <n v="4"/>
        <n v="8"/>
        <n v="1"/>
        <n v="3"/>
        <n v="2"/>
        <m/>
      </sharedItems>
    </cacheField>
    <cacheField name="Question 20.1" numFmtId="0">
      <sharedItems containsBlank="1" containsMixedTypes="1" containsNumber="1" containsInteger="1" minValue="1" maxValue="8"/>
    </cacheField>
    <cacheField name="Question 20.2" numFmtId="0">
      <sharedItems containsBlank="1" containsMixedTypes="1" containsNumber="1" containsInteger="1" minValue="1" maxValue="8"/>
    </cacheField>
    <cacheField name="Question 20.3" numFmtId="0">
      <sharedItems containsBlank="1" containsMixedTypes="1" containsNumber="1" containsInteger="1" minValue="1" maxValue="8"/>
    </cacheField>
    <cacheField name="Question 21" numFmtId="0">
      <sharedItems containsBlank="1" containsMixedTypes="1" containsNumber="1" containsInteger="1" minValue="1" maxValue="4"/>
    </cacheField>
    <cacheField name="Question 21A" numFmtId="0">
      <sharedItems containsBlank="1" containsMixedTypes="1" containsNumber="1" containsInteger="1" minValue="1" maxValue="4"/>
    </cacheField>
    <cacheField name="Question 21Peu" numFmtId="0">
      <sharedItems containsBlank="1"/>
    </cacheField>
    <cacheField name="Question 21Pas" numFmtId="0">
      <sharedItems containsBlank="1"/>
    </cacheField>
    <cacheField name="Question 22.1" numFmtId="0">
      <sharedItems containsBlank="1" containsMixedTypes="1" containsNumber="1" containsInteger="1" minValue="1" maxValue="2"/>
    </cacheField>
    <cacheField name="Question 22.2" numFmtId="0">
      <sharedItems containsBlank="1" containsMixedTypes="1" containsNumber="1" containsInteger="1" minValue="1" maxValue="2"/>
    </cacheField>
    <cacheField name="Question 22.3" numFmtId="0">
      <sharedItems containsBlank="1" containsMixedTypes="1" containsNumber="1" containsInteger="1" minValue="1" maxValue="2"/>
    </cacheField>
    <cacheField name="Question 22.4" numFmtId="0">
      <sharedItems containsBlank="1" containsMixedTypes="1" containsNumber="1" containsInteger="1" minValue="1" maxValue="2"/>
    </cacheField>
    <cacheField name="Question 22.5" numFmtId="0">
      <sharedItems containsBlank="1" containsMixedTypes="1" containsNumber="1" containsInteger="1" minValue="1" maxValue="2"/>
    </cacheField>
    <cacheField name="Question 22.6" numFmtId="0">
      <sharedItems containsBlank="1" containsMixedTypes="1" containsNumber="1" containsInteger="1" minValue="1" maxValue="2"/>
    </cacheField>
    <cacheField name="Question 23" numFmtId="0">
      <sharedItems containsBlank="1" containsMixedTypes="1" containsNumber="1" containsInteger="1" minValue="1" maxValue="2"/>
    </cacheField>
    <cacheField name="Question 24" numFmtId="0">
      <sharedItems containsBlank="1" containsMixedTypes="1" containsNumber="1" containsInteger="1" minValue="1" maxValue="2"/>
    </cacheField>
    <cacheField name="Question 25" numFmtId="0">
      <sharedItems containsBlank="1" containsMixedTypes="1" containsNumber="1" containsInteger="1" minValue="1" maxValue="4"/>
    </cacheField>
    <cacheField name="Question 25A" numFmtId="0">
      <sharedItems containsBlank="1" containsMixedTypes="1" containsNumber="1" containsInteger="1" minValue="1" maxValue="98"/>
    </cacheField>
    <cacheField name="Question 25Autre" numFmtId="0">
      <sharedItems containsBlank="1"/>
    </cacheField>
    <cacheField name="Question 26" numFmtId="0">
      <sharedItems containsBlank="1" containsMixedTypes="1" containsNumber="1" containsInteger="1" minValue="1" maxValue="2"/>
    </cacheField>
    <cacheField name="Question 26A" numFmtId="0">
      <sharedItems containsBlank="1" containsMixedTypes="1" containsNumber="1" containsInteger="1" minValue="1" maxValue="4"/>
    </cacheField>
    <cacheField name="Question 26B" numFmtId="0">
      <sharedItems containsBlank="1" containsMixedTypes="1" containsNumber="1" containsInteger="1" minValue="1" maxValue="98"/>
    </cacheField>
    <cacheField name="Question 26Autre" numFmtId="0">
      <sharedItems containsBlank="1"/>
    </cacheField>
    <cacheField name="Question 27" numFmtId="0">
      <sharedItems containsBlank="1" containsMixedTypes="1" containsNumber="1" containsInteger="1" minValue="1" maxValue="8"/>
    </cacheField>
    <cacheField name="Question 28" numFmtId="0">
      <sharedItems containsBlank="1" containsMixedTypes="1" containsNumber="1" containsInteger="1" minValue="1" maxValue="4"/>
    </cacheField>
    <cacheField name="Question 29" numFmtId="0">
      <sharedItems containsBlank="1" containsMixedTypes="1" containsNumber="1" containsInteger="1" minValue="1" maxValue="5"/>
    </cacheField>
    <cacheField name="Question 30" numFmtId="0">
      <sharedItems containsBlank="1" containsMixedTypes="1" containsNumber="1" containsInteger="1" minValue="1" maxValue="2" count="4">
        <s v="Êtes-vous :"/>
        <n v="1"/>
        <n v="2"/>
        <m/>
      </sharedItems>
    </cacheField>
    <cacheField name="Question 31" numFmtId="0">
      <sharedItems containsBlank="1" containsMixedTypes="1" containsNumber="1" containsInteger="1" minValue="1946" maxValue="1994"/>
    </cacheField>
    <cacheField name="Question 32" numFmtId="0">
      <sharedItems containsBlank="1" containsMixedTypes="1" containsNumber="1" containsInteger="1" minValue="1" maxValue="3"/>
    </cacheField>
    <cacheField name="Question 32 Autre" numFmtId="0">
      <sharedItems containsBlank="1"/>
    </cacheField>
    <cacheField name="Question 33" numFmtId="0">
      <sharedItems containsBlank="1" containsMixedTypes="1" containsNumber="1" containsInteger="1" minValue="1" maxValue="7"/>
    </cacheField>
    <cacheField name="Question 33 Autre" numFmtId="0">
      <sharedItems containsBlank="1"/>
    </cacheField>
    <cacheField name="Question 34" numFmtId="0">
      <sharedItems containsBlank="1" containsMixedTypes="1" containsNumber="1" containsInteger="1" minValue="1" maxValue="6"/>
    </cacheField>
    <cacheField name="Question 34 Autre" numFmtId="0">
      <sharedItems containsBlank="1"/>
    </cacheField>
    <cacheField name="Question 35" numFmtId="0">
      <sharedItems containsBlank="1" containsMixedTypes="1" containsNumber="1" containsInteger="1" minValue="1" maxValue="4"/>
    </cacheField>
    <cacheField name="Question 35 Autre" numFmtId="0">
      <sharedItems containsBlank="1"/>
    </cacheField>
    <cacheField name="Question 36" numFmtId="0">
      <sharedItems containsBlank="1" containsMixedTypes="1" containsNumber="1" containsInteger="1" minValue="1" maxValue="4"/>
    </cacheField>
    <cacheField name="Répondant" numFmtId="0">
      <sharedItems containsString="0" containsBlank="1" containsNumber="1" containsInteger="1" minValue="1" maxValue="1"/>
    </cacheField>
    <cacheField name="Calcul de l'âge" numFmtId="0">
      <sharedItems containsString="0" containsBlank="1" containsNumber="1" containsInteger="1" minValue="19" maxValue="2013"/>
    </cacheField>
    <cacheField name="L'âge regrouper" numFmtId="0">
      <sharedItems containsString="0" containsBlank="1" containsNumber="1" containsInteger="1" minValue="1" maxValue="4" count="5">
        <m/>
        <n v="1"/>
        <n v="2"/>
        <n v="3"/>
        <n v="4"/>
      </sharedItems>
    </cacheField>
    <cacheField name="Calcul vivre seul (MS)" numFmtId="0">
      <sharedItems containsString="0" containsBlank="1" containsNumber="1" containsInteger="1" minValue="1" maxValue="3"/>
    </cacheField>
    <cacheField name="Calcul ménage (M)" numFmtId="0">
      <sharedItems containsString="0" containsBlank="1" containsNumber="1" containsInteger="1" minValue="1" maxValue="5"/>
    </cacheField>
    <cacheField name="Calcul enfant (ME)" numFmtId="0">
      <sharedItems containsString="0" containsBlank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5.xml><?xml version="1.0" encoding="utf-8"?>
<pivotCacheDefinition xmlns="http://schemas.openxmlformats.org/spreadsheetml/2006/main" xmlns:r="http://schemas.openxmlformats.org/officeDocument/2006/relationships" r:id="rId1" refreshedBy="Tesmel01" refreshedDate="41416.545170370373" createdVersion="3" refreshedVersion="3" minRefreshableVersion="3" recordCount="601">
  <cacheSource type="worksheet">
    <worksheetSource ref="BB1:CQ602" sheet="Grille de saisie"/>
  </cacheSource>
  <cacheFields count="42">
    <cacheField name="Question 20.1" numFmtId="0">
      <sharedItems containsBlank="1" containsMixedTypes="1" containsNumber="1" containsInteger="1" minValue="1" maxValue="8" count="7">
        <s v="De façon plus spécifique, quel est votre niveau de satisfaction à l'égard du travail effectué par les policiers : auprès des jeunes de votre quartier"/>
        <n v="8"/>
        <n v="1"/>
        <n v="2"/>
        <n v="3"/>
        <n v="4"/>
        <m/>
      </sharedItems>
    </cacheField>
    <cacheField name="Question 20.2" numFmtId="0">
      <sharedItems containsBlank="1" containsMixedTypes="1" containsNumber="1" containsInteger="1" minValue="1" maxValue="8"/>
    </cacheField>
    <cacheField name="Question 20.3" numFmtId="0">
      <sharedItems containsBlank="1" containsMixedTypes="1" containsNumber="1" containsInteger="1" minValue="1" maxValue="8"/>
    </cacheField>
    <cacheField name="Question 21" numFmtId="0">
      <sharedItems containsBlank="1" containsMixedTypes="1" containsNumber="1" containsInteger="1" minValue="1" maxValue="4"/>
    </cacheField>
    <cacheField name="Question 21A" numFmtId="0">
      <sharedItems containsBlank="1" containsMixedTypes="1" containsNumber="1" containsInteger="1" minValue="1" maxValue="4"/>
    </cacheField>
    <cacheField name="Question 21Peu" numFmtId="0">
      <sharedItems containsBlank="1"/>
    </cacheField>
    <cacheField name="Question 21Pas" numFmtId="0">
      <sharedItems containsBlank="1"/>
    </cacheField>
    <cacheField name="Question 22.1" numFmtId="0">
      <sharedItems containsBlank="1" containsMixedTypes="1" containsNumber="1" containsInteger="1" minValue="1" maxValue="2"/>
    </cacheField>
    <cacheField name="Question 22.2" numFmtId="0">
      <sharedItems containsBlank="1" containsMixedTypes="1" containsNumber="1" containsInteger="1" minValue="1" maxValue="2"/>
    </cacheField>
    <cacheField name="Question 22.3" numFmtId="0">
      <sharedItems containsBlank="1" containsMixedTypes="1" containsNumber="1" containsInteger="1" minValue="1" maxValue="2"/>
    </cacheField>
    <cacheField name="Question 22.4" numFmtId="0">
      <sharedItems containsBlank="1" containsMixedTypes="1" containsNumber="1" containsInteger="1" minValue="1" maxValue="2"/>
    </cacheField>
    <cacheField name="Question 22.5" numFmtId="0">
      <sharedItems containsBlank="1" containsMixedTypes="1" containsNumber="1" containsInteger="1" minValue="1" maxValue="2"/>
    </cacheField>
    <cacheField name="Question 22.6" numFmtId="0">
      <sharedItems containsBlank="1" containsMixedTypes="1" containsNumber="1" containsInteger="1" minValue="1" maxValue="2"/>
    </cacheField>
    <cacheField name="Question 23" numFmtId="0">
      <sharedItems containsBlank="1" containsMixedTypes="1" containsNumber="1" containsInteger="1" minValue="1" maxValue="2"/>
    </cacheField>
    <cacheField name="Question 24" numFmtId="0">
      <sharedItems containsBlank="1" containsMixedTypes="1" containsNumber="1" containsInteger="1" minValue="1" maxValue="2"/>
    </cacheField>
    <cacheField name="Question 25" numFmtId="0">
      <sharedItems containsBlank="1" containsMixedTypes="1" containsNumber="1" containsInteger="1" minValue="1" maxValue="4"/>
    </cacheField>
    <cacheField name="Question 25A" numFmtId="0">
      <sharedItems containsBlank="1" containsMixedTypes="1" containsNumber="1" containsInteger="1" minValue="1" maxValue="98"/>
    </cacheField>
    <cacheField name="Question 25Autre" numFmtId="0">
      <sharedItems containsBlank="1"/>
    </cacheField>
    <cacheField name="Question 26" numFmtId="0">
      <sharedItems containsBlank="1" containsMixedTypes="1" containsNumber="1" containsInteger="1" minValue="1" maxValue="2"/>
    </cacheField>
    <cacheField name="Question 26A" numFmtId="0">
      <sharedItems containsBlank="1" containsMixedTypes="1" containsNumber="1" containsInteger="1" minValue="1" maxValue="4"/>
    </cacheField>
    <cacheField name="Question 26B" numFmtId="0">
      <sharedItems containsBlank="1" containsMixedTypes="1" containsNumber="1" containsInteger="1" minValue="1" maxValue="98"/>
    </cacheField>
    <cacheField name="Question 26Autre" numFmtId="0">
      <sharedItems containsBlank="1"/>
    </cacheField>
    <cacheField name="Question 27" numFmtId="0">
      <sharedItems containsBlank="1" containsMixedTypes="1" containsNumber="1" containsInteger="1" minValue="1" maxValue="8"/>
    </cacheField>
    <cacheField name="Question 28" numFmtId="0">
      <sharedItems containsBlank="1" containsMixedTypes="1" containsNumber="1" containsInteger="1" minValue="1" maxValue="4"/>
    </cacheField>
    <cacheField name="Question 29" numFmtId="0">
      <sharedItems containsBlank="1" containsMixedTypes="1" containsNumber="1" containsInteger="1" minValue="1" maxValue="5"/>
    </cacheField>
    <cacheField name="Question 30" numFmtId="0">
      <sharedItems containsBlank="1" containsMixedTypes="1" containsNumber="1" containsInteger="1" minValue="1" maxValue="2" count="4">
        <s v="Êtes-vous :"/>
        <n v="1"/>
        <n v="2"/>
        <m/>
      </sharedItems>
    </cacheField>
    <cacheField name="Question 31" numFmtId="0">
      <sharedItems containsBlank="1" containsMixedTypes="1" containsNumber="1" containsInteger="1" minValue="1946" maxValue="1994"/>
    </cacheField>
    <cacheField name="Question 32" numFmtId="0">
      <sharedItems containsBlank="1" containsMixedTypes="1" containsNumber="1" containsInteger="1" minValue="1" maxValue="3"/>
    </cacheField>
    <cacheField name="Question 32 Autre" numFmtId="0">
      <sharedItems containsBlank="1"/>
    </cacheField>
    <cacheField name="Question 33" numFmtId="0">
      <sharedItems containsBlank="1" containsMixedTypes="1" containsNumber="1" containsInteger="1" minValue="1" maxValue="7"/>
    </cacheField>
    <cacheField name="Question 33 Autre" numFmtId="0">
      <sharedItems containsBlank="1"/>
    </cacheField>
    <cacheField name="Question 34" numFmtId="0">
      <sharedItems containsBlank="1" containsMixedTypes="1" containsNumber="1" containsInteger="1" minValue="1" maxValue="6"/>
    </cacheField>
    <cacheField name="Question 34 Autre" numFmtId="0">
      <sharedItems containsBlank="1"/>
    </cacheField>
    <cacheField name="Question 35" numFmtId="0">
      <sharedItems containsBlank="1" containsMixedTypes="1" containsNumber="1" containsInteger="1" minValue="1" maxValue="4"/>
    </cacheField>
    <cacheField name="Question 35 Autre" numFmtId="0">
      <sharedItems containsBlank="1"/>
    </cacheField>
    <cacheField name="Question 36" numFmtId="0">
      <sharedItems containsBlank="1" containsMixedTypes="1" containsNumber="1" containsInteger="1" minValue="1" maxValue="4"/>
    </cacheField>
    <cacheField name="Répondant" numFmtId="0">
      <sharedItems containsString="0" containsBlank="1" containsNumber="1" containsInteger="1" minValue="1" maxValue="1"/>
    </cacheField>
    <cacheField name="Calcul de l'âge" numFmtId="0">
      <sharedItems containsString="0" containsBlank="1" containsNumber="1" containsInteger="1" minValue="19" maxValue="2013"/>
    </cacheField>
    <cacheField name="L'âge regrouper" numFmtId="0">
      <sharedItems containsString="0" containsBlank="1" containsNumber="1" containsInteger="1" minValue="1" maxValue="4"/>
    </cacheField>
    <cacheField name="Calcul vivre seul (MS)" numFmtId="0">
      <sharedItems containsString="0" containsBlank="1" containsNumber="1" containsInteger="1" minValue="1" maxValue="3"/>
    </cacheField>
    <cacheField name="Calcul ménage (M)" numFmtId="0">
      <sharedItems containsString="0" containsBlank="1" containsNumber="1" containsInteger="1" minValue="1" maxValue="5"/>
    </cacheField>
    <cacheField name="Calcul enfant (ME)" numFmtId="0">
      <sharedItems containsString="0" containsBlank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6.xml><?xml version="1.0" encoding="utf-8"?>
<pivotCacheDefinition xmlns="http://schemas.openxmlformats.org/spreadsheetml/2006/main" xmlns:r="http://schemas.openxmlformats.org/officeDocument/2006/relationships" r:id="rId1" refreshedBy="Tesmel01" refreshedDate="41416.545170717596" createdVersion="3" refreshedVersion="3" minRefreshableVersion="3" recordCount="632">
  <cacheSource type="worksheet">
    <worksheetSource ref="BB1:CQ1048576" sheet="Grille de saisie"/>
  </cacheSource>
  <cacheFields count="42">
    <cacheField name="Question 20.1" numFmtId="0">
      <sharedItems containsBlank="1" containsMixedTypes="1" containsNumber="1" containsInteger="1" minValue="1" maxValue="8" count="7">
        <s v="De façon plus spécifique, quel est votre niveau de satisfaction à l'égard du travail effectué par les policiers : auprès des jeunes de votre quartier"/>
        <n v="8"/>
        <n v="1"/>
        <n v="2"/>
        <n v="3"/>
        <n v="4"/>
        <m/>
      </sharedItems>
    </cacheField>
    <cacheField name="Question 20.2" numFmtId="0">
      <sharedItems containsBlank="1" containsMixedTypes="1" containsNumber="1" containsInteger="1" minValue="1" maxValue="8"/>
    </cacheField>
    <cacheField name="Question 20.3" numFmtId="0">
      <sharedItems containsBlank="1" containsMixedTypes="1" containsNumber="1" containsInteger="1" minValue="1" maxValue="8"/>
    </cacheField>
    <cacheField name="Question 21" numFmtId="0">
      <sharedItems containsBlank="1" containsMixedTypes="1" containsNumber="1" containsInteger="1" minValue="1" maxValue="4"/>
    </cacheField>
    <cacheField name="Question 21A" numFmtId="0">
      <sharedItems containsBlank="1" containsMixedTypes="1" containsNumber="1" containsInteger="1" minValue="1" maxValue="4"/>
    </cacheField>
    <cacheField name="Question 21Peu" numFmtId="0">
      <sharedItems containsBlank="1"/>
    </cacheField>
    <cacheField name="Question 21Pas" numFmtId="0">
      <sharedItems containsBlank="1"/>
    </cacheField>
    <cacheField name="Question 22.1" numFmtId="0">
      <sharedItems containsBlank="1" containsMixedTypes="1" containsNumber="1" containsInteger="1" minValue="1" maxValue="2"/>
    </cacheField>
    <cacheField name="Question 22.2" numFmtId="0">
      <sharedItems containsBlank="1" containsMixedTypes="1" containsNumber="1" containsInteger="1" minValue="1" maxValue="2"/>
    </cacheField>
    <cacheField name="Question 22.3" numFmtId="0">
      <sharedItems containsBlank="1" containsMixedTypes="1" containsNumber="1" containsInteger="1" minValue="1" maxValue="2"/>
    </cacheField>
    <cacheField name="Question 22.4" numFmtId="0">
      <sharedItems containsBlank="1" containsMixedTypes="1" containsNumber="1" containsInteger="1" minValue="1" maxValue="2"/>
    </cacheField>
    <cacheField name="Question 22.5" numFmtId="0">
      <sharedItems containsBlank="1" containsMixedTypes="1" containsNumber="1" containsInteger="1" minValue="1" maxValue="2"/>
    </cacheField>
    <cacheField name="Question 22.6" numFmtId="0">
      <sharedItems containsBlank="1" containsMixedTypes="1" containsNumber="1" containsInteger="1" minValue="1" maxValue="2"/>
    </cacheField>
    <cacheField name="Question 23" numFmtId="0">
      <sharedItems containsBlank="1" containsMixedTypes="1" containsNumber="1" containsInteger="1" minValue="1" maxValue="2"/>
    </cacheField>
    <cacheField name="Question 24" numFmtId="0">
      <sharedItems containsBlank="1" containsMixedTypes="1" containsNumber="1" containsInteger="1" minValue="1" maxValue="2"/>
    </cacheField>
    <cacheField name="Question 25" numFmtId="0">
      <sharedItems containsBlank="1" containsMixedTypes="1" containsNumber="1" containsInteger="1" minValue="1" maxValue="4"/>
    </cacheField>
    <cacheField name="Question 25A" numFmtId="0">
      <sharedItems containsBlank="1" containsMixedTypes="1" containsNumber="1" containsInteger="1" minValue="1" maxValue="98"/>
    </cacheField>
    <cacheField name="Question 25Autre" numFmtId="0">
      <sharedItems containsBlank="1"/>
    </cacheField>
    <cacheField name="Question 26" numFmtId="0">
      <sharedItems containsBlank="1" containsMixedTypes="1" containsNumber="1" containsInteger="1" minValue="1" maxValue="2"/>
    </cacheField>
    <cacheField name="Question 26A" numFmtId="0">
      <sharedItems containsBlank="1" containsMixedTypes="1" containsNumber="1" containsInteger="1" minValue="1" maxValue="4"/>
    </cacheField>
    <cacheField name="Question 26B" numFmtId="0">
      <sharedItems containsBlank="1" containsMixedTypes="1" containsNumber="1" containsInteger="1" minValue="1" maxValue="98"/>
    </cacheField>
    <cacheField name="Question 26Autre" numFmtId="0">
      <sharedItems containsBlank="1"/>
    </cacheField>
    <cacheField name="Question 27" numFmtId="0">
      <sharedItems containsBlank="1" containsMixedTypes="1" containsNumber="1" containsInteger="1" minValue="1" maxValue="8"/>
    </cacheField>
    <cacheField name="Question 28" numFmtId="0">
      <sharedItems containsBlank="1" containsMixedTypes="1" containsNumber="1" containsInteger="1" minValue="1" maxValue="4"/>
    </cacheField>
    <cacheField name="Question 29" numFmtId="0">
      <sharedItems containsBlank="1" containsMixedTypes="1" containsNumber="1" containsInteger="1" minValue="1" maxValue="5"/>
    </cacheField>
    <cacheField name="Question 30" numFmtId="0">
      <sharedItems containsBlank="1" containsMixedTypes="1" containsNumber="1" containsInteger="1" minValue="1" maxValue="2"/>
    </cacheField>
    <cacheField name="Question 31" numFmtId="0">
      <sharedItems containsBlank="1" containsMixedTypes="1" containsNumber="1" containsInteger="1" minValue="1946" maxValue="1994"/>
    </cacheField>
    <cacheField name="Question 32" numFmtId="0">
      <sharedItems containsBlank="1" containsMixedTypes="1" containsNumber="1" containsInteger="1" minValue="1" maxValue="3"/>
    </cacheField>
    <cacheField name="Question 32 Autre" numFmtId="0">
      <sharedItems containsBlank="1"/>
    </cacheField>
    <cacheField name="Question 33" numFmtId="0">
      <sharedItems containsBlank="1" containsMixedTypes="1" containsNumber="1" containsInteger="1" minValue="1" maxValue="7"/>
    </cacheField>
    <cacheField name="Question 33 Autre" numFmtId="0">
      <sharedItems containsBlank="1"/>
    </cacheField>
    <cacheField name="Question 34" numFmtId="0">
      <sharedItems containsBlank="1" containsMixedTypes="1" containsNumber="1" containsInteger="1" minValue="1" maxValue="6"/>
    </cacheField>
    <cacheField name="Question 34 Autre" numFmtId="0">
      <sharedItems containsBlank="1"/>
    </cacheField>
    <cacheField name="Question 35" numFmtId="0">
      <sharedItems containsBlank="1" containsMixedTypes="1" containsNumber="1" containsInteger="1" minValue="1" maxValue="4"/>
    </cacheField>
    <cacheField name="Question 35 Autre" numFmtId="0">
      <sharedItems containsBlank="1"/>
    </cacheField>
    <cacheField name="Question 36" numFmtId="0">
      <sharedItems containsBlank="1" containsMixedTypes="1" containsNumber="1" containsInteger="1" minValue="1" maxValue="4"/>
    </cacheField>
    <cacheField name="Répondant" numFmtId="0">
      <sharedItems containsString="0" containsBlank="1" containsNumber="1" containsInteger="1" minValue="1" maxValue="1"/>
    </cacheField>
    <cacheField name="Calcul de l'âge" numFmtId="0">
      <sharedItems containsString="0" containsBlank="1" containsNumber="1" containsInteger="1" minValue="19" maxValue="2013"/>
    </cacheField>
    <cacheField name="L'âge regrouper" numFmtId="0">
      <sharedItems containsString="0" containsBlank="1" containsNumber="1" containsInteger="1" minValue="1" maxValue="4" count="5">
        <m/>
        <n v="1"/>
        <n v="2"/>
        <n v="3"/>
        <n v="4"/>
      </sharedItems>
    </cacheField>
    <cacheField name="Calcul vivre seul (MS)" numFmtId="0">
      <sharedItems containsString="0" containsBlank="1" containsNumber="1" containsInteger="1" minValue="1" maxValue="3"/>
    </cacheField>
    <cacheField name="Calcul ménage (M)" numFmtId="0">
      <sharedItems containsString="0" containsBlank="1" containsNumber="1" containsInteger="1" minValue="1" maxValue="5"/>
    </cacheField>
    <cacheField name="Calcul enfant (ME)" numFmtId="0">
      <sharedItems containsString="0" containsBlank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7.xml><?xml version="1.0" encoding="utf-8"?>
<pivotCacheDefinition xmlns="http://schemas.openxmlformats.org/spreadsheetml/2006/main" xmlns:r="http://schemas.openxmlformats.org/officeDocument/2006/relationships" r:id="rId1" refreshedBy="Tesmel01" refreshedDate="41416.545171064812" createdVersion="3" refreshedVersion="3" minRefreshableVersion="3" recordCount="601">
  <cacheSource type="worksheet">
    <worksheetSource ref="BC1:CQ602" sheet="Grille de saisie"/>
  </cacheSource>
  <cacheFields count="41">
    <cacheField name="Question 20.2" numFmtId="0">
      <sharedItems containsBlank="1" containsMixedTypes="1" containsNumber="1" containsInteger="1" minValue="1" maxValue="8" count="7">
        <s v="De façon plus spécifique, quel est votre niveau de satisfaction à l'égard du travail effectué par les policiers : pour assurer la sécurité routière dans votre quartier"/>
        <n v="2"/>
        <n v="4"/>
        <n v="3"/>
        <n v="1"/>
        <n v="8"/>
        <m/>
      </sharedItems>
    </cacheField>
    <cacheField name="Question 20.3" numFmtId="0">
      <sharedItems containsBlank="1" containsMixedTypes="1" containsNumber="1" containsInteger="1" minValue="1" maxValue="8"/>
    </cacheField>
    <cacheField name="Question 21" numFmtId="0">
      <sharedItems containsBlank="1" containsMixedTypes="1" containsNumber="1" containsInteger="1" minValue="1" maxValue="4"/>
    </cacheField>
    <cacheField name="Question 21A" numFmtId="0">
      <sharedItems containsBlank="1" containsMixedTypes="1" containsNumber="1" containsInteger="1" minValue="1" maxValue="4"/>
    </cacheField>
    <cacheField name="Question 21Peu" numFmtId="0">
      <sharedItems containsBlank="1"/>
    </cacheField>
    <cacheField name="Question 21Pas" numFmtId="0">
      <sharedItems containsBlank="1"/>
    </cacheField>
    <cacheField name="Question 22.1" numFmtId="0">
      <sharedItems containsBlank="1" containsMixedTypes="1" containsNumber="1" containsInteger="1" minValue="1" maxValue="2"/>
    </cacheField>
    <cacheField name="Question 22.2" numFmtId="0">
      <sharedItems containsBlank="1" containsMixedTypes="1" containsNumber="1" containsInteger="1" minValue="1" maxValue="2"/>
    </cacheField>
    <cacheField name="Question 22.3" numFmtId="0">
      <sharedItems containsBlank="1" containsMixedTypes="1" containsNumber="1" containsInteger="1" minValue="1" maxValue="2"/>
    </cacheField>
    <cacheField name="Question 22.4" numFmtId="0">
      <sharedItems containsBlank="1" containsMixedTypes="1" containsNumber="1" containsInteger="1" minValue="1" maxValue="2"/>
    </cacheField>
    <cacheField name="Question 22.5" numFmtId="0">
      <sharedItems containsBlank="1" containsMixedTypes="1" containsNumber="1" containsInteger="1" minValue="1" maxValue="2"/>
    </cacheField>
    <cacheField name="Question 22.6" numFmtId="0">
      <sharedItems containsBlank="1" containsMixedTypes="1" containsNumber="1" containsInteger="1" minValue="1" maxValue="2"/>
    </cacheField>
    <cacheField name="Question 23" numFmtId="0">
      <sharedItems containsBlank="1" containsMixedTypes="1" containsNumber="1" containsInteger="1" minValue="1" maxValue="2"/>
    </cacheField>
    <cacheField name="Question 24" numFmtId="0">
      <sharedItems containsBlank="1" containsMixedTypes="1" containsNumber="1" containsInteger="1" minValue="1" maxValue="2"/>
    </cacheField>
    <cacheField name="Question 25" numFmtId="0">
      <sharedItems containsBlank="1" containsMixedTypes="1" containsNumber="1" containsInteger="1" minValue="1" maxValue="4"/>
    </cacheField>
    <cacheField name="Question 25A" numFmtId="0">
      <sharedItems containsBlank="1" containsMixedTypes="1" containsNumber="1" containsInteger="1" minValue="1" maxValue="98"/>
    </cacheField>
    <cacheField name="Question 25Autre" numFmtId="0">
      <sharedItems containsBlank="1"/>
    </cacheField>
    <cacheField name="Question 26" numFmtId="0">
      <sharedItems containsBlank="1" containsMixedTypes="1" containsNumber="1" containsInteger="1" minValue="1" maxValue="2"/>
    </cacheField>
    <cacheField name="Question 26A" numFmtId="0">
      <sharedItems containsBlank="1" containsMixedTypes="1" containsNumber="1" containsInteger="1" minValue="1" maxValue="4"/>
    </cacheField>
    <cacheField name="Question 26B" numFmtId="0">
      <sharedItems containsBlank="1" containsMixedTypes="1" containsNumber="1" containsInteger="1" minValue="1" maxValue="98"/>
    </cacheField>
    <cacheField name="Question 26Autre" numFmtId="0">
      <sharedItems containsBlank="1"/>
    </cacheField>
    <cacheField name="Question 27" numFmtId="0">
      <sharedItems containsBlank="1" containsMixedTypes="1" containsNumber="1" containsInteger="1" minValue="1" maxValue="8"/>
    </cacheField>
    <cacheField name="Question 28" numFmtId="0">
      <sharedItems containsBlank="1" containsMixedTypes="1" containsNumber="1" containsInteger="1" minValue="1" maxValue="4"/>
    </cacheField>
    <cacheField name="Question 29" numFmtId="0">
      <sharedItems containsBlank="1" containsMixedTypes="1" containsNumber="1" containsInteger="1" minValue="1" maxValue="5"/>
    </cacheField>
    <cacheField name="Question 30" numFmtId="0">
      <sharedItems containsBlank="1" containsMixedTypes="1" containsNumber="1" containsInteger="1" minValue="1" maxValue="2" count="4">
        <s v="Êtes-vous :"/>
        <n v="1"/>
        <n v="2"/>
        <m/>
      </sharedItems>
    </cacheField>
    <cacheField name="Question 31" numFmtId="0">
      <sharedItems containsBlank="1" containsMixedTypes="1" containsNumber="1" containsInteger="1" minValue="1946" maxValue="1994"/>
    </cacheField>
    <cacheField name="Question 32" numFmtId="0">
      <sharedItems containsBlank="1" containsMixedTypes="1" containsNumber="1" containsInteger="1" minValue="1" maxValue="3"/>
    </cacheField>
    <cacheField name="Question 32 Autre" numFmtId="0">
      <sharedItems containsBlank="1"/>
    </cacheField>
    <cacheField name="Question 33" numFmtId="0">
      <sharedItems containsBlank="1" containsMixedTypes="1" containsNumber="1" containsInteger="1" minValue="1" maxValue="7"/>
    </cacheField>
    <cacheField name="Question 33 Autre" numFmtId="0">
      <sharedItems containsBlank="1"/>
    </cacheField>
    <cacheField name="Question 34" numFmtId="0">
      <sharedItems containsBlank="1" containsMixedTypes="1" containsNumber="1" containsInteger="1" minValue="1" maxValue="6"/>
    </cacheField>
    <cacheField name="Question 34 Autre" numFmtId="0">
      <sharedItems containsBlank="1"/>
    </cacheField>
    <cacheField name="Question 35" numFmtId="0">
      <sharedItems containsBlank="1" containsMixedTypes="1" containsNumber="1" containsInteger="1" minValue="1" maxValue="4"/>
    </cacheField>
    <cacheField name="Question 35 Autre" numFmtId="0">
      <sharedItems containsBlank="1"/>
    </cacheField>
    <cacheField name="Question 36" numFmtId="0">
      <sharedItems containsBlank="1" containsMixedTypes="1" containsNumber="1" containsInteger="1" minValue="1" maxValue="4"/>
    </cacheField>
    <cacheField name="Répondant" numFmtId="0">
      <sharedItems containsString="0" containsBlank="1" containsNumber="1" containsInteger="1" minValue="1" maxValue="1"/>
    </cacheField>
    <cacheField name="Calcul de l'âge" numFmtId="0">
      <sharedItems containsString="0" containsBlank="1" containsNumber="1" containsInteger="1" minValue="19" maxValue="2013"/>
    </cacheField>
    <cacheField name="L'âge regrouper" numFmtId="0">
      <sharedItems containsString="0" containsBlank="1" containsNumber="1" containsInteger="1" minValue="1" maxValue="4"/>
    </cacheField>
    <cacheField name="Calcul vivre seul (MS)" numFmtId="0">
      <sharedItems containsString="0" containsBlank="1" containsNumber="1" containsInteger="1" minValue="1" maxValue="3"/>
    </cacheField>
    <cacheField name="Calcul ménage (M)" numFmtId="0">
      <sharedItems containsString="0" containsBlank="1" containsNumber="1" containsInteger="1" minValue="1" maxValue="5"/>
    </cacheField>
    <cacheField name="Calcul enfant (ME)" numFmtId="0">
      <sharedItems containsString="0" containsBlank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8.xml><?xml version="1.0" encoding="utf-8"?>
<pivotCacheDefinition xmlns="http://schemas.openxmlformats.org/spreadsheetml/2006/main" xmlns:r="http://schemas.openxmlformats.org/officeDocument/2006/relationships" r:id="rId1" refreshedBy="Tesmel01" refreshedDate="41416.545171296297" createdVersion="3" refreshedVersion="3" minRefreshableVersion="3" recordCount="632">
  <cacheSource type="worksheet">
    <worksheetSource ref="BC1:CQ1048576" sheet="Grille de saisie"/>
  </cacheSource>
  <cacheFields count="41">
    <cacheField name="Question 20.2" numFmtId="0">
      <sharedItems containsBlank="1" containsMixedTypes="1" containsNumber="1" containsInteger="1" minValue="1" maxValue="8" count="7">
        <s v="De façon plus spécifique, quel est votre niveau de satisfaction à l'égard du travail effectué par les policiers : pour assurer la sécurité routière dans votre quartier"/>
        <n v="2"/>
        <n v="4"/>
        <n v="3"/>
        <n v="1"/>
        <n v="8"/>
        <m/>
      </sharedItems>
    </cacheField>
    <cacheField name="Question 20.3" numFmtId="0">
      <sharedItems containsBlank="1" containsMixedTypes="1" containsNumber="1" containsInteger="1" minValue="1" maxValue="8"/>
    </cacheField>
    <cacheField name="Question 21" numFmtId="0">
      <sharedItems containsBlank="1" containsMixedTypes="1" containsNumber="1" containsInteger="1" minValue="1" maxValue="4"/>
    </cacheField>
    <cacheField name="Question 21A" numFmtId="0">
      <sharedItems containsBlank="1" containsMixedTypes="1" containsNumber="1" containsInteger="1" minValue="1" maxValue="4"/>
    </cacheField>
    <cacheField name="Question 21Peu" numFmtId="0">
      <sharedItems containsBlank="1"/>
    </cacheField>
    <cacheField name="Question 21Pas" numFmtId="0">
      <sharedItems containsBlank="1"/>
    </cacheField>
    <cacheField name="Question 22.1" numFmtId="0">
      <sharedItems containsBlank="1" containsMixedTypes="1" containsNumber="1" containsInteger="1" minValue="1" maxValue="2"/>
    </cacheField>
    <cacheField name="Question 22.2" numFmtId="0">
      <sharedItems containsBlank="1" containsMixedTypes="1" containsNumber="1" containsInteger="1" minValue="1" maxValue="2"/>
    </cacheField>
    <cacheField name="Question 22.3" numFmtId="0">
      <sharedItems containsBlank="1" containsMixedTypes="1" containsNumber="1" containsInteger="1" minValue="1" maxValue="2"/>
    </cacheField>
    <cacheField name="Question 22.4" numFmtId="0">
      <sharedItems containsBlank="1" containsMixedTypes="1" containsNumber="1" containsInteger="1" minValue="1" maxValue="2"/>
    </cacheField>
    <cacheField name="Question 22.5" numFmtId="0">
      <sharedItems containsBlank="1" containsMixedTypes="1" containsNumber="1" containsInteger="1" minValue="1" maxValue="2"/>
    </cacheField>
    <cacheField name="Question 22.6" numFmtId="0">
      <sharedItems containsBlank="1" containsMixedTypes="1" containsNumber="1" containsInteger="1" minValue="1" maxValue="2"/>
    </cacheField>
    <cacheField name="Question 23" numFmtId="0">
      <sharedItems containsBlank="1" containsMixedTypes="1" containsNumber="1" containsInteger="1" minValue="1" maxValue="2"/>
    </cacheField>
    <cacheField name="Question 24" numFmtId="0">
      <sharedItems containsBlank="1" containsMixedTypes="1" containsNumber="1" containsInteger="1" minValue="1" maxValue="2"/>
    </cacheField>
    <cacheField name="Question 25" numFmtId="0">
      <sharedItems containsBlank="1" containsMixedTypes="1" containsNumber="1" containsInteger="1" minValue="1" maxValue="4"/>
    </cacheField>
    <cacheField name="Question 25A" numFmtId="0">
      <sharedItems containsBlank="1" containsMixedTypes="1" containsNumber="1" containsInteger="1" minValue="1" maxValue="98"/>
    </cacheField>
    <cacheField name="Question 25Autre" numFmtId="0">
      <sharedItems containsBlank="1"/>
    </cacheField>
    <cacheField name="Question 26" numFmtId="0">
      <sharedItems containsBlank="1" containsMixedTypes="1" containsNumber="1" containsInteger="1" minValue="1" maxValue="2"/>
    </cacheField>
    <cacheField name="Question 26A" numFmtId="0">
      <sharedItems containsBlank="1" containsMixedTypes="1" containsNumber="1" containsInteger="1" minValue="1" maxValue="4"/>
    </cacheField>
    <cacheField name="Question 26B" numFmtId="0">
      <sharedItems containsBlank="1" containsMixedTypes="1" containsNumber="1" containsInteger="1" minValue="1" maxValue="98"/>
    </cacheField>
    <cacheField name="Question 26Autre" numFmtId="0">
      <sharedItems containsBlank="1"/>
    </cacheField>
    <cacheField name="Question 27" numFmtId="0">
      <sharedItems containsBlank="1" containsMixedTypes="1" containsNumber="1" containsInteger="1" minValue="1" maxValue="8"/>
    </cacheField>
    <cacheField name="Question 28" numFmtId="0">
      <sharedItems containsBlank="1" containsMixedTypes="1" containsNumber="1" containsInteger="1" minValue="1" maxValue="4"/>
    </cacheField>
    <cacheField name="Question 29" numFmtId="0">
      <sharedItems containsBlank="1" containsMixedTypes="1" containsNumber="1" containsInteger="1" minValue="1" maxValue="5"/>
    </cacheField>
    <cacheField name="Question 30" numFmtId="0">
      <sharedItems containsBlank="1" containsMixedTypes="1" containsNumber="1" containsInteger="1" minValue="1" maxValue="2"/>
    </cacheField>
    <cacheField name="Question 31" numFmtId="0">
      <sharedItems containsBlank="1" containsMixedTypes="1" containsNumber="1" containsInteger="1" minValue="1946" maxValue="1994"/>
    </cacheField>
    <cacheField name="Question 32" numFmtId="0">
      <sharedItems containsBlank="1" containsMixedTypes="1" containsNumber="1" containsInteger="1" minValue="1" maxValue="3"/>
    </cacheField>
    <cacheField name="Question 32 Autre" numFmtId="0">
      <sharedItems containsBlank="1"/>
    </cacheField>
    <cacheField name="Question 33" numFmtId="0">
      <sharedItems containsBlank="1" containsMixedTypes="1" containsNumber="1" containsInteger="1" minValue="1" maxValue="7"/>
    </cacheField>
    <cacheField name="Question 33 Autre" numFmtId="0">
      <sharedItems containsBlank="1"/>
    </cacheField>
    <cacheField name="Question 34" numFmtId="0">
      <sharedItems containsBlank="1" containsMixedTypes="1" containsNumber="1" containsInteger="1" minValue="1" maxValue="6"/>
    </cacheField>
    <cacheField name="Question 34 Autre" numFmtId="0">
      <sharedItems containsBlank="1"/>
    </cacheField>
    <cacheField name="Question 35" numFmtId="0">
      <sharedItems containsBlank="1" containsMixedTypes="1" containsNumber="1" containsInteger="1" minValue="1" maxValue="4"/>
    </cacheField>
    <cacheField name="Question 35 Autre" numFmtId="0">
      <sharedItems containsBlank="1"/>
    </cacheField>
    <cacheField name="Question 36" numFmtId="0">
      <sharedItems containsBlank="1" containsMixedTypes="1" containsNumber="1" containsInteger="1" minValue="1" maxValue="4"/>
    </cacheField>
    <cacheField name="Répondant" numFmtId="0">
      <sharedItems containsString="0" containsBlank="1" containsNumber="1" containsInteger="1" minValue="1" maxValue="1"/>
    </cacheField>
    <cacheField name="Calcul de l'âge" numFmtId="0">
      <sharedItems containsString="0" containsBlank="1" containsNumber="1" containsInteger="1" minValue="19" maxValue="2013"/>
    </cacheField>
    <cacheField name="L'âge regrouper" numFmtId="0">
      <sharedItems containsString="0" containsBlank="1" containsNumber="1" containsInteger="1" minValue="1" maxValue="4" count="5">
        <m/>
        <n v="1"/>
        <n v="2"/>
        <n v="3"/>
        <n v="4"/>
      </sharedItems>
    </cacheField>
    <cacheField name="Calcul vivre seul (MS)" numFmtId="0">
      <sharedItems containsString="0" containsBlank="1" containsNumber="1" containsInteger="1" minValue="1" maxValue="3"/>
    </cacheField>
    <cacheField name="Calcul ménage (M)" numFmtId="0">
      <sharedItems containsString="0" containsBlank="1" containsNumber="1" containsInteger="1" minValue="1" maxValue="5"/>
    </cacheField>
    <cacheField name="Calcul enfant (ME)" numFmtId="0">
      <sharedItems containsString="0" containsBlank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9.xml><?xml version="1.0" encoding="utf-8"?>
<pivotCacheDefinition xmlns="http://schemas.openxmlformats.org/spreadsheetml/2006/main" xmlns:r="http://schemas.openxmlformats.org/officeDocument/2006/relationships" r:id="rId1" refreshedBy="Tesmel01" refreshedDate="41416.54517164352" createdVersion="3" refreshedVersion="3" minRefreshableVersion="3" recordCount="632">
  <cacheSource type="worksheet">
    <worksheetSource ref="BD1:CQ1048576" sheet="Grille de saisie"/>
  </cacheSource>
  <cacheFields count="40">
    <cacheField name="Question 20.3" numFmtId="0">
      <sharedItems containsBlank="1" containsMixedTypes="1" containsNumber="1" containsInteger="1" minValue="1" maxValue="8" count="7">
        <s v="De façon plus spécifique, quel est votre niveau de satisfaction à l'égard du travail effectué par les policiers : pour régler des problèmes de délinquance ou de désordres qui surviennent dans votre quartier"/>
        <n v="2"/>
        <n v="1"/>
        <n v="4"/>
        <n v="3"/>
        <n v="8"/>
        <m/>
      </sharedItems>
    </cacheField>
    <cacheField name="Question 21" numFmtId="0">
      <sharedItems containsBlank="1" containsMixedTypes="1" containsNumber="1" containsInteger="1" minValue="1" maxValue="4"/>
    </cacheField>
    <cacheField name="Question 21A" numFmtId="0">
      <sharedItems containsBlank="1" containsMixedTypes="1" containsNumber="1" containsInteger="1" minValue="1" maxValue="4"/>
    </cacheField>
    <cacheField name="Question 21Peu" numFmtId="0">
      <sharedItems containsBlank="1"/>
    </cacheField>
    <cacheField name="Question 21Pas" numFmtId="0">
      <sharedItems containsBlank="1"/>
    </cacheField>
    <cacheField name="Question 22.1" numFmtId="0">
      <sharedItems containsBlank="1" containsMixedTypes="1" containsNumber="1" containsInteger="1" minValue="1" maxValue="2"/>
    </cacheField>
    <cacheField name="Question 22.2" numFmtId="0">
      <sharedItems containsBlank="1" containsMixedTypes="1" containsNumber="1" containsInteger="1" minValue="1" maxValue="2"/>
    </cacheField>
    <cacheField name="Question 22.3" numFmtId="0">
      <sharedItems containsBlank="1" containsMixedTypes="1" containsNumber="1" containsInteger="1" minValue="1" maxValue="2"/>
    </cacheField>
    <cacheField name="Question 22.4" numFmtId="0">
      <sharedItems containsBlank="1" containsMixedTypes="1" containsNumber="1" containsInteger="1" minValue="1" maxValue="2"/>
    </cacheField>
    <cacheField name="Question 22.5" numFmtId="0">
      <sharedItems containsBlank="1" containsMixedTypes="1" containsNumber="1" containsInteger="1" minValue="1" maxValue="2"/>
    </cacheField>
    <cacheField name="Question 22.6" numFmtId="0">
      <sharedItems containsBlank="1" containsMixedTypes="1" containsNumber="1" containsInteger="1" minValue="1" maxValue="2"/>
    </cacheField>
    <cacheField name="Question 23" numFmtId="0">
      <sharedItems containsBlank="1" containsMixedTypes="1" containsNumber="1" containsInteger="1" minValue="1" maxValue="2"/>
    </cacheField>
    <cacheField name="Question 24" numFmtId="0">
      <sharedItems containsBlank="1" containsMixedTypes="1" containsNumber="1" containsInteger="1" minValue="1" maxValue="2"/>
    </cacheField>
    <cacheField name="Question 25" numFmtId="0">
      <sharedItems containsBlank="1" containsMixedTypes="1" containsNumber="1" containsInteger="1" minValue="1" maxValue="4"/>
    </cacheField>
    <cacheField name="Question 25A" numFmtId="0">
      <sharedItems containsBlank="1" containsMixedTypes="1" containsNumber="1" containsInteger="1" minValue="1" maxValue="98"/>
    </cacheField>
    <cacheField name="Question 25Autre" numFmtId="0">
      <sharedItems containsBlank="1"/>
    </cacheField>
    <cacheField name="Question 26" numFmtId="0">
      <sharedItems containsBlank="1" containsMixedTypes="1" containsNumber="1" containsInteger="1" minValue="1" maxValue="2"/>
    </cacheField>
    <cacheField name="Question 26A" numFmtId="0">
      <sharedItems containsBlank="1" containsMixedTypes="1" containsNumber="1" containsInteger="1" minValue="1" maxValue="4"/>
    </cacheField>
    <cacheField name="Question 26B" numFmtId="0">
      <sharedItems containsBlank="1" containsMixedTypes="1" containsNumber="1" containsInteger="1" minValue="1" maxValue="98"/>
    </cacheField>
    <cacheField name="Question 26Autre" numFmtId="0">
      <sharedItems containsBlank="1"/>
    </cacheField>
    <cacheField name="Question 27" numFmtId="0">
      <sharedItems containsBlank="1" containsMixedTypes="1" containsNumber="1" containsInteger="1" minValue="1" maxValue="8"/>
    </cacheField>
    <cacheField name="Question 28" numFmtId="0">
      <sharedItems containsBlank="1" containsMixedTypes="1" containsNumber="1" containsInteger="1" minValue="1" maxValue="4"/>
    </cacheField>
    <cacheField name="Question 29" numFmtId="0">
      <sharedItems containsBlank="1" containsMixedTypes="1" containsNumber="1" containsInteger="1" minValue="1" maxValue="5"/>
    </cacheField>
    <cacheField name="Question 30" numFmtId="0">
      <sharedItems containsBlank="1" containsMixedTypes="1" containsNumber="1" containsInteger="1" minValue="1" maxValue="2" count="4">
        <s v="Êtes-vous :"/>
        <n v="1"/>
        <n v="2"/>
        <m/>
      </sharedItems>
    </cacheField>
    <cacheField name="Question 31" numFmtId="0">
      <sharedItems containsBlank="1" containsMixedTypes="1" containsNumber="1" containsInteger="1" minValue="1946" maxValue="1994"/>
    </cacheField>
    <cacheField name="Question 32" numFmtId="0">
      <sharedItems containsBlank="1" containsMixedTypes="1" containsNumber="1" containsInteger="1" minValue="1" maxValue="3"/>
    </cacheField>
    <cacheField name="Question 32 Autre" numFmtId="0">
      <sharedItems containsBlank="1"/>
    </cacheField>
    <cacheField name="Question 33" numFmtId="0">
      <sharedItems containsBlank="1" containsMixedTypes="1" containsNumber="1" containsInteger="1" minValue="1" maxValue="7"/>
    </cacheField>
    <cacheField name="Question 33 Autre" numFmtId="0">
      <sharedItems containsBlank="1"/>
    </cacheField>
    <cacheField name="Question 34" numFmtId="0">
      <sharedItems containsBlank="1" containsMixedTypes="1" containsNumber="1" containsInteger="1" minValue="1" maxValue="6"/>
    </cacheField>
    <cacheField name="Question 34 Autre" numFmtId="0">
      <sharedItems containsBlank="1"/>
    </cacheField>
    <cacheField name="Question 35" numFmtId="0">
      <sharedItems containsBlank="1" containsMixedTypes="1" containsNumber="1" containsInteger="1" minValue="1" maxValue="4"/>
    </cacheField>
    <cacheField name="Question 35 Autre" numFmtId="0">
      <sharedItems containsBlank="1"/>
    </cacheField>
    <cacheField name="Question 36" numFmtId="0">
      <sharedItems containsBlank="1" containsMixedTypes="1" containsNumber="1" containsInteger="1" minValue="1" maxValue="4"/>
    </cacheField>
    <cacheField name="Répondant" numFmtId="0">
      <sharedItems containsString="0" containsBlank="1" containsNumber="1" containsInteger="1" minValue="1" maxValue="1"/>
    </cacheField>
    <cacheField name="Calcul de l'âge" numFmtId="0">
      <sharedItems containsString="0" containsBlank="1" containsNumber="1" containsInteger="1" minValue="19" maxValue="2013"/>
    </cacheField>
    <cacheField name="L'âge regrouper" numFmtId="0">
      <sharedItems containsString="0" containsBlank="1" containsNumber="1" containsInteger="1" minValue="1" maxValue="4" count="5">
        <m/>
        <n v="1"/>
        <n v="2"/>
        <n v="3"/>
        <n v="4"/>
      </sharedItems>
    </cacheField>
    <cacheField name="Calcul vivre seul (MS)" numFmtId="0">
      <sharedItems containsString="0" containsBlank="1" containsNumber="1" containsInteger="1" minValue="1" maxValue="3"/>
    </cacheField>
    <cacheField name="Calcul ménage (M)" numFmtId="0">
      <sharedItems containsString="0" containsBlank="1" containsNumber="1" containsInteger="1" minValue="1" maxValue="5"/>
    </cacheField>
    <cacheField name="Calcul enfant (ME)" numFmtId="0">
      <sharedItems containsString="0" containsBlank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Tesmel01" refreshedDate="41416.545143634263" createdVersion="3" refreshedVersion="3" minRefreshableVersion="3" recordCount="608">
  <cacheSource type="worksheet">
    <worksheetSource ref="BM1:CQ1048576" sheet="Grille de saisie"/>
  </cacheSource>
  <cacheFields count="30">
    <cacheField name="Question 22.6" numFmtId="0">
      <sharedItems containsBlank="1" containsMixedTypes="1" containsNumber="1" containsInteger="1" minValue="1" maxValue="2" count="4">
        <s v="Au cours des deux dernières années, vous êtes vous IMPLIQUÉ SUR UNE BASE RÉGULIÈRE dans les activités suivantes de votre quartier : Dans des activités sociales, culturelles ou sportives organisées par les gens de votre quartier ou de votre municipalité ?"/>
        <n v="1"/>
        <n v="2"/>
        <m/>
      </sharedItems>
    </cacheField>
    <cacheField name="Question 23" numFmtId="0">
      <sharedItems containsBlank="1" containsMixedTypes="1" containsNumber="1" containsInteger="1" minValue="1" maxValue="2"/>
    </cacheField>
    <cacheField name="Question 24" numFmtId="0">
      <sharedItems containsBlank="1" containsMixedTypes="1" containsNumber="1" containsInteger="1" minValue="1" maxValue="2"/>
    </cacheField>
    <cacheField name="Question 25" numFmtId="0">
      <sharedItems containsBlank="1" containsMixedTypes="1" containsNumber="1" containsInteger="1" minValue="1" maxValue="4"/>
    </cacheField>
    <cacheField name="Question 25A" numFmtId="0">
      <sharedItems containsBlank="1" containsMixedTypes="1" containsNumber="1" containsInteger="1" minValue="1" maxValue="98"/>
    </cacheField>
    <cacheField name="Question 25Autre" numFmtId="0">
      <sharedItems containsBlank="1"/>
    </cacheField>
    <cacheField name="Question 26" numFmtId="0">
      <sharedItems containsBlank="1" containsMixedTypes="1" containsNumber="1" containsInteger="1" minValue="1" maxValue="2"/>
    </cacheField>
    <cacheField name="Question 26A" numFmtId="0">
      <sharedItems containsBlank="1" containsMixedTypes="1" containsNumber="1" containsInteger="1" minValue="1" maxValue="4"/>
    </cacheField>
    <cacheField name="Question 26B" numFmtId="0">
      <sharedItems containsBlank="1" containsMixedTypes="1" containsNumber="1" containsInteger="1" minValue="1" maxValue="98"/>
    </cacheField>
    <cacheField name="Question 26Autre" numFmtId="0">
      <sharedItems containsBlank="1"/>
    </cacheField>
    <cacheField name="Question 27" numFmtId="0">
      <sharedItems containsBlank="1" containsMixedTypes="1" containsNumber="1" containsInteger="1" minValue="1" maxValue="8"/>
    </cacheField>
    <cacheField name="Question 28" numFmtId="0">
      <sharedItems containsBlank="1" containsMixedTypes="1" containsNumber="1" containsInteger="1" minValue="1" maxValue="4"/>
    </cacheField>
    <cacheField name="Question 29" numFmtId="0">
      <sharedItems containsBlank="1" containsMixedTypes="1" containsNumber="1" containsInteger="1" minValue="1" maxValue="5"/>
    </cacheField>
    <cacheField name="Question 30" numFmtId="0">
      <sharedItems containsBlank="1" containsMixedTypes="1" containsNumber="1" containsInteger="1" minValue="1" maxValue="2" count="4">
        <s v="Êtes-vous :"/>
        <n v="1"/>
        <n v="2"/>
        <m/>
      </sharedItems>
    </cacheField>
    <cacheField name="Question 31" numFmtId="0">
      <sharedItems containsBlank="1" containsMixedTypes="1" containsNumber="1" containsInteger="1" minValue="1946" maxValue="1994"/>
    </cacheField>
    <cacheField name="Question 32" numFmtId="0">
      <sharedItems containsBlank="1" containsMixedTypes="1" containsNumber="1" containsInteger="1" minValue="1" maxValue="3"/>
    </cacheField>
    <cacheField name="Question 32 Autre" numFmtId="0">
      <sharedItems containsBlank="1"/>
    </cacheField>
    <cacheField name="Question 33" numFmtId="0">
      <sharedItems containsBlank="1" containsMixedTypes="1" containsNumber="1" containsInteger="1" minValue="1" maxValue="7"/>
    </cacheField>
    <cacheField name="Question 33 Autre" numFmtId="0">
      <sharedItems containsBlank="1"/>
    </cacheField>
    <cacheField name="Question 34" numFmtId="0">
      <sharedItems containsBlank="1" containsMixedTypes="1" containsNumber="1" containsInteger="1" minValue="1" maxValue="6"/>
    </cacheField>
    <cacheField name="Question 34 Autre" numFmtId="0">
      <sharedItems containsBlank="1"/>
    </cacheField>
    <cacheField name="Question 35" numFmtId="0">
      <sharedItems containsBlank="1" containsMixedTypes="1" containsNumber="1" containsInteger="1" minValue="1" maxValue="4"/>
    </cacheField>
    <cacheField name="Question 35 Autre" numFmtId="0">
      <sharedItems containsBlank="1"/>
    </cacheField>
    <cacheField name="Question 36" numFmtId="0">
      <sharedItems containsBlank="1" containsMixedTypes="1" containsNumber="1" containsInteger="1" minValue="1" maxValue="4"/>
    </cacheField>
    <cacheField name="Répondant" numFmtId="0">
      <sharedItems containsString="0" containsBlank="1" containsNumber="1" containsInteger="1" minValue="1" maxValue="1"/>
    </cacheField>
    <cacheField name="Calcul de l'âge" numFmtId="0">
      <sharedItems containsString="0" containsBlank="1" containsNumber="1" containsInteger="1" minValue="19" maxValue="2013"/>
    </cacheField>
    <cacheField name="L'âge regrouper" numFmtId="0">
      <sharedItems containsString="0" containsBlank="1" containsNumber="1" containsInteger="1" minValue="1" maxValue="4" count="5">
        <m/>
        <n v="1"/>
        <n v="2"/>
        <n v="3"/>
        <n v="4"/>
      </sharedItems>
    </cacheField>
    <cacheField name="Calcul vivre seul (MS)" numFmtId="0">
      <sharedItems containsString="0" containsBlank="1" containsNumber="1" containsInteger="1" minValue="1" maxValue="3"/>
    </cacheField>
    <cacheField name="Calcul ménage (M)" numFmtId="0">
      <sharedItems containsString="0" containsBlank="1" containsNumber="1" containsInteger="1" minValue="1" maxValue="5"/>
    </cacheField>
    <cacheField name="Calcul enfant (ME)" numFmtId="0">
      <sharedItems containsString="0" containsBlank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0.xml><?xml version="1.0" encoding="utf-8"?>
<pivotCacheDefinition xmlns="http://schemas.openxmlformats.org/spreadsheetml/2006/main" xmlns:r="http://schemas.openxmlformats.org/officeDocument/2006/relationships" r:id="rId1" refreshedBy="Tesmel01" refreshedDate="41416.545172106482" createdVersion="3" refreshedVersion="3" minRefreshableVersion="3" recordCount="632">
  <cacheSource type="worksheet">
    <worksheetSource ref="BE1:CQ1048576" sheet="Grille de saisie"/>
  </cacheSource>
  <cacheFields count="39">
    <cacheField name="Question 21" numFmtId="0">
      <sharedItems containsBlank="1" containsMixedTypes="1" containsNumber="1" containsInteger="1" minValue="1" maxValue="4" count="6">
        <s v="Au cours des deux dernières années, combien de fois avez-vous fait appel au service de police qui dessert votre quartier ?"/>
        <n v="1"/>
        <n v="2"/>
        <n v="3"/>
        <n v="4"/>
        <m/>
      </sharedItems>
    </cacheField>
    <cacheField name="Question 21A" numFmtId="0">
      <sharedItems containsBlank="1" containsMixedTypes="1" containsNumber="1" containsInteger="1" minValue="1" maxValue="4"/>
    </cacheField>
    <cacheField name="Question 21Peu" numFmtId="0">
      <sharedItems containsBlank="1"/>
    </cacheField>
    <cacheField name="Question 21Pas" numFmtId="0">
      <sharedItems containsBlank="1"/>
    </cacheField>
    <cacheField name="Question 22.1" numFmtId="0">
      <sharedItems containsBlank="1" containsMixedTypes="1" containsNumber="1" containsInteger="1" minValue="1" maxValue="2"/>
    </cacheField>
    <cacheField name="Question 22.2" numFmtId="0">
      <sharedItems containsBlank="1" containsMixedTypes="1" containsNumber="1" containsInteger="1" minValue="1" maxValue="2"/>
    </cacheField>
    <cacheField name="Question 22.3" numFmtId="0">
      <sharedItems containsBlank="1" containsMixedTypes="1" containsNumber="1" containsInteger="1" minValue="1" maxValue="2"/>
    </cacheField>
    <cacheField name="Question 22.4" numFmtId="0">
      <sharedItems containsBlank="1" containsMixedTypes="1" containsNumber="1" containsInteger="1" minValue="1" maxValue="2"/>
    </cacheField>
    <cacheField name="Question 22.5" numFmtId="0">
      <sharedItems containsBlank="1" containsMixedTypes="1" containsNumber="1" containsInteger="1" minValue="1" maxValue="2"/>
    </cacheField>
    <cacheField name="Question 22.6" numFmtId="0">
      <sharedItems containsBlank="1" containsMixedTypes="1" containsNumber="1" containsInteger="1" minValue="1" maxValue="2"/>
    </cacheField>
    <cacheField name="Question 23" numFmtId="0">
      <sharedItems containsBlank="1" containsMixedTypes="1" containsNumber="1" containsInteger="1" minValue="1" maxValue="2"/>
    </cacheField>
    <cacheField name="Question 24" numFmtId="0">
      <sharedItems containsBlank="1" containsMixedTypes="1" containsNumber="1" containsInteger="1" minValue="1" maxValue="2"/>
    </cacheField>
    <cacheField name="Question 25" numFmtId="0">
      <sharedItems containsBlank="1" containsMixedTypes="1" containsNumber="1" containsInteger="1" minValue="1" maxValue="4"/>
    </cacheField>
    <cacheField name="Question 25A" numFmtId="0">
      <sharedItems containsBlank="1" containsMixedTypes="1" containsNumber="1" containsInteger="1" minValue="1" maxValue="98"/>
    </cacheField>
    <cacheField name="Question 25Autre" numFmtId="0">
      <sharedItems containsBlank="1"/>
    </cacheField>
    <cacheField name="Question 26" numFmtId="0">
      <sharedItems containsBlank="1" containsMixedTypes="1" containsNumber="1" containsInteger="1" minValue="1" maxValue="2"/>
    </cacheField>
    <cacheField name="Question 26A" numFmtId="0">
      <sharedItems containsBlank="1" containsMixedTypes="1" containsNumber="1" containsInteger="1" minValue="1" maxValue="4"/>
    </cacheField>
    <cacheField name="Question 26B" numFmtId="0">
      <sharedItems containsBlank="1" containsMixedTypes="1" containsNumber="1" containsInteger="1" minValue="1" maxValue="98"/>
    </cacheField>
    <cacheField name="Question 26Autre" numFmtId="0">
      <sharedItems containsBlank="1"/>
    </cacheField>
    <cacheField name="Question 27" numFmtId="0">
      <sharedItems containsBlank="1" containsMixedTypes="1" containsNumber="1" containsInteger="1" minValue="1" maxValue="8"/>
    </cacheField>
    <cacheField name="Question 28" numFmtId="0">
      <sharedItems containsBlank="1" containsMixedTypes="1" containsNumber="1" containsInteger="1" minValue="1" maxValue="4"/>
    </cacheField>
    <cacheField name="Question 29" numFmtId="0">
      <sharedItems containsBlank="1" containsMixedTypes="1" containsNumber="1" containsInteger="1" minValue="1" maxValue="5"/>
    </cacheField>
    <cacheField name="Question 30" numFmtId="0">
      <sharedItems containsBlank="1" containsMixedTypes="1" containsNumber="1" containsInteger="1" minValue="1" maxValue="2" count="4">
        <s v="Êtes-vous :"/>
        <n v="1"/>
        <n v="2"/>
        <m/>
      </sharedItems>
    </cacheField>
    <cacheField name="Question 31" numFmtId="0">
      <sharedItems containsBlank="1" containsMixedTypes="1" containsNumber="1" containsInteger="1" minValue="1946" maxValue="1994"/>
    </cacheField>
    <cacheField name="Question 32" numFmtId="0">
      <sharedItems containsBlank="1" containsMixedTypes="1" containsNumber="1" containsInteger="1" minValue="1" maxValue="3"/>
    </cacheField>
    <cacheField name="Question 32 Autre" numFmtId="0">
      <sharedItems containsBlank="1"/>
    </cacheField>
    <cacheField name="Question 33" numFmtId="0">
      <sharedItems containsBlank="1" containsMixedTypes="1" containsNumber="1" containsInteger="1" minValue="1" maxValue="7"/>
    </cacheField>
    <cacheField name="Question 33 Autre" numFmtId="0">
      <sharedItems containsBlank="1"/>
    </cacheField>
    <cacheField name="Question 34" numFmtId="0">
      <sharedItems containsBlank="1" containsMixedTypes="1" containsNumber="1" containsInteger="1" minValue="1" maxValue="6"/>
    </cacheField>
    <cacheField name="Question 34 Autre" numFmtId="0">
      <sharedItems containsBlank="1"/>
    </cacheField>
    <cacheField name="Question 35" numFmtId="0">
      <sharedItems containsBlank="1" containsMixedTypes="1" containsNumber="1" containsInteger="1" minValue="1" maxValue="4"/>
    </cacheField>
    <cacheField name="Question 35 Autre" numFmtId="0">
      <sharedItems containsBlank="1"/>
    </cacheField>
    <cacheField name="Question 36" numFmtId="0">
      <sharedItems containsBlank="1" containsMixedTypes="1" containsNumber="1" containsInteger="1" minValue="1" maxValue="4"/>
    </cacheField>
    <cacheField name="Répondant" numFmtId="0">
      <sharedItems containsString="0" containsBlank="1" containsNumber="1" containsInteger="1" minValue="1" maxValue="1"/>
    </cacheField>
    <cacheField name="Calcul de l'âge" numFmtId="0">
      <sharedItems containsString="0" containsBlank="1" containsNumber="1" containsInteger="1" minValue="19" maxValue="2013"/>
    </cacheField>
    <cacheField name="L'âge regrouper" numFmtId="0">
      <sharedItems containsString="0" containsBlank="1" containsNumber="1" containsInteger="1" minValue="1" maxValue="4" count="5">
        <m/>
        <n v="1"/>
        <n v="2"/>
        <n v="3"/>
        <n v="4"/>
      </sharedItems>
    </cacheField>
    <cacheField name="Calcul vivre seul (MS)" numFmtId="0">
      <sharedItems containsString="0" containsBlank="1" containsNumber="1" containsInteger="1" minValue="1" maxValue="3"/>
    </cacheField>
    <cacheField name="Calcul ménage (M)" numFmtId="0">
      <sharedItems containsString="0" containsBlank="1" containsNumber="1" containsInteger="1" minValue="1" maxValue="5"/>
    </cacheField>
    <cacheField name="Calcul enfant (ME)" numFmtId="0">
      <sharedItems containsString="0" containsBlank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1.xml><?xml version="1.0" encoding="utf-8"?>
<pivotCacheDefinition xmlns="http://schemas.openxmlformats.org/spreadsheetml/2006/main" xmlns:r="http://schemas.openxmlformats.org/officeDocument/2006/relationships" r:id="rId1" refreshedBy="Tesmel01" refreshedDate="41416.545172685182" createdVersion="3" refreshedVersion="3" minRefreshableVersion="3" recordCount="632">
  <cacheSource type="worksheet">
    <worksheetSource ref="BF1:CQ1048576" sheet="Grille de saisie"/>
  </cacheSource>
  <cacheFields count="38">
    <cacheField name="Question 21A" numFmtId="0">
      <sharedItems containsBlank="1" containsMixedTypes="1" containsNumber="1" containsInteger="1" minValue="1" maxValue="4" count="6">
        <s v="En vous référant à l'événement le plus récent, quel est votre niveau de satisfaction à l'égard de la réponse que vous avez reçue ?"/>
        <m/>
        <n v="1"/>
        <n v="3"/>
        <n v="2"/>
        <n v="4"/>
      </sharedItems>
    </cacheField>
    <cacheField name="Question 21Peu" numFmtId="0">
      <sharedItems containsBlank="1"/>
    </cacheField>
    <cacheField name="Question 21Pas" numFmtId="0">
      <sharedItems containsBlank="1"/>
    </cacheField>
    <cacheField name="Question 22.1" numFmtId="0">
      <sharedItems containsBlank="1" containsMixedTypes="1" containsNumber="1" containsInteger="1" minValue="1" maxValue="2"/>
    </cacheField>
    <cacheField name="Question 22.2" numFmtId="0">
      <sharedItems containsBlank="1" containsMixedTypes="1" containsNumber="1" containsInteger="1" minValue="1" maxValue="2"/>
    </cacheField>
    <cacheField name="Question 22.3" numFmtId="0">
      <sharedItems containsBlank="1" containsMixedTypes="1" containsNumber="1" containsInteger="1" minValue="1" maxValue="2"/>
    </cacheField>
    <cacheField name="Question 22.4" numFmtId="0">
      <sharedItems containsBlank="1" containsMixedTypes="1" containsNumber="1" containsInteger="1" minValue="1" maxValue="2"/>
    </cacheField>
    <cacheField name="Question 22.5" numFmtId="0">
      <sharedItems containsBlank="1" containsMixedTypes="1" containsNumber="1" containsInteger="1" minValue="1" maxValue="2"/>
    </cacheField>
    <cacheField name="Question 22.6" numFmtId="0">
      <sharedItems containsBlank="1" containsMixedTypes="1" containsNumber="1" containsInteger="1" minValue="1" maxValue="2"/>
    </cacheField>
    <cacheField name="Question 23" numFmtId="0">
      <sharedItems containsBlank="1" containsMixedTypes="1" containsNumber="1" containsInteger="1" minValue="1" maxValue="2"/>
    </cacheField>
    <cacheField name="Question 24" numFmtId="0">
      <sharedItems containsBlank="1" containsMixedTypes="1" containsNumber="1" containsInteger="1" minValue="1" maxValue="2"/>
    </cacheField>
    <cacheField name="Question 25" numFmtId="0">
      <sharedItems containsBlank="1" containsMixedTypes="1" containsNumber="1" containsInteger="1" minValue="1" maxValue="4"/>
    </cacheField>
    <cacheField name="Question 25A" numFmtId="0">
      <sharedItems containsBlank="1" containsMixedTypes="1" containsNumber="1" containsInteger="1" minValue="1" maxValue="98"/>
    </cacheField>
    <cacheField name="Question 25Autre" numFmtId="0">
      <sharedItems containsBlank="1"/>
    </cacheField>
    <cacheField name="Question 26" numFmtId="0">
      <sharedItems containsBlank="1" containsMixedTypes="1" containsNumber="1" containsInteger="1" minValue="1" maxValue="2"/>
    </cacheField>
    <cacheField name="Question 26A" numFmtId="0">
      <sharedItems containsBlank="1" containsMixedTypes="1" containsNumber="1" containsInteger="1" minValue="1" maxValue="4"/>
    </cacheField>
    <cacheField name="Question 26B" numFmtId="0">
      <sharedItems containsBlank="1" containsMixedTypes="1" containsNumber="1" containsInteger="1" minValue="1" maxValue="98"/>
    </cacheField>
    <cacheField name="Question 26Autre" numFmtId="0">
      <sharedItems containsBlank="1"/>
    </cacheField>
    <cacheField name="Question 27" numFmtId="0">
      <sharedItems containsBlank="1" containsMixedTypes="1" containsNumber="1" containsInteger="1" minValue="1" maxValue="8"/>
    </cacheField>
    <cacheField name="Question 28" numFmtId="0">
      <sharedItems containsBlank="1" containsMixedTypes="1" containsNumber="1" containsInteger="1" minValue="1" maxValue="4"/>
    </cacheField>
    <cacheField name="Question 29" numFmtId="0">
      <sharedItems containsBlank="1" containsMixedTypes="1" containsNumber="1" containsInteger="1" minValue="1" maxValue="5"/>
    </cacheField>
    <cacheField name="Question 30" numFmtId="0">
      <sharedItems containsBlank="1" containsMixedTypes="1" containsNumber="1" containsInteger="1" minValue="1" maxValue="2" count="4">
        <s v="Êtes-vous :"/>
        <n v="1"/>
        <n v="2"/>
        <m/>
      </sharedItems>
    </cacheField>
    <cacheField name="Question 31" numFmtId="0">
      <sharedItems containsBlank="1" containsMixedTypes="1" containsNumber="1" containsInteger="1" minValue="1946" maxValue="1994"/>
    </cacheField>
    <cacheField name="Question 32" numFmtId="0">
      <sharedItems containsBlank="1" containsMixedTypes="1" containsNumber="1" containsInteger="1" minValue="1" maxValue="3"/>
    </cacheField>
    <cacheField name="Question 32 Autre" numFmtId="0">
      <sharedItems containsBlank="1"/>
    </cacheField>
    <cacheField name="Question 33" numFmtId="0">
      <sharedItems containsBlank="1" containsMixedTypes="1" containsNumber="1" containsInteger="1" minValue="1" maxValue="7"/>
    </cacheField>
    <cacheField name="Question 33 Autre" numFmtId="0">
      <sharedItems containsBlank="1"/>
    </cacheField>
    <cacheField name="Question 34" numFmtId="0">
      <sharedItems containsBlank="1" containsMixedTypes="1" containsNumber="1" containsInteger="1" minValue="1" maxValue="6"/>
    </cacheField>
    <cacheField name="Question 34 Autre" numFmtId="0">
      <sharedItems containsBlank="1"/>
    </cacheField>
    <cacheField name="Question 35" numFmtId="0">
      <sharedItems containsBlank="1" containsMixedTypes="1" containsNumber="1" containsInteger="1" minValue="1" maxValue="4"/>
    </cacheField>
    <cacheField name="Question 35 Autre" numFmtId="0">
      <sharedItems containsBlank="1"/>
    </cacheField>
    <cacheField name="Question 36" numFmtId="0">
      <sharedItems containsBlank="1" containsMixedTypes="1" containsNumber="1" containsInteger="1" minValue="1" maxValue="4"/>
    </cacheField>
    <cacheField name="Répondant" numFmtId="0">
      <sharedItems containsString="0" containsBlank="1" containsNumber="1" containsInteger="1" minValue="1" maxValue="1"/>
    </cacheField>
    <cacheField name="Calcul de l'âge" numFmtId="0">
      <sharedItems containsString="0" containsBlank="1" containsNumber="1" containsInteger="1" minValue="19" maxValue="2013"/>
    </cacheField>
    <cacheField name="L'âge regrouper" numFmtId="0">
      <sharedItems containsString="0" containsBlank="1" containsNumber="1" containsInteger="1" minValue="1" maxValue="4" count="5">
        <m/>
        <n v="1"/>
        <n v="2"/>
        <n v="3"/>
        <n v="4"/>
      </sharedItems>
    </cacheField>
    <cacheField name="Calcul vivre seul (MS)" numFmtId="0">
      <sharedItems containsString="0" containsBlank="1" containsNumber="1" containsInteger="1" minValue="1" maxValue="3"/>
    </cacheField>
    <cacheField name="Calcul ménage (M)" numFmtId="0">
      <sharedItems containsString="0" containsBlank="1" containsNumber="1" containsInteger="1" minValue="1" maxValue="5"/>
    </cacheField>
    <cacheField name="Calcul enfant (ME)" numFmtId="0">
      <sharedItems containsString="0" containsBlank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freshedBy="Tesmel01" refreshedDate="41416.545144097225" createdVersion="3" refreshedVersion="3" minRefreshableVersion="3" recordCount="608">
  <cacheSource type="worksheet">
    <worksheetSource ref="BL1:CQ1048576" sheet="Grille de saisie"/>
  </cacheSource>
  <cacheFields count="31">
    <cacheField name="Question 22.5" numFmtId="0">
      <sharedItems containsBlank="1" containsMixedTypes="1" containsNumber="1" containsInteger="1" minValue="1" maxValue="2" count="4">
        <s v="Au cours des deux dernières années, vous êtes vous IMPLIQUÉ SUR UNE BASE RÉGULIÈRE dans les activités suivantes de votre quartier : Dans des activités communautaires, d'entraide ou de bénévolat (cuisine communautaire, bazar)"/>
        <n v="2"/>
        <n v="1"/>
        <m/>
      </sharedItems>
    </cacheField>
    <cacheField name="Question 22.6" numFmtId="0">
      <sharedItems containsBlank="1" containsMixedTypes="1" containsNumber="1" containsInteger="1" minValue="1" maxValue="2"/>
    </cacheField>
    <cacheField name="Question 23" numFmtId="0">
      <sharedItems containsBlank="1" containsMixedTypes="1" containsNumber="1" containsInteger="1" minValue="1" maxValue="2"/>
    </cacheField>
    <cacheField name="Question 24" numFmtId="0">
      <sharedItems containsBlank="1" containsMixedTypes="1" containsNumber="1" containsInteger="1" minValue="1" maxValue="2"/>
    </cacheField>
    <cacheField name="Question 25" numFmtId="0">
      <sharedItems containsBlank="1" containsMixedTypes="1" containsNumber="1" containsInteger="1" minValue="1" maxValue="4"/>
    </cacheField>
    <cacheField name="Question 25A" numFmtId="0">
      <sharedItems containsBlank="1" containsMixedTypes="1" containsNumber="1" containsInteger="1" minValue="1" maxValue="98"/>
    </cacheField>
    <cacheField name="Question 25Autre" numFmtId="0">
      <sharedItems containsBlank="1"/>
    </cacheField>
    <cacheField name="Question 26" numFmtId="0">
      <sharedItems containsBlank="1" containsMixedTypes="1" containsNumber="1" containsInteger="1" minValue="1" maxValue="2"/>
    </cacheField>
    <cacheField name="Question 26A" numFmtId="0">
      <sharedItems containsBlank="1" containsMixedTypes="1" containsNumber="1" containsInteger="1" minValue="1" maxValue="4"/>
    </cacheField>
    <cacheField name="Question 26B" numFmtId="0">
      <sharedItems containsBlank="1" containsMixedTypes="1" containsNumber="1" containsInteger="1" minValue="1" maxValue="98"/>
    </cacheField>
    <cacheField name="Question 26Autre" numFmtId="0">
      <sharedItems containsBlank="1"/>
    </cacheField>
    <cacheField name="Question 27" numFmtId="0">
      <sharedItems containsBlank="1" containsMixedTypes="1" containsNumber="1" containsInteger="1" minValue="1" maxValue="8"/>
    </cacheField>
    <cacheField name="Question 28" numFmtId="0">
      <sharedItems containsBlank="1" containsMixedTypes="1" containsNumber="1" containsInteger="1" minValue="1" maxValue="4"/>
    </cacheField>
    <cacheField name="Question 29" numFmtId="0">
      <sharedItems containsBlank="1" containsMixedTypes="1" containsNumber="1" containsInteger="1" minValue="1" maxValue="5"/>
    </cacheField>
    <cacheField name="Question 30" numFmtId="0">
      <sharedItems containsBlank="1" containsMixedTypes="1" containsNumber="1" containsInteger="1" minValue="1" maxValue="2" count="4">
        <s v="Êtes-vous :"/>
        <n v="1"/>
        <n v="2"/>
        <m/>
      </sharedItems>
    </cacheField>
    <cacheField name="Question 31" numFmtId="0">
      <sharedItems containsBlank="1" containsMixedTypes="1" containsNumber="1" containsInteger="1" minValue="1946" maxValue="1994"/>
    </cacheField>
    <cacheField name="Question 32" numFmtId="0">
      <sharedItems containsBlank="1" containsMixedTypes="1" containsNumber="1" containsInteger="1" minValue="1" maxValue="3"/>
    </cacheField>
    <cacheField name="Question 32 Autre" numFmtId="0">
      <sharedItems containsBlank="1"/>
    </cacheField>
    <cacheField name="Question 33" numFmtId="0">
      <sharedItems containsBlank="1" containsMixedTypes="1" containsNumber="1" containsInteger="1" minValue="1" maxValue="7"/>
    </cacheField>
    <cacheField name="Question 33 Autre" numFmtId="0">
      <sharedItems containsBlank="1"/>
    </cacheField>
    <cacheField name="Question 34" numFmtId="0">
      <sharedItems containsBlank="1" containsMixedTypes="1" containsNumber="1" containsInteger="1" minValue="1" maxValue="6"/>
    </cacheField>
    <cacheField name="Question 34 Autre" numFmtId="0">
      <sharedItems containsBlank="1"/>
    </cacheField>
    <cacheField name="Question 35" numFmtId="0">
      <sharedItems containsBlank="1" containsMixedTypes="1" containsNumber="1" containsInteger="1" minValue="1" maxValue="4"/>
    </cacheField>
    <cacheField name="Question 35 Autre" numFmtId="0">
      <sharedItems containsBlank="1"/>
    </cacheField>
    <cacheField name="Question 36" numFmtId="0">
      <sharedItems containsBlank="1" containsMixedTypes="1" containsNumber="1" containsInteger="1" minValue="1" maxValue="4"/>
    </cacheField>
    <cacheField name="Répondant" numFmtId="0">
      <sharedItems containsString="0" containsBlank="1" containsNumber="1" containsInteger="1" minValue="1" maxValue="1"/>
    </cacheField>
    <cacheField name="Calcul de l'âge" numFmtId="0">
      <sharedItems containsString="0" containsBlank="1" containsNumber="1" containsInteger="1" minValue="19" maxValue="2013"/>
    </cacheField>
    <cacheField name="L'âge regrouper" numFmtId="0">
      <sharedItems containsString="0" containsBlank="1" containsNumber="1" containsInteger="1" minValue="1" maxValue="4" count="5">
        <m/>
        <n v="1"/>
        <n v="2"/>
        <n v="3"/>
        <n v="4"/>
      </sharedItems>
    </cacheField>
    <cacheField name="Calcul vivre seul (MS)" numFmtId="0">
      <sharedItems containsString="0" containsBlank="1" containsNumber="1" containsInteger="1" minValue="1" maxValue="3"/>
    </cacheField>
    <cacheField name="Calcul ménage (M)" numFmtId="0">
      <sharedItems containsString="0" containsBlank="1" containsNumber="1" containsInteger="1" minValue="1" maxValue="5"/>
    </cacheField>
    <cacheField name="Calcul enfant (ME)" numFmtId="0">
      <sharedItems containsString="0" containsBlank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r:id="rId1" refreshedBy="Tesmel01" refreshedDate="41416.545145023149" createdVersion="3" refreshedVersion="3" minRefreshableVersion="3" recordCount="608">
  <cacheSource type="worksheet">
    <worksheetSource ref="BK1:CQ1048576" sheet="Grille de saisie"/>
  </cacheSource>
  <cacheFields count="33">
    <cacheField name="Question 22.3" numFmtId="0">
      <sharedItems containsBlank="1" containsMixedTypes="1" containsNumber="1" containsInteger="1" minValue="1" maxValue="2" count="4">
        <s v="Au cours des deux dernières années, vous êtes vous IMPLIQUÉ SUR UNE BASE RÉGULIÈRE dans les activités suivantes de votre quartier : Dans un conseil de quartier ou d'arrondissement ?"/>
        <n v="1"/>
        <n v="2"/>
        <m/>
      </sharedItems>
    </cacheField>
    <cacheField name="Question 22.4" numFmtId="0">
      <sharedItems containsBlank="1" containsMixedTypes="1" containsNumber="1" containsInteger="1" minValue="1" maxValue="2"/>
    </cacheField>
    <cacheField name="Question 22.5" numFmtId="0">
      <sharedItems containsBlank="1" containsMixedTypes="1" containsNumber="1" containsInteger="1" minValue="1" maxValue="2"/>
    </cacheField>
    <cacheField name="Question 22.6" numFmtId="0">
      <sharedItems containsBlank="1" containsMixedTypes="1" containsNumber="1" containsInteger="1" minValue="1" maxValue="2"/>
    </cacheField>
    <cacheField name="Question 23" numFmtId="0">
      <sharedItems containsBlank="1" containsMixedTypes="1" containsNumber="1" containsInteger="1" minValue="1" maxValue="2"/>
    </cacheField>
    <cacheField name="Question 24" numFmtId="0">
      <sharedItems containsBlank="1" containsMixedTypes="1" containsNumber="1" containsInteger="1" minValue="1" maxValue="2"/>
    </cacheField>
    <cacheField name="Question 25" numFmtId="0">
      <sharedItems containsBlank="1" containsMixedTypes="1" containsNumber="1" containsInteger="1" minValue="1" maxValue="4"/>
    </cacheField>
    <cacheField name="Question 25A" numFmtId="0">
      <sharedItems containsBlank="1" containsMixedTypes="1" containsNumber="1" containsInteger="1" minValue="1" maxValue="98"/>
    </cacheField>
    <cacheField name="Question 25Autre" numFmtId="0">
      <sharedItems containsBlank="1"/>
    </cacheField>
    <cacheField name="Question 26" numFmtId="0">
      <sharedItems containsBlank="1" containsMixedTypes="1" containsNumber="1" containsInteger="1" minValue="1" maxValue="2"/>
    </cacheField>
    <cacheField name="Question 26A" numFmtId="0">
      <sharedItems containsBlank="1" containsMixedTypes="1" containsNumber="1" containsInteger="1" minValue="1" maxValue="4"/>
    </cacheField>
    <cacheField name="Question 26B" numFmtId="0">
      <sharedItems containsBlank="1" containsMixedTypes="1" containsNumber="1" containsInteger="1" minValue="1" maxValue="98"/>
    </cacheField>
    <cacheField name="Question 26Autre" numFmtId="0">
      <sharedItems containsBlank="1"/>
    </cacheField>
    <cacheField name="Question 27" numFmtId="0">
      <sharedItems containsBlank="1" containsMixedTypes="1" containsNumber="1" containsInteger="1" minValue="1" maxValue="8"/>
    </cacheField>
    <cacheField name="Question 28" numFmtId="0">
      <sharedItems containsBlank="1" containsMixedTypes="1" containsNumber="1" containsInteger="1" minValue="1" maxValue="4"/>
    </cacheField>
    <cacheField name="Question 29" numFmtId="0">
      <sharedItems containsBlank="1" containsMixedTypes="1" containsNumber="1" containsInteger="1" minValue="1" maxValue="5"/>
    </cacheField>
    <cacheField name="Question 30" numFmtId="0">
      <sharedItems containsBlank="1" containsMixedTypes="1" containsNumber="1" containsInteger="1" minValue="1" maxValue="2" count="4">
        <s v="Êtes-vous :"/>
        <n v="1"/>
        <n v="2"/>
        <m/>
      </sharedItems>
    </cacheField>
    <cacheField name="Question 31" numFmtId="0">
      <sharedItems containsBlank="1" containsMixedTypes="1" containsNumber="1" containsInteger="1" minValue="1946" maxValue="1994"/>
    </cacheField>
    <cacheField name="Question 32" numFmtId="0">
      <sharedItems containsBlank="1" containsMixedTypes="1" containsNumber="1" containsInteger="1" minValue="1" maxValue="3"/>
    </cacheField>
    <cacheField name="Question 32 Autre" numFmtId="0">
      <sharedItems containsBlank="1"/>
    </cacheField>
    <cacheField name="Question 33" numFmtId="0">
      <sharedItems containsBlank="1" containsMixedTypes="1" containsNumber="1" containsInteger="1" minValue="1" maxValue="7"/>
    </cacheField>
    <cacheField name="Question 33 Autre" numFmtId="0">
      <sharedItems containsBlank="1"/>
    </cacheField>
    <cacheField name="Question 34" numFmtId="0">
      <sharedItems containsBlank="1" containsMixedTypes="1" containsNumber="1" containsInteger="1" minValue="1" maxValue="6"/>
    </cacheField>
    <cacheField name="Question 34 Autre" numFmtId="0">
      <sharedItems containsBlank="1"/>
    </cacheField>
    <cacheField name="Question 35" numFmtId="0">
      <sharedItems containsBlank="1" containsMixedTypes="1" containsNumber="1" containsInteger="1" minValue="1" maxValue="4"/>
    </cacheField>
    <cacheField name="Question 35 Autre" numFmtId="0">
      <sharedItems containsBlank="1"/>
    </cacheField>
    <cacheField name="Question 36" numFmtId="0">
      <sharedItems containsBlank="1" containsMixedTypes="1" containsNumber="1" containsInteger="1" minValue="1" maxValue="4"/>
    </cacheField>
    <cacheField name="Répondant" numFmtId="0">
      <sharedItems containsString="0" containsBlank="1" containsNumber="1" containsInteger="1" minValue="1" maxValue="1"/>
    </cacheField>
    <cacheField name="Calcul de l'âge" numFmtId="0">
      <sharedItems containsString="0" containsBlank="1" containsNumber="1" containsInteger="1" minValue="19" maxValue="2013"/>
    </cacheField>
    <cacheField name="L'âge regrouper" numFmtId="0">
      <sharedItems containsString="0" containsBlank="1" containsNumber="1" containsInteger="1" minValue="1" maxValue="4" count="5">
        <m/>
        <n v="1"/>
        <n v="2"/>
        <n v="3"/>
        <n v="4"/>
      </sharedItems>
    </cacheField>
    <cacheField name="Calcul vivre seul (MS)" numFmtId="0">
      <sharedItems containsString="0" containsBlank="1" containsNumber="1" containsInteger="1" minValue="1" maxValue="3"/>
    </cacheField>
    <cacheField name="Calcul ménage (M)" numFmtId="0">
      <sharedItems containsString="0" containsBlank="1" containsNumber="1" containsInteger="1" minValue="1" maxValue="5"/>
    </cacheField>
    <cacheField name="Calcul enfant (ME)" numFmtId="0">
      <sharedItems containsString="0" containsBlank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r:id="rId1" refreshedBy="Tesmel01" refreshedDate="41416.545145601849" createdVersion="3" refreshedVersion="3" minRefreshableVersion="3" recordCount="608">
  <cacheSource type="worksheet">
    <worksheetSource ref="BJ1:CQ1048576" sheet="Grille de saisie"/>
  </cacheSource>
  <cacheFields count="34">
    <cacheField name="Question 22.2" numFmtId="0">
      <sharedItems containsBlank="1" containsMixedTypes="1" containsNumber="1" containsInteger="1" minValue="1" maxValue="2" count="4">
        <s v="Au cours des deux dernières années, vous êtes vous IMPLIQUÉ SUR UNE BASE RÉGULIÈRE dans les activités suivantes de votre quartier : Dans des assemblées du conseil municipal ?"/>
        <n v="2"/>
        <n v="1"/>
        <m/>
      </sharedItems>
    </cacheField>
    <cacheField name="Question 22.3" numFmtId="0">
      <sharedItems containsBlank="1" containsMixedTypes="1" containsNumber="1" containsInteger="1" minValue="1" maxValue="2"/>
    </cacheField>
    <cacheField name="Question 22.4" numFmtId="0">
      <sharedItems containsBlank="1" containsMixedTypes="1" containsNumber="1" containsInteger="1" minValue="1" maxValue="2"/>
    </cacheField>
    <cacheField name="Question 22.5" numFmtId="0">
      <sharedItems containsBlank="1" containsMixedTypes="1" containsNumber="1" containsInteger="1" minValue="1" maxValue="2"/>
    </cacheField>
    <cacheField name="Question 22.6" numFmtId="0">
      <sharedItems containsBlank="1" containsMixedTypes="1" containsNumber="1" containsInteger="1" minValue="1" maxValue="2"/>
    </cacheField>
    <cacheField name="Question 23" numFmtId="0">
      <sharedItems containsBlank="1" containsMixedTypes="1" containsNumber="1" containsInteger="1" minValue="1" maxValue="2"/>
    </cacheField>
    <cacheField name="Question 24" numFmtId="0">
      <sharedItems containsBlank="1" containsMixedTypes="1" containsNumber="1" containsInteger="1" minValue="1" maxValue="2"/>
    </cacheField>
    <cacheField name="Question 25" numFmtId="0">
      <sharedItems containsBlank="1" containsMixedTypes="1" containsNumber="1" containsInteger="1" minValue="1" maxValue="4"/>
    </cacheField>
    <cacheField name="Question 25A" numFmtId="0">
      <sharedItems containsBlank="1" containsMixedTypes="1" containsNumber="1" containsInteger="1" minValue="1" maxValue="98"/>
    </cacheField>
    <cacheField name="Question 25Autre" numFmtId="0">
      <sharedItems containsBlank="1"/>
    </cacheField>
    <cacheField name="Question 26" numFmtId="0">
      <sharedItems containsBlank="1" containsMixedTypes="1" containsNumber="1" containsInteger="1" minValue="1" maxValue="2"/>
    </cacheField>
    <cacheField name="Question 26A" numFmtId="0">
      <sharedItems containsBlank="1" containsMixedTypes="1" containsNumber="1" containsInteger="1" minValue="1" maxValue="4"/>
    </cacheField>
    <cacheField name="Question 26B" numFmtId="0">
      <sharedItems containsBlank="1" containsMixedTypes="1" containsNumber="1" containsInteger="1" minValue="1" maxValue="98"/>
    </cacheField>
    <cacheField name="Question 26Autre" numFmtId="0">
      <sharedItems containsBlank="1"/>
    </cacheField>
    <cacheField name="Question 27" numFmtId="0">
      <sharedItems containsBlank="1" containsMixedTypes="1" containsNumber="1" containsInteger="1" minValue="1" maxValue="8"/>
    </cacheField>
    <cacheField name="Question 28" numFmtId="0">
      <sharedItems containsBlank="1" containsMixedTypes="1" containsNumber="1" containsInteger="1" minValue="1" maxValue="4"/>
    </cacheField>
    <cacheField name="Question 29" numFmtId="0">
      <sharedItems containsBlank="1" containsMixedTypes="1" containsNumber="1" containsInteger="1" minValue="1" maxValue="5"/>
    </cacheField>
    <cacheField name="Question 30" numFmtId="0">
      <sharedItems containsBlank="1" containsMixedTypes="1" containsNumber="1" containsInteger="1" minValue="1" maxValue="2" count="4">
        <s v="Êtes-vous :"/>
        <n v="1"/>
        <n v="2"/>
        <m/>
      </sharedItems>
    </cacheField>
    <cacheField name="Question 31" numFmtId="0">
      <sharedItems containsBlank="1" containsMixedTypes="1" containsNumber="1" containsInteger="1" minValue="1946" maxValue="1994"/>
    </cacheField>
    <cacheField name="Question 32" numFmtId="0">
      <sharedItems containsBlank="1" containsMixedTypes="1" containsNumber="1" containsInteger="1" minValue="1" maxValue="3"/>
    </cacheField>
    <cacheField name="Question 32 Autre" numFmtId="0">
      <sharedItems containsBlank="1"/>
    </cacheField>
    <cacheField name="Question 33" numFmtId="0">
      <sharedItems containsBlank="1" containsMixedTypes="1" containsNumber="1" containsInteger="1" minValue="1" maxValue="7"/>
    </cacheField>
    <cacheField name="Question 33 Autre" numFmtId="0">
      <sharedItems containsBlank="1"/>
    </cacheField>
    <cacheField name="Question 34" numFmtId="0">
      <sharedItems containsBlank="1" containsMixedTypes="1" containsNumber="1" containsInteger="1" minValue="1" maxValue="6"/>
    </cacheField>
    <cacheField name="Question 34 Autre" numFmtId="0">
      <sharedItems containsBlank="1"/>
    </cacheField>
    <cacheField name="Question 35" numFmtId="0">
      <sharedItems containsBlank="1" containsMixedTypes="1" containsNumber="1" containsInteger="1" minValue="1" maxValue="4"/>
    </cacheField>
    <cacheField name="Question 35 Autre" numFmtId="0">
      <sharedItems containsBlank="1"/>
    </cacheField>
    <cacheField name="Question 36" numFmtId="0">
      <sharedItems containsBlank="1" containsMixedTypes="1" containsNumber="1" containsInteger="1" minValue="1" maxValue="4"/>
    </cacheField>
    <cacheField name="Répondant" numFmtId="0">
      <sharedItems containsString="0" containsBlank="1" containsNumber="1" containsInteger="1" minValue="1" maxValue="1"/>
    </cacheField>
    <cacheField name="Calcul de l'âge" numFmtId="0">
      <sharedItems containsString="0" containsBlank="1" containsNumber="1" containsInteger="1" minValue="19" maxValue="2013"/>
    </cacheField>
    <cacheField name="L'âge regrouper" numFmtId="0">
      <sharedItems containsString="0" containsBlank="1" containsNumber="1" containsInteger="1" minValue="1" maxValue="4" count="5">
        <m/>
        <n v="1"/>
        <n v="2"/>
        <n v="3"/>
        <n v="4"/>
      </sharedItems>
    </cacheField>
    <cacheField name="Calcul vivre seul (MS)" numFmtId="0">
      <sharedItems containsString="0" containsBlank="1" containsNumber="1" containsInteger="1" minValue="1" maxValue="3"/>
    </cacheField>
    <cacheField name="Calcul ménage (M)" numFmtId="0">
      <sharedItems containsString="0" containsBlank="1" containsNumber="1" containsInteger="1" minValue="1" maxValue="5"/>
    </cacheField>
    <cacheField name="Calcul enfant (ME)" numFmtId="0">
      <sharedItems containsString="0" containsBlank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08">
  <r>
    <x v="0"/>
    <s v="Combien de fois cela s'est-il produit ?"/>
    <s v="En se référant au dernier événement, était-ce … ?"/>
    <s v="Autre, précisez :"/>
    <s v="Maintenant, comparativement à d'autres personnes de votre âge, dirirez-vous que votre santé est en général …"/>
    <s v="Dans quel quartier habitez-vous ?"/>
    <s v="Combien de personne de moins de 18 ans habitent dans votre foyer ?"/>
    <x v="0"/>
    <s v="Quelle est votre année de naissance ?"/>
    <s v="Êtes-vous propriétaire ou locataire du logement que vous habitez ?"/>
    <s v="Autre, précisez : "/>
    <s v="Habitez-vous dans …"/>
    <s v="Autre, précisez : "/>
    <s v="Quel est votre état civil ?"/>
    <s v="Autre, précisez : "/>
    <s v="Où est situé votre lieu de travail habituel ?"/>
    <s v="Autre, précisez : "/>
    <s v="Quel est le plus haut niveau de scolarité que vous avez complété ?"/>
    <m/>
    <m/>
    <x v="0"/>
    <m/>
    <m/>
    <m/>
  </r>
  <r>
    <x v="1"/>
    <n v="4"/>
    <n v="5"/>
    <m/>
    <n v="2"/>
    <n v="4"/>
    <n v="5"/>
    <x v="1"/>
    <n v="1981"/>
    <n v="2"/>
    <m/>
    <n v="7"/>
    <m/>
    <n v="1"/>
    <m/>
    <n v="1"/>
    <m/>
    <n v="4"/>
    <n v="1"/>
    <n v="32"/>
    <x v="1"/>
    <n v="1"/>
    <n v="1"/>
    <n v="1"/>
  </r>
  <r>
    <x v="2"/>
    <m/>
    <m/>
    <m/>
    <n v="4"/>
    <n v="1"/>
    <n v="2"/>
    <x v="2"/>
    <n v="1970"/>
    <n v="1"/>
    <m/>
    <n v="5"/>
    <m/>
    <n v="2"/>
    <m/>
    <n v="2"/>
    <m/>
    <n v="1"/>
    <n v="1"/>
    <n v="43"/>
    <x v="2"/>
    <n v="2"/>
    <n v="3"/>
    <n v="2"/>
  </r>
  <r>
    <x v="1"/>
    <n v="2"/>
    <n v="8"/>
    <m/>
    <n v="5"/>
    <n v="4"/>
    <n v="4"/>
    <x v="2"/>
    <n v="1990"/>
    <n v="3"/>
    <m/>
    <n v="4"/>
    <m/>
    <n v="4"/>
    <m/>
    <n v="3"/>
    <m/>
    <n v="2"/>
    <n v="1"/>
    <n v="23"/>
    <x v="1"/>
    <n v="2"/>
    <n v="4"/>
    <n v="2"/>
  </r>
  <r>
    <x v="1"/>
    <n v="2"/>
    <n v="7"/>
    <m/>
    <n v="1"/>
    <n v="2"/>
    <n v="1"/>
    <x v="2"/>
    <n v="1983"/>
    <n v="1"/>
    <m/>
    <n v="1"/>
    <m/>
    <n v="1"/>
    <m/>
    <n v="4"/>
    <m/>
    <n v="3"/>
    <n v="1"/>
    <n v="30"/>
    <x v="1"/>
    <n v="2"/>
    <n v="3"/>
    <n v="2"/>
  </r>
  <r>
    <x v="2"/>
    <m/>
    <m/>
    <m/>
    <n v="3"/>
    <n v="3"/>
    <m/>
    <x v="2"/>
    <n v="1967"/>
    <n v="1"/>
    <m/>
    <n v="2"/>
    <m/>
    <n v="3"/>
    <m/>
    <n v="4"/>
    <m/>
    <n v="2"/>
    <n v="1"/>
    <n v="46"/>
    <x v="2"/>
    <n v="3"/>
    <n v="5"/>
    <n v="3"/>
  </r>
  <r>
    <x v="2"/>
    <m/>
    <m/>
    <m/>
    <n v="2"/>
    <n v="2"/>
    <n v="1"/>
    <x v="2"/>
    <n v="1962"/>
    <n v="2"/>
    <m/>
    <n v="3"/>
    <m/>
    <n v="3"/>
    <m/>
    <n v="1"/>
    <m/>
    <n v="1"/>
    <n v="1"/>
    <n v="51"/>
    <x v="2"/>
    <n v="2"/>
    <n v="2"/>
    <n v="2"/>
  </r>
  <r>
    <x v="1"/>
    <n v="2"/>
    <n v="6"/>
    <m/>
    <n v="1"/>
    <n v="3"/>
    <n v="3"/>
    <x v="2"/>
    <n v="1994"/>
    <n v="3"/>
    <m/>
    <n v="3"/>
    <m/>
    <n v="2"/>
    <m/>
    <n v="2"/>
    <m/>
    <n v="4"/>
    <n v="1"/>
    <n v="19"/>
    <x v="1"/>
    <n v="2"/>
    <n v="4"/>
    <n v="2"/>
  </r>
  <r>
    <x v="2"/>
    <m/>
    <m/>
    <m/>
    <n v="3"/>
    <n v="2"/>
    <n v="2"/>
    <x v="1"/>
    <n v="1983"/>
    <n v="2"/>
    <m/>
    <n v="2"/>
    <m/>
    <n v="1"/>
    <m/>
    <n v="3"/>
    <m/>
    <n v="1"/>
    <n v="1"/>
    <n v="30"/>
    <x v="1"/>
    <n v="2"/>
    <n v="4"/>
    <n v="2"/>
  </r>
  <r>
    <x v="1"/>
    <n v="1"/>
    <n v="1"/>
    <m/>
    <n v="8"/>
    <n v="3"/>
    <n v="5"/>
    <x v="1"/>
    <n v="1975"/>
    <n v="3"/>
    <m/>
    <n v="2"/>
    <m/>
    <n v="4"/>
    <m/>
    <n v="2"/>
    <m/>
    <n v="3"/>
    <n v="1"/>
    <n v="38"/>
    <x v="1"/>
    <n v="2"/>
    <n v="2"/>
    <n v="1"/>
  </r>
  <r>
    <x v="1"/>
    <n v="2"/>
    <n v="5"/>
    <m/>
    <n v="2"/>
    <n v="2"/>
    <n v="5"/>
    <x v="1"/>
    <n v="1979"/>
    <n v="3"/>
    <m/>
    <n v="1"/>
    <m/>
    <n v="1"/>
    <m/>
    <n v="1"/>
    <m/>
    <n v="2"/>
    <n v="1"/>
    <n v="34"/>
    <x v="1"/>
    <n v="1"/>
    <n v="1"/>
    <n v="1"/>
  </r>
  <r>
    <x v="2"/>
    <m/>
    <m/>
    <m/>
    <n v="1"/>
    <n v="1"/>
    <n v="5"/>
    <x v="1"/>
    <n v="1957"/>
    <n v="3"/>
    <m/>
    <n v="1"/>
    <m/>
    <n v="3"/>
    <m/>
    <n v="4"/>
    <m/>
    <n v="3"/>
    <n v="1"/>
    <n v="56"/>
    <x v="2"/>
    <n v="1"/>
    <n v="1"/>
    <n v="1"/>
  </r>
  <r>
    <x v="1"/>
    <n v="4"/>
    <n v="4"/>
    <m/>
    <n v="2"/>
    <n v="3"/>
    <m/>
    <x v="2"/>
    <n v="1946"/>
    <n v="2"/>
    <m/>
    <n v="5"/>
    <m/>
    <n v="2"/>
    <m/>
    <n v="2"/>
    <m/>
    <n v="2"/>
    <n v="1"/>
    <n v="67"/>
    <x v="3"/>
    <n v="2"/>
    <n v="4"/>
    <n v="3"/>
  </r>
  <r>
    <x v="1"/>
    <n v="2"/>
    <n v="98"/>
    <m/>
    <n v="3"/>
    <n v="2"/>
    <n v="1"/>
    <x v="1"/>
    <n v="1947"/>
    <n v="1"/>
    <m/>
    <n v="6"/>
    <m/>
    <n v="4"/>
    <m/>
    <n v="1"/>
    <m/>
    <n v="2"/>
    <n v="1"/>
    <n v="66"/>
    <x v="3"/>
    <n v="2"/>
    <n v="3"/>
    <n v="2"/>
  </r>
  <r>
    <x v="2"/>
    <m/>
    <m/>
    <m/>
    <n v="5"/>
    <n v="4"/>
    <n v="3"/>
    <x v="2"/>
    <n v="1984"/>
    <n v="3"/>
    <m/>
    <n v="4"/>
    <m/>
    <n v="6"/>
    <m/>
    <n v="3"/>
    <m/>
    <n v="1"/>
    <n v="1"/>
    <n v="29"/>
    <x v="1"/>
    <n v="2"/>
    <n v="4"/>
    <n v="2"/>
  </r>
  <r>
    <x v="2"/>
    <m/>
    <m/>
    <m/>
    <n v="3"/>
    <n v="3"/>
    <n v="1"/>
    <x v="1"/>
    <n v="1989"/>
    <n v="2"/>
    <m/>
    <n v="7"/>
    <m/>
    <n v="4"/>
    <m/>
    <n v="2"/>
    <m/>
    <n v="2"/>
    <n v="1"/>
    <n v="24"/>
    <x v="1"/>
    <n v="2"/>
    <n v="2"/>
    <n v="2"/>
  </r>
  <r>
    <x v="3"/>
    <m/>
    <m/>
    <m/>
    <m/>
    <m/>
    <m/>
    <x v="2"/>
    <n v="1990"/>
    <m/>
    <m/>
    <m/>
    <m/>
    <m/>
    <m/>
    <m/>
    <m/>
    <m/>
    <n v="1"/>
    <n v="23"/>
    <x v="1"/>
    <n v="2"/>
    <n v="4"/>
    <n v="3"/>
  </r>
  <r>
    <x v="3"/>
    <m/>
    <m/>
    <m/>
    <m/>
    <m/>
    <m/>
    <x v="2"/>
    <n v="1987"/>
    <m/>
    <m/>
    <m/>
    <m/>
    <m/>
    <m/>
    <m/>
    <m/>
    <m/>
    <n v="1"/>
    <n v="26"/>
    <x v="1"/>
    <n v="2"/>
    <n v="4"/>
    <n v="3"/>
  </r>
  <r>
    <x v="3"/>
    <m/>
    <m/>
    <m/>
    <m/>
    <m/>
    <m/>
    <x v="2"/>
    <n v="1990"/>
    <m/>
    <m/>
    <m/>
    <m/>
    <m/>
    <m/>
    <m/>
    <m/>
    <m/>
    <n v="1"/>
    <n v="23"/>
    <x v="1"/>
    <n v="2"/>
    <n v="3"/>
    <n v="3"/>
  </r>
  <r>
    <x v="3"/>
    <m/>
    <m/>
    <m/>
    <m/>
    <m/>
    <m/>
    <x v="2"/>
    <n v="1981"/>
    <m/>
    <m/>
    <m/>
    <m/>
    <m/>
    <m/>
    <m/>
    <m/>
    <m/>
    <n v="1"/>
    <n v="32"/>
    <x v="1"/>
    <n v="2"/>
    <n v="4"/>
    <n v="3"/>
  </r>
  <r>
    <x v="3"/>
    <m/>
    <m/>
    <m/>
    <m/>
    <m/>
    <m/>
    <x v="2"/>
    <n v="1970"/>
    <m/>
    <m/>
    <m/>
    <m/>
    <m/>
    <m/>
    <m/>
    <m/>
    <m/>
    <n v="1"/>
    <n v="43"/>
    <x v="2"/>
    <n v="2"/>
    <n v="4"/>
    <n v="3"/>
  </r>
  <r>
    <x v="3"/>
    <m/>
    <m/>
    <m/>
    <m/>
    <m/>
    <m/>
    <x v="3"/>
    <m/>
    <m/>
    <m/>
    <m/>
    <m/>
    <m/>
    <m/>
    <m/>
    <m/>
    <m/>
    <n v="1"/>
    <n v="2013"/>
    <x v="4"/>
    <n v="2"/>
    <n v="4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x v="3"/>
    <m/>
    <m/>
    <m/>
    <m/>
    <m/>
    <m/>
    <m/>
    <m/>
    <m/>
    <m/>
    <m/>
    <m/>
    <x v="0"/>
    <m/>
    <m/>
    <m/>
  </r>
</pivotCacheRecords>
</file>

<file path=xl/pivotCache/pivotCacheRecords10.xml><?xml version="1.0" encoding="utf-8"?>
<pivotCacheRecords xmlns="http://schemas.openxmlformats.org/spreadsheetml/2006/main" xmlns:r="http://schemas.openxmlformats.org/officeDocument/2006/relationships" count="608">
  <r>
    <x v="0"/>
    <s v="Au cours des deux dernières années, vous êtes vous IMPLIQUÉ SUR UNE BASE RÉGULIÈRE dans les activités suivantes de votre quartier : Dans des assemblées du conseil municipal ?"/>
    <s v="Au cours des deux dernières années, vous êtes vous IMPLIQUÉ SUR UNE BASE RÉGULIÈRE dans les activités suivantes de votre quartier : Dans un conseil de quartier ou d'arrondissement ?"/>
    <s v="Au cours des deux dernières années, vous êtes vous IMPLIQUÉ SUR UNE BASE RÉGULIÈRE dans les activités suivantes de votre quartier : Dans un comité de citoyens ?"/>
    <s v="Au cours des deux dernières années, vous êtes vous IMPLIQUÉ SUR UNE BASE RÉGULIÈRE dans les activités suivantes de votre quartier : Dans des activités communautaires, d'entraide ou de bénévolat (cuisine communautaire, bazar)"/>
    <s v="Au cours des deux dernières années, vous êtes vous IMPLIQUÉ SUR UNE BASE RÉGULIÈRE dans les activités suivantes de votre quartier : Dans des activités sociales, culturelles ou sportives organisées par les gens de votre quartier ou de votre municipalité ?"/>
    <s v="Au cours des deux dernières années, avez-vous été victime de vol, de vandalisme ou de tout autre crime contre vos biens, chez vous ou dans votre quartier ?"/>
    <s v="Au cours des deux dernières années, avez-vous été victime d'une agression, d'intimidation ou de tout autre acte de violence, chez vous ou dans votre quartier ?"/>
    <s v="Au cours des deux dernières années avez-vous été victime dans votre quartier d'une quelconque forme de discrimination ?"/>
    <s v="À votre avis, le motif de cette discrimination était lié …"/>
    <s v="Autre, précisez :"/>
    <s v="Au cours des deux dernières années, avez-vous subi un accident qui vous a occasionné une blessure pour laquelle vous avez dû consulter un professionnel de la santé ou limiter vos activités ?"/>
    <s v="Combien de fois cela s'est-il produit ?"/>
    <s v="En se référant au dernier événement, était-ce … ?"/>
    <s v="Autre, précisez :"/>
    <s v="Maintenant, comparativement à d'autres personnes de votre âge, dirirez-vous que votre santé est en général …"/>
    <s v="Dans quel quartier habitez-vous ?"/>
    <s v="Combien de personne de moins de 18 ans habitent dans votre foyer ?"/>
    <x v="0"/>
    <s v="Quelle est votre année de naissance ?"/>
    <s v="Êtes-vous propriétaire ou locataire du logement que vous habitez ?"/>
    <s v="Autre, précisez : "/>
    <s v="Habitez-vous dans …"/>
    <s v="Autre, précisez : "/>
    <s v="Quel est votre état civil ?"/>
    <s v="Autre, précisez : "/>
    <s v="Où est situé votre lieu de travail habituel ?"/>
    <s v="Autre, précisez : "/>
    <s v="Quel est le plus haut niveau de scolarité que vous avez complété ?"/>
    <m/>
    <m/>
    <x v="0"/>
    <m/>
    <m/>
    <m/>
  </r>
  <r>
    <x v="1"/>
    <n v="2"/>
    <n v="1"/>
    <n v="2"/>
    <n v="2"/>
    <n v="1"/>
    <n v="1"/>
    <n v="2"/>
    <n v="1"/>
    <n v="2"/>
    <m/>
    <n v="1"/>
    <n v="4"/>
    <n v="5"/>
    <m/>
    <n v="2"/>
    <n v="4"/>
    <n v="5"/>
    <x v="1"/>
    <n v="1981"/>
    <n v="2"/>
    <m/>
    <n v="7"/>
    <m/>
    <n v="1"/>
    <m/>
    <n v="1"/>
    <m/>
    <n v="4"/>
    <n v="1"/>
    <n v="32"/>
    <x v="1"/>
    <n v="1"/>
    <n v="1"/>
    <n v="1"/>
  </r>
  <r>
    <x v="2"/>
    <n v="1"/>
    <n v="1"/>
    <n v="2"/>
    <n v="2"/>
    <n v="1"/>
    <n v="2"/>
    <n v="1"/>
    <n v="2"/>
    <n v="1"/>
    <m/>
    <n v="2"/>
    <m/>
    <m/>
    <m/>
    <n v="4"/>
    <n v="1"/>
    <n v="2"/>
    <x v="2"/>
    <n v="1970"/>
    <n v="1"/>
    <m/>
    <n v="5"/>
    <m/>
    <n v="2"/>
    <m/>
    <n v="2"/>
    <m/>
    <n v="1"/>
    <n v="1"/>
    <n v="43"/>
    <x v="2"/>
    <n v="2"/>
    <n v="3"/>
    <n v="2"/>
  </r>
  <r>
    <x v="2"/>
    <n v="1"/>
    <n v="2"/>
    <n v="2"/>
    <n v="2"/>
    <n v="2"/>
    <n v="2"/>
    <n v="1"/>
    <n v="3"/>
    <n v="3"/>
    <m/>
    <n v="1"/>
    <n v="2"/>
    <n v="8"/>
    <m/>
    <n v="5"/>
    <n v="4"/>
    <n v="4"/>
    <x v="2"/>
    <n v="1990"/>
    <n v="3"/>
    <m/>
    <n v="4"/>
    <m/>
    <n v="4"/>
    <m/>
    <n v="3"/>
    <m/>
    <n v="2"/>
    <n v="1"/>
    <n v="23"/>
    <x v="1"/>
    <n v="2"/>
    <n v="4"/>
    <n v="2"/>
  </r>
  <r>
    <x v="2"/>
    <n v="1"/>
    <n v="2"/>
    <n v="2"/>
    <n v="1"/>
    <n v="2"/>
    <n v="2"/>
    <n v="2"/>
    <n v="4"/>
    <m/>
    <m/>
    <n v="1"/>
    <n v="2"/>
    <n v="7"/>
    <m/>
    <n v="1"/>
    <n v="2"/>
    <n v="1"/>
    <x v="2"/>
    <n v="1983"/>
    <n v="1"/>
    <m/>
    <n v="1"/>
    <m/>
    <n v="1"/>
    <m/>
    <n v="4"/>
    <m/>
    <n v="3"/>
    <n v="1"/>
    <n v="30"/>
    <x v="1"/>
    <n v="2"/>
    <n v="3"/>
    <n v="2"/>
  </r>
  <r>
    <x v="1"/>
    <n v="2"/>
    <n v="2"/>
    <n v="1"/>
    <n v="1"/>
    <n v="2"/>
    <n v="2"/>
    <n v="1"/>
    <n v="1"/>
    <n v="6"/>
    <m/>
    <n v="2"/>
    <m/>
    <m/>
    <m/>
    <n v="3"/>
    <n v="3"/>
    <m/>
    <x v="2"/>
    <n v="1967"/>
    <n v="1"/>
    <m/>
    <n v="2"/>
    <m/>
    <n v="3"/>
    <m/>
    <n v="4"/>
    <m/>
    <n v="2"/>
    <n v="1"/>
    <n v="46"/>
    <x v="2"/>
    <n v="3"/>
    <n v="5"/>
    <n v="3"/>
  </r>
  <r>
    <x v="1"/>
    <n v="2"/>
    <n v="1"/>
    <n v="1"/>
    <n v="2"/>
    <n v="1"/>
    <n v="1"/>
    <n v="2"/>
    <n v="4"/>
    <m/>
    <m/>
    <n v="2"/>
    <m/>
    <m/>
    <m/>
    <n v="2"/>
    <n v="2"/>
    <n v="1"/>
    <x v="2"/>
    <n v="1962"/>
    <n v="2"/>
    <m/>
    <n v="3"/>
    <m/>
    <n v="3"/>
    <m/>
    <n v="1"/>
    <m/>
    <n v="1"/>
    <n v="1"/>
    <n v="51"/>
    <x v="2"/>
    <n v="2"/>
    <n v="2"/>
    <n v="2"/>
  </r>
  <r>
    <x v="1"/>
    <n v="2"/>
    <n v="1"/>
    <n v="1"/>
    <n v="1"/>
    <n v="1"/>
    <n v="1"/>
    <n v="1"/>
    <n v="1"/>
    <n v="7"/>
    <m/>
    <n v="1"/>
    <n v="2"/>
    <n v="6"/>
    <m/>
    <n v="1"/>
    <n v="3"/>
    <n v="3"/>
    <x v="2"/>
    <n v="1994"/>
    <n v="3"/>
    <m/>
    <n v="3"/>
    <m/>
    <n v="2"/>
    <m/>
    <n v="2"/>
    <m/>
    <n v="4"/>
    <n v="1"/>
    <n v="19"/>
    <x v="1"/>
    <n v="2"/>
    <n v="4"/>
    <n v="2"/>
  </r>
  <r>
    <x v="1"/>
    <n v="1"/>
    <n v="1"/>
    <n v="1"/>
    <n v="1"/>
    <n v="1"/>
    <n v="1"/>
    <n v="2"/>
    <n v="3"/>
    <n v="2"/>
    <m/>
    <n v="2"/>
    <m/>
    <m/>
    <m/>
    <n v="3"/>
    <n v="2"/>
    <n v="2"/>
    <x v="1"/>
    <n v="1983"/>
    <n v="2"/>
    <m/>
    <n v="2"/>
    <m/>
    <n v="1"/>
    <m/>
    <n v="3"/>
    <m/>
    <n v="1"/>
    <n v="1"/>
    <n v="30"/>
    <x v="1"/>
    <n v="2"/>
    <n v="4"/>
    <n v="2"/>
  </r>
  <r>
    <x v="2"/>
    <n v="1"/>
    <n v="2"/>
    <n v="2"/>
    <n v="1"/>
    <n v="2"/>
    <n v="1"/>
    <n v="1"/>
    <n v="2"/>
    <n v="2"/>
    <m/>
    <n v="1"/>
    <n v="1"/>
    <n v="1"/>
    <m/>
    <n v="8"/>
    <n v="3"/>
    <n v="5"/>
    <x v="1"/>
    <n v="1975"/>
    <n v="3"/>
    <m/>
    <n v="2"/>
    <m/>
    <n v="4"/>
    <m/>
    <n v="2"/>
    <m/>
    <n v="3"/>
    <n v="1"/>
    <n v="38"/>
    <x v="1"/>
    <n v="2"/>
    <n v="2"/>
    <n v="1"/>
  </r>
  <r>
    <x v="2"/>
    <n v="2"/>
    <n v="2"/>
    <n v="2"/>
    <n v="2"/>
    <n v="2"/>
    <n v="1"/>
    <n v="1"/>
    <n v="2"/>
    <n v="3"/>
    <m/>
    <n v="1"/>
    <n v="2"/>
    <n v="5"/>
    <m/>
    <n v="2"/>
    <n v="2"/>
    <n v="5"/>
    <x v="1"/>
    <n v="1979"/>
    <n v="3"/>
    <m/>
    <n v="1"/>
    <m/>
    <n v="1"/>
    <m/>
    <n v="1"/>
    <m/>
    <n v="2"/>
    <n v="1"/>
    <n v="34"/>
    <x v="1"/>
    <n v="1"/>
    <n v="1"/>
    <n v="1"/>
  </r>
  <r>
    <x v="2"/>
    <n v="2"/>
    <n v="2"/>
    <n v="2"/>
    <n v="2"/>
    <n v="2"/>
    <n v="2"/>
    <n v="2"/>
    <n v="3"/>
    <n v="5"/>
    <m/>
    <n v="2"/>
    <m/>
    <m/>
    <m/>
    <n v="1"/>
    <n v="1"/>
    <n v="5"/>
    <x v="1"/>
    <n v="1957"/>
    <n v="3"/>
    <m/>
    <n v="1"/>
    <m/>
    <n v="3"/>
    <m/>
    <n v="4"/>
    <m/>
    <n v="3"/>
    <n v="1"/>
    <n v="56"/>
    <x v="2"/>
    <n v="1"/>
    <n v="1"/>
    <n v="1"/>
  </r>
  <r>
    <x v="1"/>
    <n v="1"/>
    <n v="1"/>
    <n v="2"/>
    <n v="2"/>
    <n v="1"/>
    <n v="2"/>
    <n v="2"/>
    <n v="3"/>
    <n v="98"/>
    <m/>
    <n v="1"/>
    <n v="4"/>
    <n v="4"/>
    <m/>
    <n v="2"/>
    <n v="3"/>
    <m/>
    <x v="2"/>
    <n v="1946"/>
    <n v="2"/>
    <m/>
    <n v="5"/>
    <m/>
    <n v="2"/>
    <m/>
    <n v="2"/>
    <m/>
    <n v="2"/>
    <n v="1"/>
    <n v="67"/>
    <x v="3"/>
    <n v="2"/>
    <n v="4"/>
    <n v="3"/>
  </r>
  <r>
    <x v="1"/>
    <n v="2"/>
    <n v="1"/>
    <n v="1"/>
    <n v="1"/>
    <n v="1"/>
    <n v="1"/>
    <n v="1"/>
    <n v="2"/>
    <n v="1"/>
    <m/>
    <n v="1"/>
    <n v="2"/>
    <n v="98"/>
    <m/>
    <n v="3"/>
    <n v="2"/>
    <n v="1"/>
    <x v="1"/>
    <n v="1947"/>
    <n v="1"/>
    <m/>
    <n v="6"/>
    <m/>
    <n v="4"/>
    <m/>
    <n v="1"/>
    <m/>
    <n v="2"/>
    <n v="1"/>
    <n v="66"/>
    <x v="3"/>
    <n v="2"/>
    <n v="3"/>
    <n v="2"/>
  </r>
  <r>
    <x v="2"/>
    <n v="1"/>
    <n v="1"/>
    <n v="1"/>
    <n v="2"/>
    <n v="2"/>
    <n v="2"/>
    <n v="2"/>
    <n v="4"/>
    <m/>
    <m/>
    <n v="2"/>
    <m/>
    <m/>
    <m/>
    <n v="5"/>
    <n v="4"/>
    <n v="3"/>
    <x v="2"/>
    <n v="1984"/>
    <n v="3"/>
    <m/>
    <n v="4"/>
    <m/>
    <n v="6"/>
    <m/>
    <n v="3"/>
    <m/>
    <n v="1"/>
    <n v="1"/>
    <n v="29"/>
    <x v="1"/>
    <n v="2"/>
    <n v="4"/>
    <n v="2"/>
  </r>
  <r>
    <x v="1"/>
    <n v="2"/>
    <n v="2"/>
    <n v="2"/>
    <n v="2"/>
    <n v="2"/>
    <n v="1"/>
    <n v="1"/>
    <n v="1"/>
    <n v="8"/>
    <m/>
    <n v="2"/>
    <m/>
    <m/>
    <m/>
    <n v="3"/>
    <n v="3"/>
    <n v="1"/>
    <x v="1"/>
    <n v="1989"/>
    <n v="2"/>
    <m/>
    <n v="7"/>
    <m/>
    <n v="4"/>
    <m/>
    <n v="2"/>
    <m/>
    <n v="2"/>
    <n v="1"/>
    <n v="24"/>
    <x v="1"/>
    <n v="2"/>
    <n v="2"/>
    <n v="2"/>
  </r>
  <r>
    <x v="3"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4"/>
    <n v="3"/>
  </r>
  <r>
    <x v="3"/>
    <m/>
    <m/>
    <m/>
    <m/>
    <m/>
    <m/>
    <m/>
    <m/>
    <m/>
    <m/>
    <m/>
    <m/>
    <m/>
    <m/>
    <m/>
    <m/>
    <m/>
    <x v="2"/>
    <n v="1987"/>
    <m/>
    <m/>
    <m/>
    <m/>
    <m/>
    <m/>
    <m/>
    <m/>
    <m/>
    <n v="1"/>
    <n v="26"/>
    <x v="1"/>
    <n v="2"/>
    <n v="4"/>
    <n v="3"/>
  </r>
  <r>
    <x v="3"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3"/>
    <n v="3"/>
  </r>
  <r>
    <x v="3"/>
    <m/>
    <m/>
    <m/>
    <m/>
    <m/>
    <m/>
    <m/>
    <m/>
    <m/>
    <m/>
    <m/>
    <m/>
    <m/>
    <m/>
    <m/>
    <m/>
    <m/>
    <x v="2"/>
    <n v="1981"/>
    <m/>
    <m/>
    <m/>
    <m/>
    <m/>
    <m/>
    <m/>
    <m/>
    <m/>
    <n v="1"/>
    <n v="32"/>
    <x v="1"/>
    <n v="2"/>
    <n v="4"/>
    <n v="3"/>
  </r>
  <r>
    <x v="3"/>
    <m/>
    <m/>
    <m/>
    <m/>
    <m/>
    <m/>
    <m/>
    <m/>
    <m/>
    <m/>
    <m/>
    <m/>
    <m/>
    <m/>
    <m/>
    <m/>
    <m/>
    <x v="2"/>
    <n v="1970"/>
    <m/>
    <m/>
    <m/>
    <m/>
    <m/>
    <m/>
    <m/>
    <m/>
    <m/>
    <n v="1"/>
    <n v="43"/>
    <x v="2"/>
    <n v="2"/>
    <n v="4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2"/>
    <n v="4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</pivotCacheRecords>
</file>

<file path=xl/pivotCache/pivotCacheRecords11.xml><?xml version="1.0" encoding="utf-8"?>
<pivotCacheRecords xmlns="http://schemas.openxmlformats.org/spreadsheetml/2006/main" xmlns:r="http://schemas.openxmlformats.org/officeDocument/2006/relationships" count="601">
  <r>
    <x v="0"/>
    <s v="En vous incluant, combien y a-t-il de personnes de 18 ans ou plus qui habitent votre foyer ?"/>
    <x v="0"/>
    <x v="0"/>
    <s v="Quel est le problème de sécurité qui vous préoccupe le plus dans votre quartier ?"/>
    <s v="Vous arrive-t-il de ne pas vous sentir personnellement en sécurité dans votre quartier ?"/>
    <s v="Dites-nous à combien vous évaluez le risque d'être personnellement intimidé(e) ou agressé(e) dans votre quartier : Lorsque vous sortez seul(e) PENDANT LE JOUR, ce risque est : "/>
    <s v="Dites-nous à combien vous évaluez le risque d'être personnellement intimidé(e) ou agressé(e) dans votre quartier : Lorsque vous sortez seul(e) APRÈS LA TOMBÉE DU JOUR, ce risque est : "/>
    <s v="Dites-nous à combien vous évaluez le risque d'être personnellement intimidé(e) ou agressé(e) dans votre quartier : Lorsque vous attendez ou prenez le transport en commun, ce risque est …"/>
    <s v="Dites-nous à combien vous évaluez le risque que les jeunes de moins de 18 ans qui vivent avec vous (à temps plein ou à temps partiel) soient intimidés ou agressés lorqu'ils vont dehors dans votre quartier. Ce risque est …"/>
    <s v="Habituellement, combien de fois sortez-vous seul(e) dans votre quartier APRÈS LA TOMBÉE DU JOUR ? Est-ce ... "/>
    <s v="Dans votre quartier, les problèmes causés par des gens bruyants sont … ?"/>
    <s v="Dans votre quartier, les désordres liés à la consommation d'alcool dans les lieux publics sont … ?"/>
    <s v="Dans votre quartier, les désordres liés à la vente ou à la consommation de drogue sont … ?"/>
    <s v="Dans votre quartier, les problèmes liés à la criminalité sont … ?"/>
    <s v="Dans votre quartier, les problèmes causés par les gens qui traînent dans les lieux publics sont … ?"/>
    <s v="Dans votre quartier, les actes de vandalisme sont … ?"/>
    <s v="Dans votre quartier, les conflits entre les groupes d'origines ethniques différentes sont … ?"/>
    <s v="Dans votre quartier, les conflits entre d'autres groupes d'individus sont … ?"/>
    <s v="Dans votre quartier, les graffiti sont … ?"/>
    <s v="Dans votre quartier, les immeubles ou bâtiments abandonnés ou mal entretenus sont... ?"/>
    <s v="Dans votre quartier, le niveau d'entraide entre les personnes est... ?"/>
    <s v="Dans votre quartier, le niveau de confiance qui règne entre la plupart des personnes est... ?"/>
    <s v="Dans votre quartier, les comportements des jeunes ou des groupes de jeunes sont-ils pour vous une source de menace ou d'insécurité ?"/>
    <s v="Y a-t-il d'autres individus ou des groupes d'individus dont les comportements sont pour vous une source de menace ou d'insécurité ?"/>
    <s v="De quel type ou groupe d'individus s'agit-il ?  Toxicomanes ou revendeur de drogue"/>
    <s v="De quel type ou groupe d'individus s'agit-il ? Gangs de motards / milieu criminel"/>
    <s v="De quel type ou groupe d'individus s'agit-il ? Sollicitation (vendeurs, mouvements religieux, ex-détenus, etc.)"/>
    <s v="De quel type ou groupe d'individus s'agit-il ? Itinérants"/>
    <s v="De quel type ou groupe d'individus s'agit-il ? Individus ou groupes d'individus en état d'ébriété"/>
    <s v="De quel type ou groupe d'individus s'agit-il ? Personnes d'une communauté culturelle différente de la mienne"/>
    <s v="De quel type ou groupe d'individus s'agit-il ? Voisins"/>
    <s v="De quel type ou groupe d'individus s'agit-il ? Autre"/>
    <s v="De quel type ou groupe d'individus s'agit-il ? Autre, précisez"/>
    <s v="Y a-t-il dans votre quartier des endroits que vous évitez de fréquenter pour des raisons de sécurité ?"/>
    <s v="Lesquels ?"/>
    <s v="Veuillez répondre à chacun des énoncés suivants. Quand je me déplace dans mon quartier, j'apporte habituellement quelque chose pour assurer ma protection. "/>
    <s v="Veuillez répondre à chacun des énoncés suivants. Lorsque je suis dans mon quartier, je vérifie qu'aucun intrus ne se trouve à l'intérieur de ma voiture avant d'y monter."/>
    <s v="Veuillez répondre à chacun des énoncés suivants. À mon domicile, j'évite d'ouvrir la porte à des inconnus, pour des raisons de sécurité. "/>
    <s v="Veuillez répondre à chacun des énoncés suivants. Je garde les portes extérieures de mon domicile constamment verrouillées, même lorsque je suis chez moi. "/>
    <s v="Veuillez répondre à chacun des énoncés suivants. Spécialement par mesure de protection, il y a un chien à mon domicile. "/>
    <s v="Veuillez répondre à chacun des énoncés suivants. J'ai un système d'alarme que j'active régulièrement pour protéger mon domicile contre le vol."/>
    <s v="Veuillez répondre à chacun des énoncés suivants. Spécialement par mesure de protection, j'ai suivi un cours d'autodéfense. "/>
    <s v="Veuillez répondre à chacun des énoncés suivants. Spécialement par mesure de protection, il y a une arme à feu à mon domicile. "/>
    <s v="Est-ce qu'il y a à votre domicile au moins un détecteur de fumée fonctionnel par étage ? "/>
    <s v="Le bon fonctionnement de cet/ces appareil(s) a-t-il été vérifié, au cours des douze (12) derniers mois ?"/>
    <s v="Veuillez nous dire votre degré de satisfaction à l'égard : du déneigement et du déglaçage des rues et des trottoirs de votre quartier ? "/>
    <s v="Veuillez nous dire votre degré de satisfaction à l'égard :  de la propreté et de l'entretien des parcs et terrains de jeux de votre quartier ?"/>
    <s v="Veuillez nous dire votre degré de satisfaction à l'égard :  de la sécurité des équipements dans les parcs, aires de jeux ou centre récréatif ou sportif de votre quartier ? "/>
    <s v="Votre quartier est-il desservi par un service de police municipal, une régie intermunicipale ou par la Sûreté du Québec ?"/>
    <s v="Quel est votre niveau de satisfaction à l'égard de la présence des policiers dans votre quartier ?"/>
    <s v="Quel est votre niveau de satisfaction à l'égard du travail effectué par les policiers dans votre quartier ?"/>
    <s v="De façon plus spécifique, quel est votre niveau de satisfaction à l'égard du travail effectué par les policiers : auprès des jeunes de votre quartier"/>
    <s v="De façon plus spécifique, quel est votre niveau de satisfaction à l'égard du travail effectué par les policiers : pour assurer la sécurité routière dans votre quartier"/>
    <s v="De façon plus spécifique, quel est votre niveau de satisfaction à l'égard du travail effectué par les policiers : pour régler des problèmes de délinquance ou de désordres qui surviennent dans votre quartier"/>
    <s v="Au cours des deux dernières années, combien de fois avez-vous fait appel au service de police qui dessert votre quartier ?"/>
    <s v="En vous référant à l'événement le plus récent, quel est votre niveau de satisfaction à l'égard de la réponse que vous avez reçue ?"/>
    <s v="Pourquoi ? Peu"/>
    <s v="Pourquoi ? Pas"/>
    <s v="Au cours des deux dernières années, vous êtes vous IMPLIQUÉ SUR UNE BASE RÉGULIÈRE dans les activités suivantes de votre quartier : Dans un comité ou un organisme préoccupé par les problèmes de sécurité de votre quartier ?"/>
    <s v="Au cours des deux dernières années, vous êtes vous IMPLIQUÉ SUR UNE BASE RÉGULIÈRE dans les activités suivantes de votre quartier : Dans des assemblées du conseil municipal ?"/>
    <s v="Au cours des deux dernières années, vous êtes vous IMPLIQUÉ SUR UNE BASE RÉGULIÈRE dans les activités suivantes de votre quartier : Dans un conseil de quartier ou d'arrondissement ?"/>
    <s v="Au cours des deux dernières années, vous êtes vous IMPLIQUÉ SUR UNE BASE RÉGULIÈRE dans les activités suivantes de votre quartier : Dans un comité de citoyens ?"/>
    <s v="Au cours des deux dernières années, vous êtes vous IMPLIQUÉ SUR UNE BASE RÉGULIÈRE dans les activités suivantes de votre quartier : Dans des activités communautaires, d'entraide ou de bénévolat (cuisine communautaire, bazar)"/>
    <s v="Au cours des deux dernières années, vous êtes vous IMPLIQUÉ SUR UNE BASE RÉGULIÈRE dans les activités suivantes de votre quartier : Dans des activités sociales, culturelles ou sportives organisées par les gens de votre quartier ou de votre municipalité ?"/>
    <s v="Au cours des deux dernières années, avez-vous été victime de vol, de vandalisme ou de tout autre crime contre vos biens, chez vous ou dans votre quartier ?"/>
    <s v="Au cours des deux dernières années, avez-vous été victime d'une agression, d'intimidation ou de tout autre acte de violence, chez vous ou dans votre quartier ?"/>
    <s v="Au cours des deux dernières années avez-vous été victime dans votre quartier d'une quelconque forme de discrimination ?"/>
    <s v="À votre avis, le motif de cette discrimination était lié …"/>
    <s v="Autre, précisez :"/>
    <s v="Au cours des deux dernières années, avez-vous subi un accident qui vous a occasionné une blessure pour laquelle vous avez dû consulter un professionnel de la santé ou limiter vos activités ?"/>
    <s v="Combien de fois cela s'est-il produit ?"/>
    <s v="En se référant au dernier événement, était-ce … ?"/>
    <s v="Autre, précisez :"/>
    <s v="Maintenant, comparativement à d'autres personnes de votre âge, dirirez-vous que votre santé est en général …"/>
    <x v="0"/>
    <x v="0"/>
    <x v="0"/>
    <s v="Quelle est votre année de naissance ?"/>
    <s v="Êtes-vous propriétaire ou locataire du logement que vous habitez ?"/>
    <s v="Autre, précisez : "/>
    <s v="Habitez-vous dans …"/>
    <s v="Autre, précisez : "/>
    <s v="Quel est votre état civil ?"/>
    <s v="Autre, précisez : "/>
    <s v="Où est situé votre lieu de travail habituel ?"/>
    <s v="Autre, précisez : "/>
    <s v="Quel est le plus haut niveau de scolarité que vous avez complété ?"/>
    <x v="0"/>
    <m/>
    <m/>
    <m/>
    <m/>
    <m/>
  </r>
  <r>
    <x v="1"/>
    <n v="1"/>
    <x v="1"/>
    <x v="1"/>
    <m/>
    <n v="1"/>
    <n v="7"/>
    <n v="3"/>
    <n v="4"/>
    <n v="1"/>
    <n v="1"/>
    <n v="2"/>
    <n v="1"/>
    <n v="4"/>
    <n v="3"/>
    <n v="3"/>
    <n v="2"/>
    <n v="1"/>
    <n v="2"/>
    <n v="2"/>
    <n v="4"/>
    <n v="3"/>
    <n v="1"/>
    <n v="1"/>
    <n v="1"/>
    <m/>
    <n v="1"/>
    <m/>
    <n v="1"/>
    <n v="1"/>
    <n v="1"/>
    <n v="1"/>
    <m/>
    <m/>
    <n v="1"/>
    <m/>
    <n v="2"/>
    <n v="2"/>
    <n v="1"/>
    <n v="1"/>
    <n v="1"/>
    <n v="2"/>
    <n v="1"/>
    <n v="2"/>
    <n v="2"/>
    <m/>
    <n v="1"/>
    <n v="7"/>
    <n v="4"/>
    <n v="8"/>
    <n v="1"/>
    <n v="4"/>
    <n v="8"/>
    <n v="2"/>
    <n v="2"/>
    <n v="1"/>
    <m/>
    <m/>
    <m/>
    <n v="1"/>
    <n v="2"/>
    <n v="1"/>
    <n v="2"/>
    <n v="2"/>
    <n v="1"/>
    <n v="1"/>
    <n v="2"/>
    <n v="1"/>
    <n v="2"/>
    <m/>
    <n v="1"/>
    <n v="4"/>
    <n v="5"/>
    <m/>
    <n v="2"/>
    <x v="1"/>
    <x v="1"/>
    <x v="1"/>
    <n v="1981"/>
    <n v="2"/>
    <m/>
    <n v="7"/>
    <m/>
    <n v="1"/>
    <m/>
    <n v="1"/>
    <m/>
    <n v="4"/>
    <x v="1"/>
    <n v="32"/>
    <n v="1"/>
    <n v="1"/>
    <n v="1"/>
    <n v="1"/>
  </r>
  <r>
    <x v="2"/>
    <n v="1"/>
    <x v="2"/>
    <x v="2"/>
    <m/>
    <n v="2"/>
    <n v="4"/>
    <n v="2"/>
    <n v="1"/>
    <n v="1"/>
    <n v="2"/>
    <n v="3"/>
    <n v="1"/>
    <n v="4"/>
    <n v="2"/>
    <n v="2"/>
    <n v="2"/>
    <n v="1"/>
    <n v="2"/>
    <n v="1"/>
    <n v="2"/>
    <n v="2"/>
    <n v="1"/>
    <n v="2"/>
    <n v="1"/>
    <m/>
    <m/>
    <n v="1"/>
    <m/>
    <n v="1"/>
    <m/>
    <n v="1"/>
    <m/>
    <m/>
    <n v="2"/>
    <m/>
    <n v="1"/>
    <n v="1"/>
    <n v="2"/>
    <n v="1"/>
    <n v="1"/>
    <n v="1"/>
    <n v="1"/>
    <n v="1"/>
    <n v="1"/>
    <n v="1"/>
    <n v="2"/>
    <n v="4"/>
    <n v="1"/>
    <n v="1"/>
    <n v="4"/>
    <n v="8"/>
    <n v="1"/>
    <n v="4"/>
    <n v="1"/>
    <n v="2"/>
    <n v="1"/>
    <m/>
    <m/>
    <n v="2"/>
    <n v="1"/>
    <n v="1"/>
    <n v="2"/>
    <n v="2"/>
    <n v="1"/>
    <n v="2"/>
    <n v="1"/>
    <n v="2"/>
    <n v="1"/>
    <m/>
    <n v="2"/>
    <m/>
    <m/>
    <m/>
    <n v="4"/>
    <x v="2"/>
    <x v="2"/>
    <x v="2"/>
    <n v="1970"/>
    <n v="1"/>
    <m/>
    <n v="5"/>
    <m/>
    <n v="2"/>
    <m/>
    <n v="2"/>
    <m/>
    <n v="1"/>
    <x v="1"/>
    <n v="43"/>
    <n v="2"/>
    <n v="2"/>
    <n v="3"/>
    <n v="2"/>
  </r>
  <r>
    <x v="3"/>
    <n v="3"/>
    <x v="3"/>
    <x v="3"/>
    <m/>
    <n v="3"/>
    <n v="4"/>
    <n v="1"/>
    <n v="2"/>
    <n v="2"/>
    <n v="4"/>
    <n v="3"/>
    <n v="1"/>
    <n v="4"/>
    <n v="2"/>
    <n v="1"/>
    <n v="2"/>
    <n v="1"/>
    <n v="3"/>
    <n v="2"/>
    <n v="3"/>
    <n v="1"/>
    <n v="2"/>
    <n v="1"/>
    <n v="2"/>
    <n v="1"/>
    <m/>
    <m/>
    <m/>
    <n v="1"/>
    <n v="1"/>
    <m/>
    <n v="1"/>
    <m/>
    <n v="2"/>
    <m/>
    <n v="1"/>
    <n v="1"/>
    <n v="2"/>
    <n v="1"/>
    <n v="1"/>
    <n v="1"/>
    <n v="2"/>
    <n v="1"/>
    <n v="1"/>
    <n v="2"/>
    <n v="3"/>
    <n v="1"/>
    <n v="2"/>
    <n v="3"/>
    <n v="2"/>
    <n v="1"/>
    <n v="2"/>
    <n v="3"/>
    <n v="4"/>
    <n v="3"/>
    <n v="3"/>
    <m/>
    <m/>
    <n v="2"/>
    <n v="1"/>
    <n v="2"/>
    <n v="2"/>
    <n v="2"/>
    <n v="2"/>
    <n v="2"/>
    <n v="1"/>
    <n v="3"/>
    <n v="3"/>
    <m/>
    <n v="1"/>
    <n v="2"/>
    <n v="8"/>
    <m/>
    <n v="5"/>
    <x v="1"/>
    <x v="3"/>
    <x v="2"/>
    <n v="1990"/>
    <n v="3"/>
    <m/>
    <n v="4"/>
    <m/>
    <n v="4"/>
    <m/>
    <n v="3"/>
    <m/>
    <n v="2"/>
    <x v="1"/>
    <n v="23"/>
    <n v="1"/>
    <n v="2"/>
    <n v="4"/>
    <n v="2"/>
  </r>
  <r>
    <x v="1"/>
    <n v="2"/>
    <x v="2"/>
    <x v="4"/>
    <m/>
    <n v="4"/>
    <n v="2"/>
    <n v="2"/>
    <n v="3"/>
    <n v="4"/>
    <n v="1"/>
    <n v="3"/>
    <n v="2"/>
    <n v="2"/>
    <n v="2"/>
    <n v="2"/>
    <n v="2"/>
    <n v="1"/>
    <n v="2"/>
    <n v="3"/>
    <n v="3"/>
    <n v="1"/>
    <n v="3"/>
    <n v="1"/>
    <n v="1"/>
    <n v="1"/>
    <n v="1"/>
    <m/>
    <n v="1"/>
    <n v="1"/>
    <n v="1"/>
    <n v="1"/>
    <m/>
    <m/>
    <n v="2"/>
    <m/>
    <n v="1"/>
    <n v="1"/>
    <n v="2"/>
    <n v="2"/>
    <n v="1"/>
    <n v="2"/>
    <n v="2"/>
    <n v="1"/>
    <n v="1"/>
    <n v="1"/>
    <n v="4"/>
    <n v="3"/>
    <n v="3"/>
    <n v="2"/>
    <n v="3"/>
    <n v="1"/>
    <n v="3"/>
    <n v="2"/>
    <n v="2"/>
    <n v="4"/>
    <n v="2"/>
    <m/>
    <m/>
    <n v="2"/>
    <n v="1"/>
    <n v="2"/>
    <n v="2"/>
    <n v="1"/>
    <n v="2"/>
    <n v="2"/>
    <n v="2"/>
    <n v="4"/>
    <m/>
    <m/>
    <n v="1"/>
    <n v="2"/>
    <n v="7"/>
    <m/>
    <n v="1"/>
    <x v="3"/>
    <x v="4"/>
    <x v="2"/>
    <n v="1983"/>
    <n v="1"/>
    <m/>
    <n v="1"/>
    <m/>
    <n v="1"/>
    <m/>
    <n v="4"/>
    <m/>
    <n v="3"/>
    <x v="1"/>
    <n v="30"/>
    <n v="1"/>
    <n v="2"/>
    <n v="3"/>
    <n v="2"/>
  </r>
  <r>
    <x v="2"/>
    <m/>
    <x v="4"/>
    <x v="1"/>
    <m/>
    <n v="4"/>
    <n v="1"/>
    <n v="7"/>
    <n v="2"/>
    <n v="2"/>
    <n v="5"/>
    <n v="2"/>
    <n v="4"/>
    <n v="1"/>
    <n v="1"/>
    <n v="2"/>
    <n v="1"/>
    <n v="2"/>
    <n v="2"/>
    <n v="3"/>
    <n v="2"/>
    <n v="1"/>
    <n v="2"/>
    <n v="2"/>
    <n v="1"/>
    <m/>
    <n v="1"/>
    <n v="1"/>
    <n v="1"/>
    <n v="1"/>
    <n v="1"/>
    <m/>
    <m/>
    <m/>
    <n v="2"/>
    <m/>
    <n v="1"/>
    <n v="1"/>
    <n v="1"/>
    <n v="2"/>
    <n v="2"/>
    <n v="2"/>
    <n v="1"/>
    <n v="2"/>
    <n v="2"/>
    <m/>
    <n v="7"/>
    <n v="3"/>
    <n v="3"/>
    <n v="1"/>
    <n v="2"/>
    <n v="3"/>
    <n v="2"/>
    <n v="1"/>
    <n v="3"/>
    <n v="2"/>
    <n v="4"/>
    <m/>
    <m/>
    <n v="1"/>
    <n v="2"/>
    <n v="2"/>
    <n v="1"/>
    <n v="1"/>
    <n v="2"/>
    <n v="2"/>
    <n v="1"/>
    <n v="1"/>
    <n v="6"/>
    <m/>
    <n v="2"/>
    <m/>
    <m/>
    <m/>
    <n v="3"/>
    <x v="4"/>
    <x v="5"/>
    <x v="2"/>
    <n v="1967"/>
    <n v="1"/>
    <m/>
    <n v="2"/>
    <m/>
    <n v="3"/>
    <m/>
    <n v="4"/>
    <m/>
    <n v="2"/>
    <x v="1"/>
    <n v="46"/>
    <n v="2"/>
    <n v="3"/>
    <n v="5"/>
    <n v="3"/>
  </r>
  <r>
    <x v="2"/>
    <n v="1"/>
    <x v="2"/>
    <x v="1"/>
    <m/>
    <n v="4"/>
    <n v="2"/>
    <n v="4"/>
    <n v="1"/>
    <n v="3"/>
    <n v="2"/>
    <n v="4"/>
    <n v="1"/>
    <n v="2"/>
    <n v="1"/>
    <n v="3"/>
    <n v="1"/>
    <n v="2"/>
    <n v="1"/>
    <n v="3"/>
    <n v="1"/>
    <n v="1"/>
    <n v="2"/>
    <n v="1"/>
    <n v="1"/>
    <m/>
    <n v="1"/>
    <m/>
    <m/>
    <m/>
    <n v="1"/>
    <m/>
    <m/>
    <m/>
    <n v="2"/>
    <m/>
    <n v="1"/>
    <n v="1"/>
    <n v="1"/>
    <n v="2"/>
    <n v="2"/>
    <n v="1"/>
    <n v="1"/>
    <n v="2"/>
    <n v="1"/>
    <n v="1"/>
    <n v="4"/>
    <n v="2"/>
    <n v="2"/>
    <n v="2"/>
    <n v="3"/>
    <n v="2"/>
    <n v="4"/>
    <n v="4"/>
    <n v="2"/>
    <n v="1"/>
    <m/>
    <m/>
    <m/>
    <n v="1"/>
    <n v="2"/>
    <n v="1"/>
    <n v="1"/>
    <n v="2"/>
    <n v="1"/>
    <n v="1"/>
    <n v="2"/>
    <n v="4"/>
    <m/>
    <m/>
    <n v="2"/>
    <m/>
    <m/>
    <m/>
    <n v="2"/>
    <x v="3"/>
    <x v="4"/>
    <x v="2"/>
    <n v="1962"/>
    <n v="2"/>
    <m/>
    <n v="3"/>
    <m/>
    <n v="3"/>
    <m/>
    <n v="1"/>
    <m/>
    <n v="1"/>
    <x v="1"/>
    <n v="51"/>
    <n v="2"/>
    <n v="2"/>
    <n v="2"/>
    <n v="2"/>
  </r>
  <r>
    <x v="1"/>
    <n v="4"/>
    <x v="3"/>
    <x v="2"/>
    <m/>
    <n v="1"/>
    <n v="3"/>
    <n v="7"/>
    <n v="7"/>
    <n v="5"/>
    <n v="3"/>
    <n v="1"/>
    <n v="2"/>
    <n v="3"/>
    <n v="2"/>
    <n v="2"/>
    <n v="2"/>
    <n v="3"/>
    <n v="4"/>
    <n v="2"/>
    <n v="2"/>
    <n v="4"/>
    <n v="1"/>
    <n v="1"/>
    <n v="2"/>
    <m/>
    <m/>
    <m/>
    <n v="1"/>
    <m/>
    <n v="1"/>
    <m/>
    <m/>
    <m/>
    <n v="2"/>
    <m/>
    <n v="2"/>
    <n v="2"/>
    <n v="1"/>
    <n v="2"/>
    <n v="2"/>
    <n v="1"/>
    <n v="2"/>
    <n v="2"/>
    <n v="2"/>
    <m/>
    <n v="2"/>
    <n v="1"/>
    <n v="1"/>
    <n v="1"/>
    <n v="3"/>
    <n v="3"/>
    <n v="1"/>
    <n v="8"/>
    <n v="1"/>
    <n v="3"/>
    <n v="2"/>
    <m/>
    <m/>
    <n v="1"/>
    <n v="2"/>
    <n v="1"/>
    <n v="1"/>
    <n v="1"/>
    <n v="1"/>
    <n v="1"/>
    <n v="1"/>
    <n v="1"/>
    <n v="7"/>
    <m/>
    <n v="1"/>
    <n v="2"/>
    <n v="6"/>
    <m/>
    <n v="1"/>
    <x v="4"/>
    <x v="6"/>
    <x v="2"/>
    <n v="1994"/>
    <n v="3"/>
    <m/>
    <n v="3"/>
    <m/>
    <n v="2"/>
    <m/>
    <n v="2"/>
    <m/>
    <n v="4"/>
    <x v="1"/>
    <n v="19"/>
    <n v="1"/>
    <n v="2"/>
    <n v="4"/>
    <n v="2"/>
  </r>
  <r>
    <x v="3"/>
    <n v="2"/>
    <x v="1"/>
    <x v="2"/>
    <m/>
    <n v="1"/>
    <n v="3"/>
    <n v="1"/>
    <n v="1"/>
    <n v="2"/>
    <n v="5"/>
    <n v="2"/>
    <n v="3"/>
    <n v="2"/>
    <n v="4"/>
    <n v="2"/>
    <n v="3"/>
    <n v="2"/>
    <n v="1"/>
    <n v="4"/>
    <n v="1"/>
    <n v="4"/>
    <n v="4"/>
    <n v="2"/>
    <n v="2"/>
    <m/>
    <m/>
    <n v="1"/>
    <n v="1"/>
    <m/>
    <m/>
    <n v="1"/>
    <m/>
    <m/>
    <n v="1"/>
    <m/>
    <n v="2"/>
    <n v="2"/>
    <n v="1"/>
    <n v="2"/>
    <n v="2"/>
    <n v="2"/>
    <n v="1"/>
    <n v="2"/>
    <n v="1"/>
    <n v="2"/>
    <n v="3"/>
    <n v="1"/>
    <n v="2"/>
    <n v="3"/>
    <n v="4"/>
    <n v="2"/>
    <n v="3"/>
    <n v="8"/>
    <n v="4"/>
    <n v="2"/>
    <n v="1"/>
    <m/>
    <m/>
    <n v="1"/>
    <n v="1"/>
    <n v="1"/>
    <n v="1"/>
    <n v="1"/>
    <n v="1"/>
    <n v="1"/>
    <n v="2"/>
    <n v="3"/>
    <n v="2"/>
    <m/>
    <n v="2"/>
    <m/>
    <m/>
    <m/>
    <n v="3"/>
    <x v="3"/>
    <x v="2"/>
    <x v="1"/>
    <n v="1983"/>
    <n v="2"/>
    <m/>
    <n v="2"/>
    <m/>
    <n v="1"/>
    <m/>
    <n v="3"/>
    <m/>
    <n v="1"/>
    <x v="1"/>
    <n v="30"/>
    <n v="1"/>
    <n v="2"/>
    <n v="4"/>
    <n v="2"/>
  </r>
  <r>
    <x v="1"/>
    <n v="2"/>
    <x v="3"/>
    <x v="1"/>
    <m/>
    <n v="1"/>
    <n v="2"/>
    <n v="2"/>
    <n v="2"/>
    <n v="5"/>
    <n v="2"/>
    <n v="1"/>
    <n v="3"/>
    <n v="3"/>
    <n v="1"/>
    <n v="4"/>
    <n v="2"/>
    <n v="3"/>
    <n v="2"/>
    <n v="4"/>
    <n v="4"/>
    <n v="3"/>
    <n v="1"/>
    <n v="2"/>
    <n v="2"/>
    <n v="1"/>
    <n v="1"/>
    <m/>
    <n v="1"/>
    <n v="1"/>
    <n v="1"/>
    <m/>
    <m/>
    <m/>
    <n v="1"/>
    <m/>
    <n v="2"/>
    <n v="2"/>
    <n v="1"/>
    <n v="2"/>
    <n v="2"/>
    <n v="1"/>
    <n v="2"/>
    <n v="2"/>
    <n v="2"/>
    <m/>
    <n v="1"/>
    <n v="4"/>
    <n v="3"/>
    <n v="2"/>
    <n v="1"/>
    <n v="3"/>
    <n v="2"/>
    <n v="8"/>
    <n v="2"/>
    <n v="1"/>
    <m/>
    <m/>
    <m/>
    <n v="2"/>
    <n v="1"/>
    <n v="2"/>
    <n v="2"/>
    <n v="1"/>
    <n v="2"/>
    <n v="1"/>
    <n v="1"/>
    <n v="2"/>
    <n v="2"/>
    <m/>
    <n v="1"/>
    <n v="1"/>
    <n v="1"/>
    <m/>
    <n v="8"/>
    <x v="4"/>
    <x v="1"/>
    <x v="1"/>
    <n v="1975"/>
    <n v="3"/>
    <m/>
    <n v="2"/>
    <m/>
    <n v="4"/>
    <m/>
    <n v="2"/>
    <m/>
    <n v="3"/>
    <x v="1"/>
    <n v="38"/>
    <n v="1"/>
    <n v="2"/>
    <n v="2"/>
    <n v="1"/>
  </r>
  <r>
    <x v="1"/>
    <n v="1"/>
    <x v="3"/>
    <x v="4"/>
    <m/>
    <n v="3"/>
    <n v="1"/>
    <n v="3"/>
    <n v="7"/>
    <n v="5"/>
    <n v="5"/>
    <n v="2"/>
    <n v="3"/>
    <n v="2"/>
    <n v="2"/>
    <n v="4"/>
    <n v="3"/>
    <n v="2"/>
    <n v="3"/>
    <n v="4"/>
    <n v="1"/>
    <n v="2"/>
    <n v="2"/>
    <n v="1"/>
    <n v="1"/>
    <m/>
    <m/>
    <n v="1"/>
    <m/>
    <m/>
    <n v="1"/>
    <m/>
    <n v="1"/>
    <m/>
    <n v="1"/>
    <m/>
    <n v="2"/>
    <n v="2"/>
    <n v="1"/>
    <n v="1"/>
    <n v="2"/>
    <n v="2"/>
    <n v="2"/>
    <n v="2"/>
    <n v="2"/>
    <m/>
    <n v="2"/>
    <n v="1"/>
    <n v="4"/>
    <n v="2"/>
    <n v="2"/>
    <n v="2"/>
    <n v="1"/>
    <n v="8"/>
    <n v="3"/>
    <n v="3"/>
    <n v="3"/>
    <m/>
    <m/>
    <n v="2"/>
    <n v="2"/>
    <n v="2"/>
    <n v="2"/>
    <n v="2"/>
    <n v="2"/>
    <n v="1"/>
    <n v="1"/>
    <n v="2"/>
    <n v="3"/>
    <m/>
    <n v="1"/>
    <n v="2"/>
    <n v="5"/>
    <m/>
    <n v="2"/>
    <x v="3"/>
    <x v="1"/>
    <x v="1"/>
    <n v="1979"/>
    <n v="3"/>
    <m/>
    <n v="1"/>
    <m/>
    <n v="1"/>
    <m/>
    <n v="1"/>
    <m/>
    <n v="2"/>
    <x v="1"/>
    <n v="34"/>
    <n v="1"/>
    <n v="1"/>
    <n v="1"/>
    <n v="1"/>
  </r>
  <r>
    <x v="1"/>
    <n v="1"/>
    <x v="2"/>
    <x v="1"/>
    <m/>
    <n v="2"/>
    <n v="4"/>
    <n v="1"/>
    <n v="1"/>
    <n v="1"/>
    <n v="3"/>
    <n v="3"/>
    <n v="3"/>
    <n v="3"/>
    <n v="2"/>
    <n v="2"/>
    <n v="2"/>
    <n v="4"/>
    <n v="2"/>
    <n v="1"/>
    <n v="4"/>
    <n v="2"/>
    <n v="3"/>
    <n v="1"/>
    <n v="2"/>
    <m/>
    <m/>
    <n v="1"/>
    <m/>
    <m/>
    <m/>
    <m/>
    <m/>
    <m/>
    <n v="1"/>
    <m/>
    <n v="2"/>
    <n v="2"/>
    <n v="2"/>
    <n v="1"/>
    <n v="2"/>
    <n v="1"/>
    <n v="1"/>
    <n v="1"/>
    <n v="2"/>
    <m/>
    <n v="3"/>
    <n v="2"/>
    <n v="1"/>
    <n v="2"/>
    <n v="4"/>
    <n v="4"/>
    <n v="4"/>
    <n v="3"/>
    <n v="8"/>
    <n v="1"/>
    <m/>
    <m/>
    <m/>
    <n v="2"/>
    <n v="2"/>
    <n v="2"/>
    <n v="2"/>
    <n v="2"/>
    <n v="2"/>
    <n v="2"/>
    <n v="2"/>
    <n v="3"/>
    <n v="5"/>
    <m/>
    <n v="2"/>
    <m/>
    <m/>
    <m/>
    <n v="1"/>
    <x v="2"/>
    <x v="1"/>
    <x v="1"/>
    <n v="1957"/>
    <n v="3"/>
    <m/>
    <n v="1"/>
    <m/>
    <n v="3"/>
    <m/>
    <n v="4"/>
    <m/>
    <n v="3"/>
    <x v="1"/>
    <n v="56"/>
    <n v="2"/>
    <n v="1"/>
    <n v="1"/>
    <n v="1"/>
  </r>
  <r>
    <x v="2"/>
    <n v="2"/>
    <x v="4"/>
    <x v="2"/>
    <m/>
    <n v="2"/>
    <n v="7"/>
    <n v="2"/>
    <n v="2"/>
    <n v="4"/>
    <n v="2"/>
    <n v="1"/>
    <n v="2"/>
    <n v="2"/>
    <n v="3"/>
    <n v="4"/>
    <n v="4"/>
    <n v="2"/>
    <n v="1"/>
    <n v="2"/>
    <n v="1"/>
    <n v="3"/>
    <n v="1"/>
    <n v="2"/>
    <n v="1"/>
    <n v="1"/>
    <n v="1"/>
    <n v="1"/>
    <m/>
    <m/>
    <m/>
    <n v="1"/>
    <m/>
    <m/>
    <n v="1"/>
    <m/>
    <n v="1"/>
    <n v="2"/>
    <n v="1"/>
    <n v="1"/>
    <n v="1"/>
    <n v="2"/>
    <n v="2"/>
    <n v="1"/>
    <n v="1"/>
    <n v="2"/>
    <n v="1"/>
    <n v="3"/>
    <n v="7"/>
    <n v="3"/>
    <n v="1"/>
    <n v="2"/>
    <n v="2"/>
    <n v="2"/>
    <n v="2"/>
    <n v="4"/>
    <n v="4"/>
    <m/>
    <m/>
    <n v="1"/>
    <n v="1"/>
    <n v="1"/>
    <n v="2"/>
    <n v="2"/>
    <n v="1"/>
    <n v="2"/>
    <n v="2"/>
    <n v="3"/>
    <n v="98"/>
    <m/>
    <n v="1"/>
    <n v="4"/>
    <n v="4"/>
    <m/>
    <n v="2"/>
    <x v="4"/>
    <x v="5"/>
    <x v="2"/>
    <n v="1946"/>
    <n v="2"/>
    <m/>
    <n v="5"/>
    <m/>
    <n v="2"/>
    <m/>
    <n v="2"/>
    <m/>
    <n v="2"/>
    <x v="1"/>
    <n v="67"/>
    <n v="3"/>
    <n v="2"/>
    <n v="4"/>
    <n v="3"/>
  </r>
  <r>
    <x v="2"/>
    <n v="2"/>
    <x v="4"/>
    <x v="2"/>
    <m/>
    <n v="2"/>
    <n v="2"/>
    <n v="4"/>
    <n v="3"/>
    <n v="2"/>
    <n v="5"/>
    <n v="2"/>
    <n v="2"/>
    <n v="3"/>
    <n v="2"/>
    <n v="3"/>
    <n v="2"/>
    <n v="3"/>
    <n v="1"/>
    <n v="3"/>
    <n v="2"/>
    <n v="2"/>
    <n v="2"/>
    <n v="2"/>
    <n v="2"/>
    <n v="1"/>
    <m/>
    <m/>
    <m/>
    <n v="1"/>
    <n v="1"/>
    <m/>
    <m/>
    <m/>
    <n v="1"/>
    <m/>
    <n v="1"/>
    <n v="2"/>
    <n v="2"/>
    <n v="2"/>
    <n v="1"/>
    <n v="1"/>
    <n v="1"/>
    <n v="1"/>
    <n v="2"/>
    <m/>
    <n v="2"/>
    <n v="1"/>
    <n v="4"/>
    <n v="3"/>
    <n v="3"/>
    <n v="3"/>
    <n v="3"/>
    <n v="1"/>
    <n v="1"/>
    <n v="1"/>
    <m/>
    <m/>
    <m/>
    <n v="1"/>
    <n v="2"/>
    <n v="1"/>
    <n v="1"/>
    <n v="1"/>
    <n v="1"/>
    <n v="1"/>
    <n v="1"/>
    <n v="2"/>
    <n v="1"/>
    <m/>
    <n v="1"/>
    <n v="2"/>
    <n v="98"/>
    <m/>
    <n v="3"/>
    <x v="3"/>
    <x v="4"/>
    <x v="1"/>
    <n v="1947"/>
    <n v="1"/>
    <m/>
    <n v="6"/>
    <m/>
    <n v="4"/>
    <m/>
    <n v="1"/>
    <m/>
    <n v="2"/>
    <x v="1"/>
    <n v="66"/>
    <n v="3"/>
    <n v="2"/>
    <n v="3"/>
    <n v="2"/>
  </r>
  <r>
    <x v="1"/>
    <n v="2"/>
    <x v="4"/>
    <x v="3"/>
    <m/>
    <n v="3"/>
    <n v="2"/>
    <n v="7"/>
    <n v="3"/>
    <n v="3"/>
    <n v="2"/>
    <n v="1"/>
    <n v="2"/>
    <n v="2"/>
    <n v="2"/>
    <n v="2"/>
    <n v="3"/>
    <n v="2"/>
    <n v="2"/>
    <n v="2"/>
    <n v="3"/>
    <n v="3"/>
    <n v="4"/>
    <n v="2"/>
    <n v="1"/>
    <m/>
    <n v="1"/>
    <n v="1"/>
    <n v="1"/>
    <m/>
    <m/>
    <m/>
    <m/>
    <m/>
    <n v="2"/>
    <m/>
    <n v="1"/>
    <n v="2"/>
    <n v="1"/>
    <n v="2"/>
    <n v="1"/>
    <n v="2"/>
    <n v="2"/>
    <n v="1"/>
    <n v="2"/>
    <m/>
    <n v="3"/>
    <n v="7"/>
    <n v="1"/>
    <n v="1"/>
    <n v="2"/>
    <n v="2"/>
    <n v="2"/>
    <n v="3"/>
    <n v="3"/>
    <n v="2"/>
    <n v="3"/>
    <m/>
    <m/>
    <n v="2"/>
    <n v="1"/>
    <n v="1"/>
    <n v="1"/>
    <n v="2"/>
    <n v="2"/>
    <n v="2"/>
    <n v="2"/>
    <n v="4"/>
    <m/>
    <m/>
    <n v="2"/>
    <m/>
    <m/>
    <m/>
    <n v="5"/>
    <x v="1"/>
    <x v="6"/>
    <x v="2"/>
    <n v="1984"/>
    <n v="3"/>
    <m/>
    <n v="4"/>
    <m/>
    <n v="6"/>
    <m/>
    <n v="3"/>
    <m/>
    <n v="1"/>
    <x v="1"/>
    <n v="29"/>
    <n v="1"/>
    <n v="2"/>
    <n v="4"/>
    <n v="2"/>
  </r>
  <r>
    <x v="1"/>
    <n v="1"/>
    <x v="1"/>
    <x v="4"/>
    <m/>
    <n v="3"/>
    <n v="4"/>
    <n v="2"/>
    <n v="2"/>
    <n v="5"/>
    <n v="4"/>
    <n v="2"/>
    <n v="2"/>
    <n v="2"/>
    <n v="1"/>
    <n v="1"/>
    <n v="2"/>
    <n v="1"/>
    <n v="4"/>
    <n v="1"/>
    <n v="3"/>
    <n v="1"/>
    <n v="1"/>
    <n v="1"/>
    <n v="2"/>
    <n v="1"/>
    <m/>
    <n v="1"/>
    <m/>
    <m/>
    <n v="1"/>
    <n v="1"/>
    <m/>
    <m/>
    <n v="2"/>
    <m/>
    <n v="2"/>
    <n v="1"/>
    <n v="2"/>
    <n v="1"/>
    <n v="1"/>
    <n v="1"/>
    <n v="1"/>
    <n v="2"/>
    <n v="1"/>
    <n v="1"/>
    <n v="4"/>
    <n v="1"/>
    <n v="2"/>
    <n v="1"/>
    <n v="2"/>
    <n v="1"/>
    <n v="1"/>
    <n v="2"/>
    <n v="8"/>
    <n v="3"/>
    <n v="2"/>
    <m/>
    <m/>
    <n v="1"/>
    <n v="2"/>
    <n v="2"/>
    <n v="2"/>
    <n v="2"/>
    <n v="2"/>
    <n v="1"/>
    <n v="1"/>
    <n v="1"/>
    <n v="8"/>
    <m/>
    <n v="2"/>
    <m/>
    <m/>
    <m/>
    <n v="3"/>
    <x v="4"/>
    <x v="4"/>
    <x v="1"/>
    <n v="1989"/>
    <n v="2"/>
    <m/>
    <n v="7"/>
    <m/>
    <n v="4"/>
    <m/>
    <n v="2"/>
    <m/>
    <n v="2"/>
    <x v="1"/>
    <n v="24"/>
    <n v="1"/>
    <n v="2"/>
    <n v="2"/>
    <n v="2"/>
  </r>
  <r>
    <x v="1"/>
    <n v="1"/>
    <x v="4"/>
    <x v="2"/>
    <m/>
    <n v="1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2"/>
    <n v="1990"/>
    <m/>
    <m/>
    <m/>
    <m/>
    <m/>
    <m/>
    <m/>
    <m/>
    <m/>
    <x v="1"/>
    <n v="23"/>
    <n v="1"/>
    <n v="2"/>
    <n v="4"/>
    <n v="3"/>
  </r>
  <r>
    <x v="2"/>
    <n v="4"/>
    <x v="3"/>
    <x v="1"/>
    <m/>
    <n v="4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2"/>
    <n v="1987"/>
    <m/>
    <m/>
    <m/>
    <m/>
    <m/>
    <m/>
    <m/>
    <m/>
    <m/>
    <x v="1"/>
    <n v="26"/>
    <n v="1"/>
    <n v="2"/>
    <n v="4"/>
    <n v="3"/>
  </r>
  <r>
    <x v="1"/>
    <n v="3"/>
    <x v="2"/>
    <x v="5"/>
    <m/>
    <n v="1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2"/>
    <n v="1990"/>
    <m/>
    <m/>
    <m/>
    <m/>
    <m/>
    <m/>
    <m/>
    <m/>
    <m/>
    <x v="1"/>
    <n v="23"/>
    <n v="1"/>
    <n v="2"/>
    <n v="3"/>
    <n v="3"/>
  </r>
  <r>
    <x v="3"/>
    <n v="1"/>
    <x v="1"/>
    <x v="2"/>
    <m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2"/>
    <n v="1981"/>
    <m/>
    <m/>
    <m/>
    <m/>
    <m/>
    <m/>
    <m/>
    <m/>
    <m/>
    <x v="1"/>
    <n v="32"/>
    <n v="1"/>
    <n v="2"/>
    <n v="4"/>
    <n v="3"/>
  </r>
  <r>
    <x v="1"/>
    <n v="2"/>
    <x v="2"/>
    <x v="4"/>
    <m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2"/>
    <n v="1970"/>
    <m/>
    <m/>
    <m/>
    <m/>
    <m/>
    <m/>
    <m/>
    <m/>
    <m/>
    <x v="1"/>
    <n v="43"/>
    <n v="2"/>
    <n v="2"/>
    <n v="4"/>
    <n v="3"/>
  </r>
  <r>
    <x v="3"/>
    <n v="1"/>
    <x v="4"/>
    <x v="1"/>
    <m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2"/>
    <n v="4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  <r>
    <x v="4"/>
    <m/>
    <x v="5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5"/>
    <x v="5"/>
    <x v="3"/>
    <m/>
    <m/>
    <m/>
    <m/>
    <m/>
    <m/>
    <m/>
    <m/>
    <m/>
    <m/>
    <x v="1"/>
    <n v="2013"/>
    <n v="4"/>
    <n v="3"/>
    <n v="5"/>
    <n v="3"/>
  </r>
</pivotCacheRecords>
</file>

<file path=xl/pivotCache/pivotCacheRecords12.xml><?xml version="1.0" encoding="utf-8"?>
<pivotCacheRecords xmlns="http://schemas.openxmlformats.org/spreadsheetml/2006/main" xmlns:r="http://schemas.openxmlformats.org/officeDocument/2006/relationships" count="608">
  <r>
    <x v="0"/>
    <s v="Dans quel quartier habitez-vous ?"/>
    <s v="Combien de personne de moins de 18 ans habitent dans votre foyer ?"/>
    <x v="0"/>
    <s v="Quelle est votre année de naissance ?"/>
    <s v="Êtes-vous propriétaire ou locataire du logement que vous habitez ?"/>
    <s v="Autre, précisez : "/>
    <s v="Habitez-vous dans …"/>
    <s v="Autre, précisez : "/>
    <s v="Quel est votre état civil ?"/>
    <s v="Autre, précisez : "/>
    <s v="Où est situé votre lieu de travail habituel ?"/>
    <s v="Autre, précisez : "/>
    <s v="Quel est le plus haut niveau de scolarité que vous avez complété ?"/>
    <m/>
    <m/>
    <x v="0"/>
    <m/>
    <m/>
    <m/>
  </r>
  <r>
    <x v="1"/>
    <n v="4"/>
    <n v="5"/>
    <x v="1"/>
    <n v="1981"/>
    <n v="2"/>
    <m/>
    <n v="7"/>
    <m/>
    <n v="1"/>
    <m/>
    <n v="1"/>
    <m/>
    <n v="4"/>
    <n v="1"/>
    <n v="32"/>
    <x v="1"/>
    <n v="1"/>
    <n v="1"/>
    <n v="1"/>
  </r>
  <r>
    <x v="2"/>
    <n v="1"/>
    <n v="2"/>
    <x v="2"/>
    <n v="1970"/>
    <n v="1"/>
    <m/>
    <n v="5"/>
    <m/>
    <n v="2"/>
    <m/>
    <n v="2"/>
    <m/>
    <n v="1"/>
    <n v="1"/>
    <n v="43"/>
    <x v="2"/>
    <n v="2"/>
    <n v="3"/>
    <n v="2"/>
  </r>
  <r>
    <x v="3"/>
    <n v="4"/>
    <n v="4"/>
    <x v="2"/>
    <n v="1990"/>
    <n v="3"/>
    <m/>
    <n v="4"/>
    <m/>
    <n v="4"/>
    <m/>
    <n v="3"/>
    <m/>
    <n v="2"/>
    <n v="1"/>
    <n v="23"/>
    <x v="1"/>
    <n v="2"/>
    <n v="4"/>
    <n v="2"/>
  </r>
  <r>
    <x v="4"/>
    <n v="2"/>
    <n v="1"/>
    <x v="2"/>
    <n v="1983"/>
    <n v="1"/>
    <m/>
    <n v="1"/>
    <m/>
    <n v="1"/>
    <m/>
    <n v="4"/>
    <m/>
    <n v="3"/>
    <n v="1"/>
    <n v="30"/>
    <x v="1"/>
    <n v="2"/>
    <n v="3"/>
    <n v="2"/>
  </r>
  <r>
    <x v="5"/>
    <n v="3"/>
    <m/>
    <x v="2"/>
    <n v="1967"/>
    <n v="1"/>
    <m/>
    <n v="2"/>
    <m/>
    <n v="3"/>
    <m/>
    <n v="4"/>
    <m/>
    <n v="2"/>
    <n v="1"/>
    <n v="46"/>
    <x v="2"/>
    <n v="3"/>
    <n v="5"/>
    <n v="3"/>
  </r>
  <r>
    <x v="1"/>
    <n v="2"/>
    <n v="1"/>
    <x v="2"/>
    <n v="1962"/>
    <n v="2"/>
    <m/>
    <n v="3"/>
    <m/>
    <n v="3"/>
    <m/>
    <n v="1"/>
    <m/>
    <n v="1"/>
    <n v="1"/>
    <n v="51"/>
    <x v="2"/>
    <n v="2"/>
    <n v="2"/>
    <n v="2"/>
  </r>
  <r>
    <x v="4"/>
    <n v="3"/>
    <n v="3"/>
    <x v="2"/>
    <n v="1994"/>
    <n v="3"/>
    <m/>
    <n v="3"/>
    <m/>
    <n v="2"/>
    <m/>
    <n v="2"/>
    <m/>
    <n v="4"/>
    <n v="1"/>
    <n v="19"/>
    <x v="1"/>
    <n v="2"/>
    <n v="4"/>
    <n v="2"/>
  </r>
  <r>
    <x v="5"/>
    <n v="2"/>
    <n v="2"/>
    <x v="1"/>
    <n v="1983"/>
    <n v="2"/>
    <m/>
    <n v="2"/>
    <m/>
    <n v="1"/>
    <m/>
    <n v="3"/>
    <m/>
    <n v="1"/>
    <n v="1"/>
    <n v="30"/>
    <x v="1"/>
    <n v="2"/>
    <n v="4"/>
    <n v="2"/>
  </r>
  <r>
    <x v="6"/>
    <n v="3"/>
    <n v="5"/>
    <x v="1"/>
    <n v="1975"/>
    <n v="3"/>
    <m/>
    <n v="2"/>
    <m/>
    <n v="4"/>
    <m/>
    <n v="2"/>
    <m/>
    <n v="3"/>
    <n v="1"/>
    <n v="38"/>
    <x v="1"/>
    <n v="2"/>
    <n v="2"/>
    <n v="1"/>
  </r>
  <r>
    <x v="1"/>
    <n v="2"/>
    <n v="5"/>
    <x v="1"/>
    <n v="1979"/>
    <n v="3"/>
    <m/>
    <n v="1"/>
    <m/>
    <n v="1"/>
    <m/>
    <n v="1"/>
    <m/>
    <n v="2"/>
    <n v="1"/>
    <n v="34"/>
    <x v="1"/>
    <n v="1"/>
    <n v="1"/>
    <n v="1"/>
  </r>
  <r>
    <x v="4"/>
    <n v="1"/>
    <n v="5"/>
    <x v="1"/>
    <n v="1957"/>
    <n v="3"/>
    <m/>
    <n v="1"/>
    <m/>
    <n v="3"/>
    <m/>
    <n v="4"/>
    <m/>
    <n v="3"/>
    <n v="1"/>
    <n v="56"/>
    <x v="2"/>
    <n v="1"/>
    <n v="1"/>
    <n v="1"/>
  </r>
  <r>
    <x v="1"/>
    <n v="3"/>
    <m/>
    <x v="2"/>
    <n v="1946"/>
    <n v="2"/>
    <m/>
    <n v="5"/>
    <m/>
    <n v="2"/>
    <m/>
    <n v="2"/>
    <m/>
    <n v="2"/>
    <n v="1"/>
    <n v="67"/>
    <x v="3"/>
    <n v="2"/>
    <n v="4"/>
    <n v="3"/>
  </r>
  <r>
    <x v="5"/>
    <n v="2"/>
    <n v="1"/>
    <x v="1"/>
    <n v="1947"/>
    <n v="1"/>
    <m/>
    <n v="6"/>
    <m/>
    <n v="4"/>
    <m/>
    <n v="1"/>
    <m/>
    <n v="2"/>
    <n v="1"/>
    <n v="66"/>
    <x v="3"/>
    <n v="2"/>
    <n v="3"/>
    <n v="2"/>
  </r>
  <r>
    <x v="3"/>
    <n v="4"/>
    <n v="3"/>
    <x v="2"/>
    <n v="1984"/>
    <n v="3"/>
    <m/>
    <n v="4"/>
    <m/>
    <n v="6"/>
    <m/>
    <n v="3"/>
    <m/>
    <n v="1"/>
    <n v="1"/>
    <n v="29"/>
    <x v="1"/>
    <n v="2"/>
    <n v="4"/>
    <n v="2"/>
  </r>
  <r>
    <x v="5"/>
    <n v="3"/>
    <n v="1"/>
    <x v="1"/>
    <n v="1989"/>
    <n v="2"/>
    <m/>
    <n v="7"/>
    <m/>
    <n v="4"/>
    <m/>
    <n v="2"/>
    <m/>
    <n v="2"/>
    <n v="1"/>
    <n v="24"/>
    <x v="1"/>
    <n v="2"/>
    <n v="2"/>
    <n v="2"/>
  </r>
  <r>
    <x v="7"/>
    <m/>
    <m/>
    <x v="2"/>
    <n v="1990"/>
    <m/>
    <m/>
    <m/>
    <m/>
    <m/>
    <m/>
    <m/>
    <m/>
    <m/>
    <n v="1"/>
    <n v="23"/>
    <x v="1"/>
    <n v="2"/>
    <n v="4"/>
    <n v="3"/>
  </r>
  <r>
    <x v="7"/>
    <m/>
    <m/>
    <x v="2"/>
    <n v="1987"/>
    <m/>
    <m/>
    <m/>
    <m/>
    <m/>
    <m/>
    <m/>
    <m/>
    <m/>
    <n v="1"/>
    <n v="26"/>
    <x v="1"/>
    <n v="2"/>
    <n v="4"/>
    <n v="3"/>
  </r>
  <r>
    <x v="7"/>
    <m/>
    <m/>
    <x v="2"/>
    <n v="1990"/>
    <m/>
    <m/>
    <m/>
    <m/>
    <m/>
    <m/>
    <m/>
    <m/>
    <m/>
    <n v="1"/>
    <n v="23"/>
    <x v="1"/>
    <n v="2"/>
    <n v="3"/>
    <n v="3"/>
  </r>
  <r>
    <x v="7"/>
    <m/>
    <m/>
    <x v="2"/>
    <n v="1981"/>
    <m/>
    <m/>
    <m/>
    <m/>
    <m/>
    <m/>
    <m/>
    <m/>
    <m/>
    <n v="1"/>
    <n v="32"/>
    <x v="1"/>
    <n v="2"/>
    <n v="4"/>
    <n v="3"/>
  </r>
  <r>
    <x v="7"/>
    <m/>
    <m/>
    <x v="2"/>
    <n v="1970"/>
    <m/>
    <m/>
    <m/>
    <m/>
    <m/>
    <m/>
    <m/>
    <m/>
    <m/>
    <n v="1"/>
    <n v="43"/>
    <x v="2"/>
    <n v="2"/>
    <n v="4"/>
    <n v="3"/>
  </r>
  <r>
    <x v="7"/>
    <m/>
    <m/>
    <x v="3"/>
    <m/>
    <m/>
    <m/>
    <m/>
    <m/>
    <m/>
    <m/>
    <m/>
    <m/>
    <m/>
    <n v="1"/>
    <n v="2013"/>
    <x v="4"/>
    <n v="2"/>
    <n v="4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n v="1"/>
    <n v="2013"/>
    <x v="4"/>
    <n v="3"/>
    <n v="5"/>
    <n v="3"/>
  </r>
  <r>
    <x v="7"/>
    <m/>
    <m/>
    <x v="3"/>
    <m/>
    <m/>
    <m/>
    <m/>
    <m/>
    <m/>
    <m/>
    <m/>
    <m/>
    <m/>
    <m/>
    <m/>
    <x v="0"/>
    <m/>
    <m/>
    <m/>
  </r>
  <r>
    <x v="7"/>
    <m/>
    <m/>
    <x v="3"/>
    <m/>
    <m/>
    <m/>
    <m/>
    <m/>
    <m/>
    <m/>
    <m/>
    <m/>
    <m/>
    <m/>
    <m/>
    <x v="0"/>
    <m/>
    <m/>
    <m/>
  </r>
  <r>
    <x v="7"/>
    <m/>
    <m/>
    <x v="3"/>
    <m/>
    <m/>
    <m/>
    <m/>
    <m/>
    <m/>
    <m/>
    <m/>
    <m/>
    <m/>
    <m/>
    <m/>
    <x v="0"/>
    <m/>
    <m/>
    <m/>
  </r>
  <r>
    <x v="7"/>
    <m/>
    <m/>
    <x v="3"/>
    <m/>
    <m/>
    <m/>
    <m/>
    <m/>
    <m/>
    <m/>
    <m/>
    <m/>
    <m/>
    <m/>
    <m/>
    <x v="0"/>
    <m/>
    <m/>
    <m/>
  </r>
  <r>
    <x v="7"/>
    <m/>
    <m/>
    <x v="3"/>
    <m/>
    <m/>
    <m/>
    <m/>
    <m/>
    <m/>
    <m/>
    <m/>
    <m/>
    <m/>
    <m/>
    <m/>
    <x v="0"/>
    <m/>
    <m/>
    <m/>
  </r>
  <r>
    <x v="7"/>
    <m/>
    <m/>
    <x v="3"/>
    <m/>
    <m/>
    <m/>
    <m/>
    <m/>
    <m/>
    <m/>
    <m/>
    <m/>
    <m/>
    <m/>
    <m/>
    <x v="0"/>
    <m/>
    <m/>
    <m/>
  </r>
  <r>
    <x v="7"/>
    <m/>
    <m/>
    <x v="3"/>
    <m/>
    <m/>
    <m/>
    <m/>
    <m/>
    <m/>
    <m/>
    <m/>
    <m/>
    <m/>
    <m/>
    <m/>
    <x v="0"/>
    <m/>
    <m/>
    <m/>
  </r>
</pivotCacheRecords>
</file>

<file path=xl/pivotCache/pivotCacheRecords13.xml><?xml version="1.0" encoding="utf-8"?>
<pivotCacheRecords xmlns="http://schemas.openxmlformats.org/spreadsheetml/2006/main" xmlns:r="http://schemas.openxmlformats.org/officeDocument/2006/relationships" count="632">
  <r>
    <x v="0"/>
    <s v="À votre avis, votre quartier est : "/>
    <s v="Comparativement à il y a 5 ans, les résidants de votre quartier sont … ?"/>
    <s v="Quel est le problème de sécurité qui vous préoccupe le plus dans votre quartier ?"/>
    <s v="Vous arrive-t-il de ne pas vous sentir personnellement en sécurité dans votre quartier ?"/>
    <s v="Dites-nous à combien vous évaluez le risque d'être personnellement intimidé(e) ou agressé(e) dans votre quartier : Lorsque vous sortez seul(e) PENDANT LE JOUR, ce risque est : "/>
    <s v="Dites-nous à combien vous évaluez le risque d'être personnellement intimidé(e) ou agressé(e) dans votre quartier : Lorsque vous sortez seul(e) APRÈS LA TOMBÉE DU JOUR, ce risque est : "/>
    <s v="Dites-nous à combien vous évaluez le risque d'être personnellement intimidé(e) ou agressé(e) dans votre quartier : Lorsque vous attendez ou prenez le transport en commun, ce risque est …"/>
    <s v="Dites-nous à combien vous évaluez le risque que les jeunes de moins de 18 ans qui vivent avec vous (à temps plein ou à temps partiel) soient intimidés ou agressés lorqu'ils vont dehors dans votre quartier. Ce risque est …"/>
    <s v="Habituellement, combien de fois sortez-vous seul(e) dans votre quartier APRÈS LA TOMBÉE DU JOUR ? Est-ce ... "/>
    <s v="Dans votre quartier, les problèmes causés par des gens bruyants sont … ?"/>
    <s v="Dans votre quartier, les désordres liés à la consommation d'alcool dans les lieux publics sont … ?"/>
    <s v="Dans votre quartier, les désordres liés à la vente ou à la consommation de drogue sont … ?"/>
    <s v="Dans votre quartier, les problèmes liés à la criminalité sont … ?"/>
    <s v="Dans votre quartier, les problèmes causés par les gens qui traînent dans les lieux publics sont … ?"/>
    <s v="Dans votre quartier, les actes de vandalisme sont … ?"/>
    <s v="Dans votre quartier, les conflits entre les groupes d'origines ethniques différentes sont … ?"/>
    <s v="Dans votre quartier, les conflits entre d'autres groupes d'individus sont … ?"/>
    <s v="Dans votre quartier, les graffiti sont … ?"/>
    <s v="Dans votre quartier, les immeubles ou bâtiments abandonnés ou mal entretenus sont... ?"/>
    <s v="Dans votre quartier, le niveau d'entraide entre les personnes est... ?"/>
    <s v="Dans votre quartier, le niveau de confiance qui règne entre la plupart des personnes est... ?"/>
    <s v="Dans votre quartier, les comportements des jeunes ou des groupes de jeunes sont-ils pour vous une source de menace ou d'insécurité ?"/>
    <s v="Y a-t-il d'autres individus ou des groupes d'individus dont les comportements sont pour vous une source de menace ou d'insécurité ?"/>
    <s v="De quel type ou groupe d'individus s'agit-il ?  Toxicomanes ou revendeur de drogue"/>
    <s v="De quel type ou groupe d'individus s'agit-il ? Gangs de motards / milieu criminel"/>
    <s v="De quel type ou groupe d'individus s'agit-il ? Sollicitation (vendeurs, mouvements religieux, ex-détenus, etc.)"/>
    <s v="De quel type ou groupe d'individus s'agit-il ? Itinérants"/>
    <s v="De quel type ou groupe d'individus s'agit-il ? Individus ou groupes d'individus en état d'ébriété"/>
    <s v="De quel type ou groupe d'individus s'agit-il ? Personnes d'une communauté culturelle différente de la mienne"/>
    <s v="De quel type ou groupe d'individus s'agit-il ? Voisins"/>
    <s v="De quel type ou groupe d'individus s'agit-il ? Autre"/>
    <s v="De quel type ou groupe d'individus s'agit-il ? Autre, précisez"/>
    <s v="Y a-t-il dans votre quartier des endroits que vous évitez de fréquenter pour des raisons de sécurité ?"/>
    <s v="Lesquels ?"/>
    <s v="Veuillez répondre à chacun des énoncés suivants. Quand je me déplace dans mon quartier, j'apporte habituellement quelque chose pour assurer ma protection. "/>
    <s v="Veuillez répondre à chacun des énoncés suivants. Lorsque je suis dans mon quartier, je vérifie qu'aucun intrus ne se trouve à l'intérieur de ma voiture avant d'y monter."/>
    <s v="Veuillez répondre à chacun des énoncés suivants. À mon domicile, j'évite d'ouvrir la porte à des inconnus, pour des raisons de sécurité. "/>
    <s v="Veuillez répondre à chacun des énoncés suivants. Je garde les portes extérieures de mon domicile constamment verrouillées, même lorsque je suis chez moi. "/>
    <s v="Veuillez répondre à chacun des énoncés suivants. Spécialement par mesure de protection, il y a un chien à mon domicile. "/>
    <s v="Veuillez répondre à chacun des énoncés suivants. J'ai un système d'alarme que j'active régulièrement pour protéger mon domicile contre le vol."/>
    <s v="Veuillez répondre à chacun des énoncés suivants. Spécialement par mesure de protection, j'ai suivi un cours d'autodéfense. "/>
    <s v="Veuillez répondre à chacun des énoncés suivants. Spécialement par mesure de protection, il y a une arme à feu à mon domicile. "/>
    <s v="Est-ce qu'il y a à votre domicile au moins un détecteur de fumée fonctionnel par étage ? "/>
    <s v="Le bon fonctionnement de cet/ces appareil(s) a-t-il été vérifié, au cours des douze (12) derniers mois ?"/>
    <s v="Veuillez nous dire votre degré de satisfaction à l'égard : du déneigement et du déglaçage des rues et des trottoirs de votre quartier ? "/>
    <s v="Veuillez nous dire votre degré de satisfaction à l'égard :  de la propreté et de l'entretien des parcs et terrains de jeux de votre quartier ?"/>
    <s v="Veuillez nous dire votre degré de satisfaction à l'égard :  de la sécurité des équipements dans les parcs, aires de jeux ou centre récréatif ou sportif de votre quartier ? "/>
    <s v="Votre quartier est-il desservi par un service de police municipal, une régie intermunicipale ou par la Sûreté du Québec ?"/>
    <s v="Quel est votre niveau de satisfaction à l'égard de la présence des policiers dans votre quartier ?"/>
    <s v="Quel est votre niveau de satisfaction à l'égard du travail effectué par les policiers dans votre quartier ?"/>
    <s v="De façon plus spécifique, quel est votre niveau de satisfaction à l'égard du travail effectué par les policiers : auprès des jeunes de votre quartier"/>
    <s v="De façon plus spécifique, quel est votre niveau de satisfaction à l'égard du travail effectué par les policiers : pour assurer la sécurité routière dans votre quartier"/>
    <s v="De façon plus spécifique, quel est votre niveau de satisfaction à l'égard du travail effectué par les policiers : pour régler des problèmes de délinquance ou de désordres qui surviennent dans votre quartier"/>
    <s v="Au cours des deux dernières années, combien de fois avez-vous fait appel au service de police qui dessert votre quartier ?"/>
    <s v="En vous référant à l'événement le plus récent, quel est votre niveau de satisfaction à l'égard de la réponse que vous avez reçue ?"/>
    <s v="Pourquoi ? Peu"/>
    <s v="Pourquoi ? Pas"/>
    <s v="Au cours des deux dernières années, vous êtes vous IMPLIQUÉ SUR UNE BASE RÉGULIÈRE dans les activités suivantes de votre quartier : Dans un comité ou un organisme préoccupé par les problèmes de sécurité de votre quartier ?"/>
    <s v="Au cours des deux dernières années, vous êtes vous IMPLIQUÉ SUR UNE BASE RÉGULIÈRE dans les activités suivantes de votre quartier : Dans des assemblées du conseil municipal ?"/>
    <s v="Au cours des deux dernières années, vous êtes vous IMPLIQUÉ SUR UNE BASE RÉGULIÈRE dans les activités suivantes de votre quartier : Dans un conseil de quartier ou d'arrondissement ?"/>
    <s v="Au cours des deux dernières années, vous êtes vous IMPLIQUÉ SUR UNE BASE RÉGULIÈRE dans les activités suivantes de votre quartier : Dans un comité de citoyens ?"/>
    <s v="Au cours des deux dernières années, vous êtes vous IMPLIQUÉ SUR UNE BASE RÉGULIÈRE dans les activités suivantes de votre quartier : Dans des activités communautaires, d'entraide ou de bénévolat (cuisine communautaire, bazar)"/>
    <s v="Au cours des deux dernières années, vous êtes vous IMPLIQUÉ SUR UNE BASE RÉGULIÈRE dans les activités suivantes de votre quartier : Dans des activités sociales, culturelles ou sportives organisées par les gens de votre quartier ou de votre municipalité ?"/>
    <s v="Au cours des deux dernières années, avez-vous été victime de vol, de vandalisme ou de tout autre crime contre vos biens, chez vous ou dans votre quartier ?"/>
    <s v="Au cours des deux dernières années, avez-vous été victime d'une agression, d'intimidation ou de tout autre acte de violence, chez vous ou dans votre quartier ?"/>
    <s v="Au cours des deux dernières années avez-vous été victime dans votre quartier d'une quelconque forme de discrimination ?"/>
    <s v="À votre avis, le motif de cette discrimination était lié …"/>
    <s v="Autre, précisez :"/>
    <s v="Au cours des deux dernières années, avez-vous subi un accident qui vous a occasionné une blessure pour laquelle vous avez dû consulter un professionnel de la santé ou limiter vos activités ?"/>
    <s v="Combien de fois cela s'est-il produit ?"/>
    <s v="En se référant au dernier événement, était-ce … ?"/>
    <s v="Autre, précisez :"/>
    <s v="Maintenant, comparativement à d'autres personnes de votre âge, dirirez-vous que votre santé est en général …"/>
    <s v="Dans quel quartier habitez-vous ?"/>
    <s v="Combien de personne de moins de 18 ans habitent dans votre foyer ?"/>
    <x v="0"/>
    <s v="Quelle est votre année de naissance ?"/>
    <s v="Êtes-vous propriétaire ou locataire du logement que vous habitez ?"/>
    <s v="Autre, précisez : "/>
    <s v="Habitez-vous dans …"/>
    <s v="Autre, précisez : "/>
    <s v="Quel est votre état civil ?"/>
    <s v="Autre, précisez : "/>
    <s v="Où est situé votre lieu de travail habituel ?"/>
    <s v="Autre, précisez : "/>
    <s v="Quel est le plus haut niveau de scolarité que vous avez complété ?"/>
    <m/>
    <m/>
    <x v="0"/>
    <m/>
    <m/>
    <m/>
  </r>
  <r>
    <x v="1"/>
    <n v="4"/>
    <n v="1"/>
    <m/>
    <n v="1"/>
    <n v="7"/>
    <n v="3"/>
    <n v="4"/>
    <n v="1"/>
    <n v="1"/>
    <n v="2"/>
    <n v="1"/>
    <n v="4"/>
    <n v="3"/>
    <n v="3"/>
    <n v="2"/>
    <n v="1"/>
    <n v="2"/>
    <n v="2"/>
    <n v="4"/>
    <n v="3"/>
    <n v="1"/>
    <n v="1"/>
    <n v="1"/>
    <m/>
    <n v="1"/>
    <m/>
    <n v="1"/>
    <n v="1"/>
    <n v="1"/>
    <n v="1"/>
    <m/>
    <m/>
    <n v="1"/>
    <m/>
    <n v="2"/>
    <n v="2"/>
    <n v="1"/>
    <n v="1"/>
    <n v="1"/>
    <n v="2"/>
    <n v="1"/>
    <n v="2"/>
    <n v="2"/>
    <m/>
    <n v="1"/>
    <n v="7"/>
    <n v="4"/>
    <n v="8"/>
    <n v="1"/>
    <n v="4"/>
    <n v="8"/>
    <n v="2"/>
    <n v="2"/>
    <n v="1"/>
    <m/>
    <m/>
    <m/>
    <n v="1"/>
    <n v="2"/>
    <n v="1"/>
    <n v="2"/>
    <n v="2"/>
    <n v="1"/>
    <n v="1"/>
    <n v="2"/>
    <n v="1"/>
    <n v="2"/>
    <m/>
    <n v="1"/>
    <n v="4"/>
    <n v="5"/>
    <m/>
    <n v="2"/>
    <n v="4"/>
    <n v="5"/>
    <x v="1"/>
    <n v="1981"/>
    <n v="2"/>
    <m/>
    <n v="7"/>
    <m/>
    <n v="1"/>
    <m/>
    <n v="1"/>
    <m/>
    <n v="4"/>
    <n v="1"/>
    <n v="32"/>
    <x v="1"/>
    <n v="1"/>
    <n v="1"/>
    <n v="1"/>
  </r>
  <r>
    <x v="1"/>
    <n v="2"/>
    <n v="2"/>
    <m/>
    <n v="2"/>
    <n v="4"/>
    <n v="2"/>
    <n v="1"/>
    <n v="1"/>
    <n v="2"/>
    <n v="3"/>
    <n v="1"/>
    <n v="4"/>
    <n v="2"/>
    <n v="2"/>
    <n v="2"/>
    <n v="1"/>
    <n v="2"/>
    <n v="1"/>
    <n v="2"/>
    <n v="2"/>
    <n v="1"/>
    <n v="2"/>
    <n v="1"/>
    <m/>
    <m/>
    <n v="1"/>
    <m/>
    <n v="1"/>
    <m/>
    <n v="1"/>
    <m/>
    <m/>
    <n v="2"/>
    <m/>
    <n v="1"/>
    <n v="1"/>
    <n v="2"/>
    <n v="1"/>
    <n v="1"/>
    <n v="1"/>
    <n v="1"/>
    <n v="1"/>
    <n v="1"/>
    <n v="1"/>
    <n v="2"/>
    <n v="4"/>
    <n v="1"/>
    <n v="1"/>
    <n v="4"/>
    <n v="8"/>
    <n v="1"/>
    <n v="4"/>
    <n v="1"/>
    <n v="2"/>
    <n v="1"/>
    <m/>
    <m/>
    <n v="2"/>
    <n v="1"/>
    <n v="1"/>
    <n v="2"/>
    <n v="2"/>
    <n v="1"/>
    <n v="2"/>
    <n v="1"/>
    <n v="2"/>
    <n v="1"/>
    <m/>
    <n v="2"/>
    <m/>
    <m/>
    <m/>
    <n v="4"/>
    <n v="1"/>
    <n v="2"/>
    <x v="2"/>
    <n v="1970"/>
    <n v="1"/>
    <m/>
    <n v="5"/>
    <m/>
    <n v="2"/>
    <m/>
    <n v="2"/>
    <m/>
    <n v="1"/>
    <n v="1"/>
    <n v="43"/>
    <x v="2"/>
    <n v="2"/>
    <n v="3"/>
    <n v="2"/>
  </r>
  <r>
    <x v="2"/>
    <n v="1"/>
    <n v="8"/>
    <m/>
    <n v="3"/>
    <n v="4"/>
    <n v="1"/>
    <n v="2"/>
    <n v="2"/>
    <n v="4"/>
    <n v="3"/>
    <n v="1"/>
    <n v="4"/>
    <n v="2"/>
    <n v="1"/>
    <n v="2"/>
    <n v="1"/>
    <n v="3"/>
    <n v="2"/>
    <n v="3"/>
    <n v="1"/>
    <n v="2"/>
    <n v="1"/>
    <n v="2"/>
    <n v="1"/>
    <m/>
    <m/>
    <m/>
    <n v="1"/>
    <n v="1"/>
    <m/>
    <n v="1"/>
    <m/>
    <n v="2"/>
    <m/>
    <n v="1"/>
    <n v="1"/>
    <n v="2"/>
    <n v="1"/>
    <n v="1"/>
    <n v="1"/>
    <n v="2"/>
    <n v="1"/>
    <n v="1"/>
    <n v="2"/>
    <n v="3"/>
    <n v="1"/>
    <n v="2"/>
    <n v="3"/>
    <n v="2"/>
    <n v="1"/>
    <n v="2"/>
    <n v="3"/>
    <n v="4"/>
    <n v="3"/>
    <n v="3"/>
    <m/>
    <m/>
    <n v="2"/>
    <n v="1"/>
    <n v="2"/>
    <n v="2"/>
    <n v="2"/>
    <n v="2"/>
    <n v="2"/>
    <n v="1"/>
    <n v="3"/>
    <n v="3"/>
    <m/>
    <n v="1"/>
    <n v="2"/>
    <n v="8"/>
    <m/>
    <n v="5"/>
    <n v="4"/>
    <n v="4"/>
    <x v="2"/>
    <n v="1990"/>
    <n v="3"/>
    <m/>
    <n v="4"/>
    <m/>
    <n v="4"/>
    <m/>
    <n v="3"/>
    <m/>
    <n v="2"/>
    <n v="1"/>
    <n v="23"/>
    <x v="1"/>
    <n v="2"/>
    <n v="4"/>
    <n v="2"/>
  </r>
  <r>
    <x v="3"/>
    <n v="2"/>
    <n v="3"/>
    <m/>
    <n v="4"/>
    <n v="2"/>
    <n v="2"/>
    <n v="3"/>
    <n v="4"/>
    <n v="1"/>
    <n v="3"/>
    <n v="2"/>
    <n v="2"/>
    <n v="2"/>
    <n v="2"/>
    <n v="2"/>
    <n v="1"/>
    <n v="2"/>
    <n v="3"/>
    <n v="3"/>
    <n v="1"/>
    <n v="3"/>
    <n v="1"/>
    <n v="1"/>
    <n v="1"/>
    <n v="1"/>
    <m/>
    <n v="1"/>
    <n v="1"/>
    <n v="1"/>
    <n v="1"/>
    <m/>
    <m/>
    <n v="2"/>
    <m/>
    <n v="1"/>
    <n v="1"/>
    <n v="2"/>
    <n v="2"/>
    <n v="1"/>
    <n v="2"/>
    <n v="2"/>
    <n v="1"/>
    <n v="1"/>
    <n v="1"/>
    <n v="4"/>
    <n v="3"/>
    <n v="3"/>
    <n v="2"/>
    <n v="3"/>
    <n v="1"/>
    <n v="3"/>
    <n v="2"/>
    <n v="2"/>
    <n v="4"/>
    <n v="2"/>
    <m/>
    <m/>
    <n v="2"/>
    <n v="1"/>
    <n v="2"/>
    <n v="2"/>
    <n v="1"/>
    <n v="2"/>
    <n v="2"/>
    <n v="2"/>
    <n v="4"/>
    <m/>
    <m/>
    <n v="1"/>
    <n v="2"/>
    <n v="7"/>
    <m/>
    <n v="1"/>
    <n v="2"/>
    <n v="1"/>
    <x v="2"/>
    <n v="1983"/>
    <n v="1"/>
    <m/>
    <n v="1"/>
    <m/>
    <n v="1"/>
    <m/>
    <n v="4"/>
    <m/>
    <n v="3"/>
    <n v="1"/>
    <n v="30"/>
    <x v="1"/>
    <n v="2"/>
    <n v="3"/>
    <n v="2"/>
  </r>
  <r>
    <x v="4"/>
    <n v="3"/>
    <n v="1"/>
    <m/>
    <n v="4"/>
    <n v="1"/>
    <n v="7"/>
    <n v="2"/>
    <n v="2"/>
    <n v="5"/>
    <n v="2"/>
    <n v="4"/>
    <n v="1"/>
    <n v="1"/>
    <n v="2"/>
    <n v="1"/>
    <n v="2"/>
    <n v="2"/>
    <n v="3"/>
    <n v="2"/>
    <n v="1"/>
    <n v="2"/>
    <n v="2"/>
    <n v="1"/>
    <m/>
    <n v="1"/>
    <n v="1"/>
    <n v="1"/>
    <n v="1"/>
    <n v="1"/>
    <m/>
    <m/>
    <m/>
    <n v="2"/>
    <m/>
    <n v="1"/>
    <n v="1"/>
    <n v="1"/>
    <n v="2"/>
    <n v="2"/>
    <n v="2"/>
    <n v="1"/>
    <n v="2"/>
    <n v="2"/>
    <m/>
    <n v="7"/>
    <n v="3"/>
    <n v="3"/>
    <n v="1"/>
    <n v="2"/>
    <n v="3"/>
    <n v="2"/>
    <n v="1"/>
    <n v="3"/>
    <n v="2"/>
    <n v="4"/>
    <m/>
    <m/>
    <n v="1"/>
    <n v="2"/>
    <n v="2"/>
    <n v="1"/>
    <n v="1"/>
    <n v="2"/>
    <n v="2"/>
    <n v="1"/>
    <n v="1"/>
    <n v="6"/>
    <m/>
    <n v="2"/>
    <m/>
    <m/>
    <m/>
    <n v="3"/>
    <n v="3"/>
    <m/>
    <x v="2"/>
    <n v="1967"/>
    <n v="1"/>
    <m/>
    <n v="2"/>
    <m/>
    <n v="3"/>
    <m/>
    <n v="4"/>
    <m/>
    <n v="2"/>
    <n v="1"/>
    <n v="46"/>
    <x v="2"/>
    <n v="3"/>
    <n v="5"/>
    <n v="3"/>
  </r>
  <r>
    <x v="1"/>
    <n v="2"/>
    <n v="1"/>
    <m/>
    <n v="4"/>
    <n v="2"/>
    <n v="4"/>
    <n v="1"/>
    <n v="3"/>
    <n v="2"/>
    <n v="4"/>
    <n v="1"/>
    <n v="2"/>
    <n v="1"/>
    <n v="3"/>
    <n v="1"/>
    <n v="2"/>
    <n v="1"/>
    <n v="3"/>
    <n v="1"/>
    <n v="1"/>
    <n v="2"/>
    <n v="1"/>
    <n v="1"/>
    <m/>
    <n v="1"/>
    <m/>
    <m/>
    <m/>
    <n v="1"/>
    <m/>
    <m/>
    <m/>
    <n v="2"/>
    <m/>
    <n v="1"/>
    <n v="1"/>
    <n v="1"/>
    <n v="2"/>
    <n v="2"/>
    <n v="1"/>
    <n v="1"/>
    <n v="2"/>
    <n v="1"/>
    <n v="1"/>
    <n v="4"/>
    <n v="2"/>
    <n v="2"/>
    <n v="2"/>
    <n v="3"/>
    <n v="2"/>
    <n v="4"/>
    <n v="4"/>
    <n v="2"/>
    <n v="1"/>
    <m/>
    <m/>
    <m/>
    <n v="1"/>
    <n v="2"/>
    <n v="1"/>
    <n v="1"/>
    <n v="2"/>
    <n v="1"/>
    <n v="1"/>
    <n v="2"/>
    <n v="4"/>
    <m/>
    <m/>
    <n v="2"/>
    <m/>
    <m/>
    <m/>
    <n v="2"/>
    <n v="2"/>
    <n v="1"/>
    <x v="2"/>
    <n v="1962"/>
    <n v="2"/>
    <m/>
    <n v="3"/>
    <m/>
    <n v="3"/>
    <m/>
    <n v="1"/>
    <m/>
    <n v="1"/>
    <n v="1"/>
    <n v="51"/>
    <x v="2"/>
    <n v="2"/>
    <n v="2"/>
    <n v="2"/>
  </r>
  <r>
    <x v="5"/>
    <n v="1"/>
    <n v="2"/>
    <m/>
    <n v="1"/>
    <n v="3"/>
    <n v="7"/>
    <n v="7"/>
    <n v="5"/>
    <n v="3"/>
    <n v="1"/>
    <n v="2"/>
    <n v="3"/>
    <n v="2"/>
    <n v="2"/>
    <n v="2"/>
    <n v="3"/>
    <n v="4"/>
    <n v="2"/>
    <n v="2"/>
    <n v="4"/>
    <n v="1"/>
    <n v="1"/>
    <n v="2"/>
    <m/>
    <m/>
    <m/>
    <n v="1"/>
    <m/>
    <n v="1"/>
    <m/>
    <m/>
    <m/>
    <n v="2"/>
    <m/>
    <n v="2"/>
    <n v="2"/>
    <n v="1"/>
    <n v="2"/>
    <n v="2"/>
    <n v="1"/>
    <n v="2"/>
    <n v="2"/>
    <n v="2"/>
    <m/>
    <n v="2"/>
    <n v="1"/>
    <n v="1"/>
    <n v="1"/>
    <n v="3"/>
    <n v="3"/>
    <n v="1"/>
    <n v="8"/>
    <n v="1"/>
    <n v="3"/>
    <n v="2"/>
    <m/>
    <m/>
    <n v="1"/>
    <n v="2"/>
    <n v="1"/>
    <n v="1"/>
    <n v="1"/>
    <n v="1"/>
    <n v="1"/>
    <n v="1"/>
    <n v="1"/>
    <n v="7"/>
    <m/>
    <n v="1"/>
    <n v="2"/>
    <n v="6"/>
    <m/>
    <n v="1"/>
    <n v="3"/>
    <n v="3"/>
    <x v="2"/>
    <n v="1994"/>
    <n v="3"/>
    <m/>
    <n v="3"/>
    <m/>
    <n v="2"/>
    <m/>
    <n v="2"/>
    <m/>
    <n v="4"/>
    <n v="1"/>
    <n v="19"/>
    <x v="1"/>
    <n v="2"/>
    <n v="4"/>
    <n v="2"/>
  </r>
  <r>
    <x v="3"/>
    <n v="4"/>
    <n v="2"/>
    <m/>
    <n v="1"/>
    <n v="3"/>
    <n v="1"/>
    <n v="1"/>
    <n v="2"/>
    <n v="5"/>
    <n v="2"/>
    <n v="3"/>
    <n v="2"/>
    <n v="4"/>
    <n v="2"/>
    <n v="3"/>
    <n v="2"/>
    <n v="1"/>
    <n v="4"/>
    <n v="1"/>
    <n v="4"/>
    <n v="4"/>
    <n v="2"/>
    <n v="2"/>
    <m/>
    <m/>
    <n v="1"/>
    <n v="1"/>
    <m/>
    <m/>
    <n v="1"/>
    <m/>
    <m/>
    <n v="1"/>
    <m/>
    <n v="2"/>
    <n v="2"/>
    <n v="1"/>
    <n v="2"/>
    <n v="2"/>
    <n v="2"/>
    <n v="1"/>
    <n v="2"/>
    <n v="1"/>
    <n v="2"/>
    <n v="3"/>
    <n v="1"/>
    <n v="2"/>
    <n v="3"/>
    <n v="4"/>
    <n v="2"/>
    <n v="3"/>
    <n v="8"/>
    <n v="4"/>
    <n v="2"/>
    <n v="1"/>
    <m/>
    <m/>
    <n v="1"/>
    <n v="1"/>
    <n v="1"/>
    <n v="1"/>
    <n v="1"/>
    <n v="1"/>
    <n v="1"/>
    <n v="2"/>
    <n v="3"/>
    <n v="2"/>
    <m/>
    <n v="2"/>
    <m/>
    <m/>
    <m/>
    <n v="3"/>
    <n v="2"/>
    <n v="2"/>
    <x v="1"/>
    <n v="1983"/>
    <n v="2"/>
    <m/>
    <n v="2"/>
    <m/>
    <n v="1"/>
    <m/>
    <n v="3"/>
    <m/>
    <n v="1"/>
    <n v="1"/>
    <n v="30"/>
    <x v="1"/>
    <n v="2"/>
    <n v="4"/>
    <n v="2"/>
  </r>
  <r>
    <x v="3"/>
    <n v="1"/>
    <n v="1"/>
    <m/>
    <n v="1"/>
    <n v="2"/>
    <n v="2"/>
    <n v="2"/>
    <n v="5"/>
    <n v="2"/>
    <n v="1"/>
    <n v="3"/>
    <n v="3"/>
    <n v="1"/>
    <n v="4"/>
    <n v="2"/>
    <n v="3"/>
    <n v="2"/>
    <n v="4"/>
    <n v="4"/>
    <n v="3"/>
    <n v="1"/>
    <n v="2"/>
    <n v="2"/>
    <n v="1"/>
    <n v="1"/>
    <m/>
    <n v="1"/>
    <n v="1"/>
    <n v="1"/>
    <m/>
    <m/>
    <m/>
    <n v="1"/>
    <m/>
    <n v="2"/>
    <n v="2"/>
    <n v="1"/>
    <n v="2"/>
    <n v="2"/>
    <n v="1"/>
    <n v="2"/>
    <n v="2"/>
    <n v="2"/>
    <m/>
    <n v="1"/>
    <n v="4"/>
    <n v="3"/>
    <n v="2"/>
    <n v="1"/>
    <n v="3"/>
    <n v="2"/>
    <n v="8"/>
    <n v="2"/>
    <n v="1"/>
    <m/>
    <m/>
    <m/>
    <n v="2"/>
    <n v="1"/>
    <n v="2"/>
    <n v="2"/>
    <n v="1"/>
    <n v="2"/>
    <n v="1"/>
    <n v="1"/>
    <n v="2"/>
    <n v="2"/>
    <m/>
    <n v="1"/>
    <n v="1"/>
    <n v="1"/>
    <m/>
    <n v="8"/>
    <n v="3"/>
    <n v="5"/>
    <x v="1"/>
    <n v="1975"/>
    <n v="3"/>
    <m/>
    <n v="2"/>
    <m/>
    <n v="4"/>
    <m/>
    <n v="2"/>
    <m/>
    <n v="3"/>
    <n v="1"/>
    <n v="38"/>
    <x v="1"/>
    <n v="2"/>
    <n v="2"/>
    <n v="1"/>
  </r>
  <r>
    <x v="1"/>
    <n v="1"/>
    <n v="3"/>
    <m/>
    <n v="3"/>
    <n v="1"/>
    <n v="3"/>
    <n v="7"/>
    <n v="5"/>
    <n v="5"/>
    <n v="2"/>
    <n v="3"/>
    <n v="2"/>
    <n v="2"/>
    <n v="4"/>
    <n v="3"/>
    <n v="2"/>
    <n v="3"/>
    <n v="4"/>
    <n v="1"/>
    <n v="2"/>
    <n v="2"/>
    <n v="1"/>
    <n v="1"/>
    <m/>
    <m/>
    <n v="1"/>
    <m/>
    <m/>
    <n v="1"/>
    <m/>
    <n v="1"/>
    <m/>
    <n v="1"/>
    <m/>
    <n v="2"/>
    <n v="2"/>
    <n v="1"/>
    <n v="1"/>
    <n v="2"/>
    <n v="2"/>
    <n v="2"/>
    <n v="2"/>
    <n v="2"/>
    <m/>
    <n v="2"/>
    <n v="1"/>
    <n v="4"/>
    <n v="2"/>
    <n v="2"/>
    <n v="2"/>
    <n v="1"/>
    <n v="8"/>
    <n v="3"/>
    <n v="3"/>
    <n v="3"/>
    <m/>
    <m/>
    <n v="2"/>
    <n v="2"/>
    <n v="2"/>
    <n v="2"/>
    <n v="2"/>
    <n v="2"/>
    <n v="1"/>
    <n v="1"/>
    <n v="2"/>
    <n v="3"/>
    <m/>
    <n v="1"/>
    <n v="2"/>
    <n v="5"/>
    <m/>
    <n v="2"/>
    <n v="2"/>
    <n v="5"/>
    <x v="1"/>
    <n v="1979"/>
    <n v="3"/>
    <m/>
    <n v="1"/>
    <m/>
    <n v="1"/>
    <m/>
    <n v="1"/>
    <m/>
    <n v="2"/>
    <n v="1"/>
    <n v="34"/>
    <x v="1"/>
    <n v="1"/>
    <n v="1"/>
    <n v="1"/>
  </r>
  <r>
    <x v="1"/>
    <n v="2"/>
    <n v="1"/>
    <m/>
    <n v="2"/>
    <n v="4"/>
    <n v="1"/>
    <n v="1"/>
    <n v="1"/>
    <n v="3"/>
    <n v="3"/>
    <n v="3"/>
    <n v="3"/>
    <n v="2"/>
    <n v="2"/>
    <n v="2"/>
    <n v="4"/>
    <n v="2"/>
    <n v="1"/>
    <n v="4"/>
    <n v="2"/>
    <n v="3"/>
    <n v="1"/>
    <n v="2"/>
    <m/>
    <m/>
    <n v="1"/>
    <m/>
    <m/>
    <m/>
    <m/>
    <m/>
    <m/>
    <n v="1"/>
    <m/>
    <n v="2"/>
    <n v="2"/>
    <n v="2"/>
    <n v="1"/>
    <n v="2"/>
    <n v="1"/>
    <n v="1"/>
    <n v="1"/>
    <n v="2"/>
    <m/>
    <n v="3"/>
    <n v="2"/>
    <n v="1"/>
    <n v="2"/>
    <n v="4"/>
    <n v="4"/>
    <n v="4"/>
    <n v="3"/>
    <n v="8"/>
    <n v="1"/>
    <m/>
    <m/>
    <m/>
    <n v="2"/>
    <n v="2"/>
    <n v="2"/>
    <n v="2"/>
    <n v="2"/>
    <n v="2"/>
    <n v="2"/>
    <n v="2"/>
    <n v="3"/>
    <n v="5"/>
    <m/>
    <n v="2"/>
    <m/>
    <m/>
    <m/>
    <n v="1"/>
    <n v="1"/>
    <n v="5"/>
    <x v="1"/>
    <n v="1957"/>
    <n v="3"/>
    <m/>
    <n v="1"/>
    <m/>
    <n v="3"/>
    <m/>
    <n v="4"/>
    <m/>
    <n v="3"/>
    <n v="1"/>
    <n v="56"/>
    <x v="2"/>
    <n v="1"/>
    <n v="1"/>
    <n v="1"/>
  </r>
  <r>
    <x v="3"/>
    <n v="3"/>
    <n v="2"/>
    <m/>
    <n v="2"/>
    <n v="7"/>
    <n v="2"/>
    <n v="2"/>
    <n v="4"/>
    <n v="2"/>
    <n v="1"/>
    <n v="2"/>
    <n v="2"/>
    <n v="3"/>
    <n v="4"/>
    <n v="4"/>
    <n v="2"/>
    <n v="1"/>
    <n v="2"/>
    <n v="1"/>
    <n v="3"/>
    <n v="1"/>
    <n v="2"/>
    <n v="1"/>
    <n v="1"/>
    <n v="1"/>
    <n v="1"/>
    <m/>
    <m/>
    <m/>
    <n v="1"/>
    <m/>
    <m/>
    <n v="1"/>
    <m/>
    <n v="1"/>
    <n v="2"/>
    <n v="1"/>
    <n v="1"/>
    <n v="1"/>
    <n v="2"/>
    <n v="2"/>
    <n v="1"/>
    <n v="1"/>
    <n v="2"/>
    <n v="1"/>
    <n v="3"/>
    <n v="7"/>
    <n v="3"/>
    <n v="1"/>
    <n v="2"/>
    <n v="2"/>
    <n v="2"/>
    <n v="2"/>
    <n v="4"/>
    <n v="4"/>
    <m/>
    <m/>
    <n v="1"/>
    <n v="1"/>
    <n v="1"/>
    <n v="2"/>
    <n v="2"/>
    <n v="1"/>
    <n v="2"/>
    <n v="2"/>
    <n v="3"/>
    <n v="98"/>
    <m/>
    <n v="1"/>
    <n v="4"/>
    <n v="4"/>
    <m/>
    <n v="2"/>
    <n v="3"/>
    <m/>
    <x v="2"/>
    <n v="1946"/>
    <n v="2"/>
    <m/>
    <n v="5"/>
    <m/>
    <n v="2"/>
    <m/>
    <n v="2"/>
    <m/>
    <n v="2"/>
    <n v="1"/>
    <n v="67"/>
    <x v="3"/>
    <n v="2"/>
    <n v="4"/>
    <n v="3"/>
  </r>
  <r>
    <x v="3"/>
    <n v="3"/>
    <n v="2"/>
    <m/>
    <n v="2"/>
    <n v="2"/>
    <n v="4"/>
    <n v="3"/>
    <n v="2"/>
    <n v="5"/>
    <n v="2"/>
    <n v="2"/>
    <n v="3"/>
    <n v="2"/>
    <n v="3"/>
    <n v="2"/>
    <n v="3"/>
    <n v="1"/>
    <n v="3"/>
    <n v="2"/>
    <n v="2"/>
    <n v="2"/>
    <n v="2"/>
    <n v="2"/>
    <n v="1"/>
    <m/>
    <m/>
    <m/>
    <n v="1"/>
    <n v="1"/>
    <m/>
    <m/>
    <m/>
    <n v="1"/>
    <m/>
    <n v="1"/>
    <n v="2"/>
    <n v="2"/>
    <n v="2"/>
    <n v="1"/>
    <n v="1"/>
    <n v="1"/>
    <n v="1"/>
    <n v="2"/>
    <m/>
    <n v="2"/>
    <n v="1"/>
    <n v="4"/>
    <n v="3"/>
    <n v="3"/>
    <n v="3"/>
    <n v="3"/>
    <n v="1"/>
    <n v="1"/>
    <n v="1"/>
    <m/>
    <m/>
    <m/>
    <n v="1"/>
    <n v="2"/>
    <n v="1"/>
    <n v="1"/>
    <n v="1"/>
    <n v="1"/>
    <n v="1"/>
    <n v="1"/>
    <n v="2"/>
    <n v="1"/>
    <m/>
    <n v="1"/>
    <n v="2"/>
    <n v="98"/>
    <m/>
    <n v="3"/>
    <n v="2"/>
    <n v="1"/>
    <x v="1"/>
    <n v="1947"/>
    <n v="1"/>
    <m/>
    <n v="6"/>
    <m/>
    <n v="4"/>
    <m/>
    <n v="1"/>
    <m/>
    <n v="2"/>
    <n v="1"/>
    <n v="66"/>
    <x v="3"/>
    <n v="2"/>
    <n v="3"/>
    <n v="2"/>
  </r>
  <r>
    <x v="3"/>
    <n v="3"/>
    <n v="8"/>
    <m/>
    <n v="3"/>
    <n v="2"/>
    <n v="7"/>
    <n v="3"/>
    <n v="3"/>
    <n v="2"/>
    <n v="1"/>
    <n v="2"/>
    <n v="2"/>
    <n v="2"/>
    <n v="2"/>
    <n v="3"/>
    <n v="2"/>
    <n v="2"/>
    <n v="2"/>
    <n v="3"/>
    <n v="3"/>
    <n v="4"/>
    <n v="2"/>
    <n v="1"/>
    <m/>
    <n v="1"/>
    <n v="1"/>
    <n v="1"/>
    <m/>
    <m/>
    <m/>
    <m/>
    <m/>
    <n v="2"/>
    <m/>
    <n v="1"/>
    <n v="2"/>
    <n v="1"/>
    <n v="2"/>
    <n v="1"/>
    <n v="2"/>
    <n v="2"/>
    <n v="1"/>
    <n v="2"/>
    <m/>
    <n v="3"/>
    <n v="7"/>
    <n v="1"/>
    <n v="1"/>
    <n v="2"/>
    <n v="2"/>
    <n v="2"/>
    <n v="3"/>
    <n v="3"/>
    <n v="2"/>
    <n v="3"/>
    <m/>
    <m/>
    <n v="2"/>
    <n v="1"/>
    <n v="1"/>
    <n v="1"/>
    <n v="2"/>
    <n v="2"/>
    <n v="2"/>
    <n v="2"/>
    <n v="4"/>
    <m/>
    <m/>
    <n v="2"/>
    <m/>
    <m/>
    <m/>
    <n v="5"/>
    <n v="4"/>
    <n v="3"/>
    <x v="2"/>
    <n v="1984"/>
    <n v="3"/>
    <m/>
    <n v="4"/>
    <m/>
    <n v="6"/>
    <m/>
    <n v="3"/>
    <m/>
    <n v="1"/>
    <n v="1"/>
    <n v="29"/>
    <x v="1"/>
    <n v="2"/>
    <n v="4"/>
    <n v="2"/>
  </r>
  <r>
    <x v="1"/>
    <n v="4"/>
    <n v="3"/>
    <m/>
    <n v="3"/>
    <n v="4"/>
    <n v="2"/>
    <n v="2"/>
    <n v="5"/>
    <n v="4"/>
    <n v="2"/>
    <n v="2"/>
    <n v="2"/>
    <n v="1"/>
    <n v="1"/>
    <n v="2"/>
    <n v="1"/>
    <n v="4"/>
    <n v="1"/>
    <n v="3"/>
    <n v="1"/>
    <n v="1"/>
    <n v="1"/>
    <n v="2"/>
    <n v="1"/>
    <m/>
    <n v="1"/>
    <m/>
    <m/>
    <n v="1"/>
    <n v="1"/>
    <m/>
    <m/>
    <n v="2"/>
    <m/>
    <n v="2"/>
    <n v="1"/>
    <n v="2"/>
    <n v="1"/>
    <n v="1"/>
    <n v="1"/>
    <n v="1"/>
    <n v="2"/>
    <n v="1"/>
    <n v="1"/>
    <n v="4"/>
    <n v="1"/>
    <n v="2"/>
    <n v="1"/>
    <n v="2"/>
    <n v="1"/>
    <n v="1"/>
    <n v="2"/>
    <n v="8"/>
    <n v="3"/>
    <n v="2"/>
    <m/>
    <m/>
    <n v="1"/>
    <n v="2"/>
    <n v="2"/>
    <n v="2"/>
    <n v="2"/>
    <n v="2"/>
    <n v="1"/>
    <n v="1"/>
    <n v="1"/>
    <n v="8"/>
    <m/>
    <n v="2"/>
    <m/>
    <m/>
    <m/>
    <n v="3"/>
    <n v="3"/>
    <n v="1"/>
    <x v="1"/>
    <n v="1989"/>
    <n v="2"/>
    <m/>
    <n v="7"/>
    <m/>
    <n v="4"/>
    <m/>
    <n v="2"/>
    <m/>
    <n v="2"/>
    <n v="1"/>
    <n v="24"/>
    <x v="1"/>
    <n v="2"/>
    <n v="2"/>
    <n v="2"/>
  </r>
  <r>
    <x v="1"/>
    <n v="3"/>
    <n v="2"/>
    <m/>
    <n v="1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4"/>
    <n v="3"/>
  </r>
  <r>
    <x v="5"/>
    <n v="1"/>
    <n v="1"/>
    <m/>
    <n v="4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7"/>
    <m/>
    <m/>
    <m/>
    <m/>
    <m/>
    <m/>
    <m/>
    <m/>
    <m/>
    <n v="1"/>
    <n v="26"/>
    <x v="1"/>
    <n v="2"/>
    <n v="4"/>
    <n v="3"/>
  </r>
  <r>
    <x v="2"/>
    <n v="2"/>
    <n v="4"/>
    <m/>
    <n v="1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3"/>
    <n v="3"/>
  </r>
  <r>
    <x v="1"/>
    <n v="4"/>
    <n v="2"/>
    <m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1"/>
    <m/>
    <m/>
    <m/>
    <m/>
    <m/>
    <m/>
    <m/>
    <m/>
    <m/>
    <n v="1"/>
    <n v="32"/>
    <x v="1"/>
    <n v="2"/>
    <n v="4"/>
    <n v="3"/>
  </r>
  <r>
    <x v="3"/>
    <n v="2"/>
    <n v="3"/>
    <m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70"/>
    <m/>
    <m/>
    <m/>
    <m/>
    <m/>
    <m/>
    <m/>
    <m/>
    <m/>
    <n v="1"/>
    <n v="43"/>
    <x v="2"/>
    <n v="2"/>
    <n v="4"/>
    <n v="3"/>
  </r>
  <r>
    <x v="1"/>
    <n v="3"/>
    <n v="1"/>
    <m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2"/>
    <n v="4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</pivotCacheRecords>
</file>

<file path=xl/pivotCache/pivotCacheRecords14.xml><?xml version="1.0" encoding="utf-8"?>
<pivotCacheRecords xmlns="http://schemas.openxmlformats.org/spreadsheetml/2006/main" xmlns:r="http://schemas.openxmlformats.org/officeDocument/2006/relationships" count="632">
  <r>
    <x v="0"/>
    <s v="En vous incluant, combien y a-t-il de personnes de 18 ans ou plus qui habitent votre foyer ?"/>
    <s v="À votre avis, votre quartier est : "/>
    <s v="Comparativement à il y a 5 ans, les résidants de votre quartier sont … ?"/>
    <s v="Quel est le problème de sécurité qui vous préoccupe le plus dans votre quartier ?"/>
    <s v="Vous arrive-t-il de ne pas vous sentir personnellement en sécurité dans votre quartier ?"/>
    <s v="Dites-nous à combien vous évaluez le risque d'être personnellement intimidé(e) ou agressé(e) dans votre quartier : Lorsque vous sortez seul(e) PENDANT LE JOUR, ce risque est : "/>
    <s v="Dites-nous à combien vous évaluez le risque d'être personnellement intimidé(e) ou agressé(e) dans votre quartier : Lorsque vous sortez seul(e) APRÈS LA TOMBÉE DU JOUR, ce risque est : "/>
    <s v="Dites-nous à combien vous évaluez le risque d'être personnellement intimidé(e) ou agressé(e) dans votre quartier : Lorsque vous attendez ou prenez le transport en commun, ce risque est …"/>
    <s v="Dites-nous à combien vous évaluez le risque que les jeunes de moins de 18 ans qui vivent avec vous (à temps plein ou à temps partiel) soient intimidés ou agressés lorqu'ils vont dehors dans votre quartier. Ce risque est …"/>
    <s v="Habituellement, combien de fois sortez-vous seul(e) dans votre quartier APRÈS LA TOMBÉE DU JOUR ? Est-ce ... "/>
    <s v="Dans votre quartier, les problèmes causés par des gens bruyants sont … ?"/>
    <s v="Dans votre quartier, les désordres liés à la consommation d'alcool dans les lieux publics sont … ?"/>
    <s v="Dans votre quartier, les désordres liés à la vente ou à la consommation de drogue sont … ?"/>
    <s v="Dans votre quartier, les problèmes liés à la criminalité sont … ?"/>
    <s v="Dans votre quartier, les problèmes causés par les gens qui traînent dans les lieux publics sont … ?"/>
    <s v="Dans votre quartier, les actes de vandalisme sont … ?"/>
    <s v="Dans votre quartier, les conflits entre les groupes d'origines ethniques différentes sont … ?"/>
    <s v="Dans votre quartier, les conflits entre d'autres groupes d'individus sont … ?"/>
    <s v="Dans votre quartier, les graffiti sont … ?"/>
    <s v="Dans votre quartier, les immeubles ou bâtiments abandonnés ou mal entretenus sont... ?"/>
    <s v="Dans votre quartier, le niveau d'entraide entre les personnes est... ?"/>
    <s v="Dans votre quartier, le niveau de confiance qui règne entre la plupart des personnes est... ?"/>
    <s v="Dans votre quartier, les comportements des jeunes ou des groupes de jeunes sont-ils pour vous une source de menace ou d'insécurité ?"/>
    <s v="Y a-t-il d'autres individus ou des groupes d'individus dont les comportements sont pour vous une source de menace ou d'insécurité ?"/>
    <s v="De quel type ou groupe d'individus s'agit-il ?  Toxicomanes ou revendeur de drogue"/>
    <s v="De quel type ou groupe d'individus s'agit-il ? Gangs de motards / milieu criminel"/>
    <s v="De quel type ou groupe d'individus s'agit-il ? Sollicitation (vendeurs, mouvements religieux, ex-détenus, etc.)"/>
    <s v="De quel type ou groupe d'individus s'agit-il ? Itinérants"/>
    <s v="De quel type ou groupe d'individus s'agit-il ? Individus ou groupes d'individus en état d'ébriété"/>
    <s v="De quel type ou groupe d'individus s'agit-il ? Personnes d'une communauté culturelle différente de la mienne"/>
    <s v="De quel type ou groupe d'individus s'agit-il ? Voisins"/>
    <s v="De quel type ou groupe d'individus s'agit-il ? Autre"/>
    <s v="De quel type ou groupe d'individus s'agit-il ? Autre, précisez"/>
    <s v="Y a-t-il dans votre quartier des endroits que vous évitez de fréquenter pour des raisons de sécurité ?"/>
    <s v="Lesquels ?"/>
    <s v="Veuillez répondre à chacun des énoncés suivants. Quand je me déplace dans mon quartier, j'apporte habituellement quelque chose pour assurer ma protection. "/>
    <s v="Veuillez répondre à chacun des énoncés suivants. Lorsque je suis dans mon quartier, je vérifie qu'aucun intrus ne se trouve à l'intérieur de ma voiture avant d'y monter."/>
    <s v="Veuillez répondre à chacun des énoncés suivants. À mon domicile, j'évite d'ouvrir la porte à des inconnus, pour des raisons de sécurité. "/>
    <s v="Veuillez répondre à chacun des énoncés suivants. Je garde les portes extérieures de mon domicile constamment verrouillées, même lorsque je suis chez moi. "/>
    <s v="Veuillez répondre à chacun des énoncés suivants. Spécialement par mesure de protection, il y a un chien à mon domicile. "/>
    <s v="Veuillez répondre à chacun des énoncés suivants. J'ai un système d'alarme que j'active régulièrement pour protéger mon domicile contre le vol."/>
    <s v="Veuillez répondre à chacun des énoncés suivants. Spécialement par mesure de protection, j'ai suivi un cours d'autodéfense. "/>
    <s v="Veuillez répondre à chacun des énoncés suivants. Spécialement par mesure de protection, il y a une arme à feu à mon domicile. "/>
    <s v="Est-ce qu'il y a à votre domicile au moins un détecteur de fumée fonctionnel par étage ? "/>
    <s v="Le bon fonctionnement de cet/ces appareil(s) a-t-il été vérifié, au cours des douze (12) derniers mois ?"/>
    <s v="Veuillez nous dire votre degré de satisfaction à l'égard : du déneigement et du déglaçage des rues et des trottoirs de votre quartier ? "/>
    <s v="Veuillez nous dire votre degré de satisfaction à l'égard :  de la propreté et de l'entretien des parcs et terrains de jeux de votre quartier ?"/>
    <s v="Veuillez nous dire votre degré de satisfaction à l'égard :  de la sécurité des équipements dans les parcs, aires de jeux ou centre récréatif ou sportif de votre quartier ? "/>
    <s v="Votre quartier est-il desservi par un service de police municipal, une régie intermunicipale ou par la Sûreté du Québec ?"/>
    <s v="Quel est votre niveau de satisfaction à l'égard de la présence des policiers dans votre quartier ?"/>
    <s v="Quel est votre niveau de satisfaction à l'égard du travail effectué par les policiers dans votre quartier ?"/>
    <s v="De façon plus spécifique, quel est votre niveau de satisfaction à l'égard du travail effectué par les policiers : auprès des jeunes de votre quartier"/>
    <s v="De façon plus spécifique, quel est votre niveau de satisfaction à l'égard du travail effectué par les policiers : pour assurer la sécurité routière dans votre quartier"/>
    <s v="De façon plus spécifique, quel est votre niveau de satisfaction à l'égard du travail effectué par les policiers : pour régler des problèmes de délinquance ou de désordres qui surviennent dans votre quartier"/>
    <s v="Au cours des deux dernières années, combien de fois avez-vous fait appel au service de police qui dessert votre quartier ?"/>
    <s v="En vous référant à l'événement le plus récent, quel est votre niveau de satisfaction à l'égard de la réponse que vous avez reçue ?"/>
    <s v="Pourquoi ? Peu"/>
    <s v="Pourquoi ? Pas"/>
    <s v="Au cours des deux dernières années, vous êtes vous IMPLIQUÉ SUR UNE BASE RÉGULIÈRE dans les activités suivantes de votre quartier : Dans un comité ou un organisme préoccupé par les problèmes de sécurité de votre quartier ?"/>
    <s v="Au cours des deux dernières années, vous êtes vous IMPLIQUÉ SUR UNE BASE RÉGULIÈRE dans les activités suivantes de votre quartier : Dans des assemblées du conseil municipal ?"/>
    <s v="Au cours des deux dernières années, vous êtes vous IMPLIQUÉ SUR UNE BASE RÉGULIÈRE dans les activités suivantes de votre quartier : Dans un conseil de quartier ou d'arrondissement ?"/>
    <s v="Au cours des deux dernières années, vous êtes vous IMPLIQUÉ SUR UNE BASE RÉGULIÈRE dans les activités suivantes de votre quartier : Dans un comité de citoyens ?"/>
    <s v="Au cours des deux dernières années, vous êtes vous IMPLIQUÉ SUR UNE BASE RÉGULIÈRE dans les activités suivantes de votre quartier : Dans des activités communautaires, d'entraide ou de bénévolat (cuisine communautaire, bazar)"/>
    <s v="Au cours des deux dernières années, vous êtes vous IMPLIQUÉ SUR UNE BASE RÉGULIÈRE dans les activités suivantes de votre quartier : Dans des activités sociales, culturelles ou sportives organisées par les gens de votre quartier ou de votre municipalité ?"/>
    <s v="Au cours des deux dernières années, avez-vous été victime de vol, de vandalisme ou de tout autre crime contre vos biens, chez vous ou dans votre quartier ?"/>
    <s v="Au cours des deux dernières années, avez-vous été victime d'une agression, d'intimidation ou de tout autre acte de violence, chez vous ou dans votre quartier ?"/>
    <s v="Au cours des deux dernières années avez-vous été victime dans votre quartier d'une quelconque forme de discrimination ?"/>
    <s v="À votre avis, le motif de cette discrimination était lié …"/>
    <s v="Autre, précisez :"/>
    <s v="Au cours des deux dernières années, avez-vous subi un accident qui vous a occasionné une blessure pour laquelle vous avez dû consulter un professionnel de la santé ou limiter vos activités ?"/>
    <s v="Combien de fois cela s'est-il produit ?"/>
    <s v="En se référant au dernier événement, était-ce … ?"/>
    <s v="Autre, précisez :"/>
    <s v="Maintenant, comparativement à d'autres personnes de votre âge, dirirez-vous que votre santé est en général …"/>
    <s v="Dans quel quartier habitez-vous ?"/>
    <s v="Combien de personne de moins de 18 ans habitent dans votre foyer ?"/>
    <s v="Êtes-vous :"/>
    <s v="Quelle est votre année de naissance ?"/>
    <s v="Êtes-vous propriétaire ou locataire du logement que vous habitez ?"/>
    <s v="Autre, précisez : "/>
    <s v="Habitez-vous dans …"/>
    <s v="Autre, précisez : "/>
    <s v="Quel est votre état civil ?"/>
    <s v="Autre, précisez : "/>
    <s v="Où est situé votre lieu de travail habituel ?"/>
    <s v="Autre, précisez : "/>
    <s v="Quel est le plus haut niveau de scolarité que vous avez complété ?"/>
    <m/>
    <m/>
    <x v="0"/>
    <m/>
    <m/>
    <m/>
  </r>
  <r>
    <x v="1"/>
    <n v="1"/>
    <n v="4"/>
    <n v="1"/>
    <m/>
    <n v="1"/>
    <n v="7"/>
    <n v="3"/>
    <n v="4"/>
    <n v="1"/>
    <n v="1"/>
    <n v="2"/>
    <n v="1"/>
    <n v="4"/>
    <n v="3"/>
    <n v="3"/>
    <n v="2"/>
    <n v="1"/>
    <n v="2"/>
    <n v="2"/>
    <n v="4"/>
    <n v="3"/>
    <n v="1"/>
    <n v="1"/>
    <n v="1"/>
    <m/>
    <n v="1"/>
    <m/>
    <n v="1"/>
    <n v="1"/>
    <n v="1"/>
    <n v="1"/>
    <m/>
    <m/>
    <n v="1"/>
    <m/>
    <n v="2"/>
    <n v="2"/>
    <n v="1"/>
    <n v="1"/>
    <n v="1"/>
    <n v="2"/>
    <n v="1"/>
    <n v="2"/>
    <n v="2"/>
    <m/>
    <n v="1"/>
    <n v="7"/>
    <n v="4"/>
    <n v="8"/>
    <n v="1"/>
    <n v="4"/>
    <n v="8"/>
    <n v="2"/>
    <n v="2"/>
    <n v="1"/>
    <m/>
    <m/>
    <m/>
    <n v="1"/>
    <n v="2"/>
    <n v="1"/>
    <n v="2"/>
    <n v="2"/>
    <n v="1"/>
    <n v="1"/>
    <n v="2"/>
    <n v="1"/>
    <n v="2"/>
    <m/>
    <n v="1"/>
    <n v="4"/>
    <n v="5"/>
    <m/>
    <n v="2"/>
    <n v="4"/>
    <n v="5"/>
    <n v="1"/>
    <n v="1981"/>
    <n v="2"/>
    <m/>
    <n v="7"/>
    <m/>
    <n v="1"/>
    <m/>
    <n v="1"/>
    <m/>
    <n v="4"/>
    <n v="1"/>
    <n v="32"/>
    <x v="1"/>
    <n v="1"/>
    <n v="1"/>
    <n v="1"/>
  </r>
  <r>
    <x v="2"/>
    <n v="1"/>
    <n v="2"/>
    <n v="2"/>
    <m/>
    <n v="2"/>
    <n v="4"/>
    <n v="2"/>
    <n v="1"/>
    <n v="1"/>
    <n v="2"/>
    <n v="3"/>
    <n v="1"/>
    <n v="4"/>
    <n v="2"/>
    <n v="2"/>
    <n v="2"/>
    <n v="1"/>
    <n v="2"/>
    <n v="1"/>
    <n v="2"/>
    <n v="2"/>
    <n v="1"/>
    <n v="2"/>
    <n v="1"/>
    <m/>
    <m/>
    <n v="1"/>
    <m/>
    <n v="1"/>
    <m/>
    <n v="1"/>
    <m/>
    <m/>
    <n v="2"/>
    <m/>
    <n v="1"/>
    <n v="1"/>
    <n v="2"/>
    <n v="1"/>
    <n v="1"/>
    <n v="1"/>
    <n v="1"/>
    <n v="1"/>
    <n v="1"/>
    <n v="1"/>
    <n v="2"/>
    <n v="4"/>
    <n v="1"/>
    <n v="1"/>
    <n v="4"/>
    <n v="8"/>
    <n v="1"/>
    <n v="4"/>
    <n v="1"/>
    <n v="2"/>
    <n v="1"/>
    <m/>
    <m/>
    <n v="2"/>
    <n v="1"/>
    <n v="1"/>
    <n v="2"/>
    <n v="2"/>
    <n v="1"/>
    <n v="2"/>
    <n v="1"/>
    <n v="2"/>
    <n v="1"/>
    <m/>
    <n v="2"/>
    <m/>
    <m/>
    <m/>
    <n v="4"/>
    <n v="1"/>
    <n v="2"/>
    <n v="2"/>
    <n v="1970"/>
    <n v="1"/>
    <m/>
    <n v="5"/>
    <m/>
    <n v="2"/>
    <m/>
    <n v="2"/>
    <m/>
    <n v="1"/>
    <n v="1"/>
    <n v="43"/>
    <x v="2"/>
    <n v="2"/>
    <n v="3"/>
    <n v="2"/>
  </r>
  <r>
    <x v="3"/>
    <n v="3"/>
    <n v="1"/>
    <n v="8"/>
    <m/>
    <n v="3"/>
    <n v="4"/>
    <n v="1"/>
    <n v="2"/>
    <n v="2"/>
    <n v="4"/>
    <n v="3"/>
    <n v="1"/>
    <n v="4"/>
    <n v="2"/>
    <n v="1"/>
    <n v="2"/>
    <n v="1"/>
    <n v="3"/>
    <n v="2"/>
    <n v="3"/>
    <n v="1"/>
    <n v="2"/>
    <n v="1"/>
    <n v="2"/>
    <n v="1"/>
    <m/>
    <m/>
    <m/>
    <n v="1"/>
    <n v="1"/>
    <m/>
    <n v="1"/>
    <m/>
    <n v="2"/>
    <m/>
    <n v="1"/>
    <n v="1"/>
    <n v="2"/>
    <n v="1"/>
    <n v="1"/>
    <n v="1"/>
    <n v="2"/>
    <n v="1"/>
    <n v="1"/>
    <n v="2"/>
    <n v="3"/>
    <n v="1"/>
    <n v="2"/>
    <n v="3"/>
    <n v="2"/>
    <n v="1"/>
    <n v="2"/>
    <n v="3"/>
    <n v="4"/>
    <n v="3"/>
    <n v="3"/>
    <m/>
    <m/>
    <n v="2"/>
    <n v="1"/>
    <n v="2"/>
    <n v="2"/>
    <n v="2"/>
    <n v="2"/>
    <n v="2"/>
    <n v="1"/>
    <n v="3"/>
    <n v="3"/>
    <m/>
    <n v="1"/>
    <n v="2"/>
    <n v="8"/>
    <m/>
    <n v="5"/>
    <n v="4"/>
    <n v="4"/>
    <n v="2"/>
    <n v="1990"/>
    <n v="3"/>
    <m/>
    <n v="4"/>
    <m/>
    <n v="4"/>
    <m/>
    <n v="3"/>
    <m/>
    <n v="2"/>
    <n v="1"/>
    <n v="23"/>
    <x v="1"/>
    <n v="2"/>
    <n v="4"/>
    <n v="2"/>
  </r>
  <r>
    <x v="1"/>
    <n v="2"/>
    <n v="2"/>
    <n v="3"/>
    <m/>
    <n v="4"/>
    <n v="2"/>
    <n v="2"/>
    <n v="3"/>
    <n v="4"/>
    <n v="1"/>
    <n v="3"/>
    <n v="2"/>
    <n v="2"/>
    <n v="2"/>
    <n v="2"/>
    <n v="2"/>
    <n v="1"/>
    <n v="2"/>
    <n v="3"/>
    <n v="3"/>
    <n v="1"/>
    <n v="3"/>
    <n v="1"/>
    <n v="1"/>
    <n v="1"/>
    <n v="1"/>
    <m/>
    <n v="1"/>
    <n v="1"/>
    <n v="1"/>
    <n v="1"/>
    <m/>
    <m/>
    <n v="2"/>
    <m/>
    <n v="1"/>
    <n v="1"/>
    <n v="2"/>
    <n v="2"/>
    <n v="1"/>
    <n v="2"/>
    <n v="2"/>
    <n v="1"/>
    <n v="1"/>
    <n v="1"/>
    <n v="4"/>
    <n v="3"/>
    <n v="3"/>
    <n v="2"/>
    <n v="3"/>
    <n v="1"/>
    <n v="3"/>
    <n v="2"/>
    <n v="2"/>
    <n v="4"/>
    <n v="2"/>
    <m/>
    <m/>
    <n v="2"/>
    <n v="1"/>
    <n v="2"/>
    <n v="2"/>
    <n v="1"/>
    <n v="2"/>
    <n v="2"/>
    <n v="2"/>
    <n v="4"/>
    <m/>
    <m/>
    <n v="1"/>
    <n v="2"/>
    <n v="7"/>
    <m/>
    <n v="1"/>
    <n v="2"/>
    <n v="1"/>
    <n v="2"/>
    <n v="1983"/>
    <n v="1"/>
    <m/>
    <n v="1"/>
    <m/>
    <n v="1"/>
    <m/>
    <n v="4"/>
    <m/>
    <n v="3"/>
    <n v="1"/>
    <n v="30"/>
    <x v="1"/>
    <n v="2"/>
    <n v="3"/>
    <n v="2"/>
  </r>
  <r>
    <x v="2"/>
    <m/>
    <n v="3"/>
    <n v="1"/>
    <m/>
    <n v="4"/>
    <n v="1"/>
    <n v="7"/>
    <n v="2"/>
    <n v="2"/>
    <n v="5"/>
    <n v="2"/>
    <n v="4"/>
    <n v="1"/>
    <n v="1"/>
    <n v="2"/>
    <n v="1"/>
    <n v="2"/>
    <n v="2"/>
    <n v="3"/>
    <n v="2"/>
    <n v="1"/>
    <n v="2"/>
    <n v="2"/>
    <n v="1"/>
    <m/>
    <n v="1"/>
    <n v="1"/>
    <n v="1"/>
    <n v="1"/>
    <n v="1"/>
    <m/>
    <m/>
    <m/>
    <n v="2"/>
    <m/>
    <n v="1"/>
    <n v="1"/>
    <n v="1"/>
    <n v="2"/>
    <n v="2"/>
    <n v="2"/>
    <n v="1"/>
    <n v="2"/>
    <n v="2"/>
    <m/>
    <n v="7"/>
    <n v="3"/>
    <n v="3"/>
    <n v="1"/>
    <n v="2"/>
    <n v="3"/>
    <n v="2"/>
    <n v="1"/>
    <n v="3"/>
    <n v="2"/>
    <n v="4"/>
    <m/>
    <m/>
    <n v="1"/>
    <n v="2"/>
    <n v="2"/>
    <n v="1"/>
    <n v="1"/>
    <n v="2"/>
    <n v="2"/>
    <n v="1"/>
    <n v="1"/>
    <n v="6"/>
    <m/>
    <n v="2"/>
    <m/>
    <m/>
    <m/>
    <n v="3"/>
    <n v="3"/>
    <m/>
    <n v="2"/>
    <n v="1967"/>
    <n v="1"/>
    <m/>
    <n v="2"/>
    <m/>
    <n v="3"/>
    <m/>
    <n v="4"/>
    <m/>
    <n v="2"/>
    <n v="1"/>
    <n v="46"/>
    <x v="2"/>
    <n v="3"/>
    <n v="5"/>
    <n v="3"/>
  </r>
  <r>
    <x v="2"/>
    <n v="1"/>
    <n v="2"/>
    <n v="1"/>
    <m/>
    <n v="4"/>
    <n v="2"/>
    <n v="4"/>
    <n v="1"/>
    <n v="3"/>
    <n v="2"/>
    <n v="4"/>
    <n v="1"/>
    <n v="2"/>
    <n v="1"/>
    <n v="3"/>
    <n v="1"/>
    <n v="2"/>
    <n v="1"/>
    <n v="3"/>
    <n v="1"/>
    <n v="1"/>
    <n v="2"/>
    <n v="1"/>
    <n v="1"/>
    <m/>
    <n v="1"/>
    <m/>
    <m/>
    <m/>
    <n v="1"/>
    <m/>
    <m/>
    <m/>
    <n v="2"/>
    <m/>
    <n v="1"/>
    <n v="1"/>
    <n v="1"/>
    <n v="2"/>
    <n v="2"/>
    <n v="1"/>
    <n v="1"/>
    <n v="2"/>
    <n v="1"/>
    <n v="1"/>
    <n v="4"/>
    <n v="2"/>
    <n v="2"/>
    <n v="2"/>
    <n v="3"/>
    <n v="2"/>
    <n v="4"/>
    <n v="4"/>
    <n v="2"/>
    <n v="1"/>
    <m/>
    <m/>
    <m/>
    <n v="1"/>
    <n v="2"/>
    <n v="1"/>
    <n v="1"/>
    <n v="2"/>
    <n v="1"/>
    <n v="1"/>
    <n v="2"/>
    <n v="4"/>
    <m/>
    <m/>
    <n v="2"/>
    <m/>
    <m/>
    <m/>
    <n v="2"/>
    <n v="2"/>
    <n v="1"/>
    <n v="2"/>
    <n v="1962"/>
    <n v="2"/>
    <m/>
    <n v="3"/>
    <m/>
    <n v="3"/>
    <m/>
    <n v="1"/>
    <m/>
    <n v="1"/>
    <n v="1"/>
    <n v="51"/>
    <x v="2"/>
    <n v="2"/>
    <n v="2"/>
    <n v="2"/>
  </r>
  <r>
    <x v="1"/>
    <n v="4"/>
    <n v="1"/>
    <n v="2"/>
    <m/>
    <n v="1"/>
    <n v="3"/>
    <n v="7"/>
    <n v="7"/>
    <n v="5"/>
    <n v="3"/>
    <n v="1"/>
    <n v="2"/>
    <n v="3"/>
    <n v="2"/>
    <n v="2"/>
    <n v="2"/>
    <n v="3"/>
    <n v="4"/>
    <n v="2"/>
    <n v="2"/>
    <n v="4"/>
    <n v="1"/>
    <n v="1"/>
    <n v="2"/>
    <m/>
    <m/>
    <m/>
    <n v="1"/>
    <m/>
    <n v="1"/>
    <m/>
    <m/>
    <m/>
    <n v="2"/>
    <m/>
    <n v="2"/>
    <n v="2"/>
    <n v="1"/>
    <n v="2"/>
    <n v="2"/>
    <n v="1"/>
    <n v="2"/>
    <n v="2"/>
    <n v="2"/>
    <m/>
    <n v="2"/>
    <n v="1"/>
    <n v="1"/>
    <n v="1"/>
    <n v="3"/>
    <n v="3"/>
    <n v="1"/>
    <n v="8"/>
    <n v="1"/>
    <n v="3"/>
    <n v="2"/>
    <m/>
    <m/>
    <n v="1"/>
    <n v="2"/>
    <n v="1"/>
    <n v="1"/>
    <n v="1"/>
    <n v="1"/>
    <n v="1"/>
    <n v="1"/>
    <n v="1"/>
    <n v="7"/>
    <m/>
    <n v="1"/>
    <n v="2"/>
    <n v="6"/>
    <m/>
    <n v="1"/>
    <n v="3"/>
    <n v="3"/>
    <n v="2"/>
    <n v="1994"/>
    <n v="3"/>
    <m/>
    <n v="3"/>
    <m/>
    <n v="2"/>
    <m/>
    <n v="2"/>
    <m/>
    <n v="4"/>
    <n v="1"/>
    <n v="19"/>
    <x v="1"/>
    <n v="2"/>
    <n v="4"/>
    <n v="2"/>
  </r>
  <r>
    <x v="3"/>
    <n v="2"/>
    <n v="4"/>
    <n v="2"/>
    <m/>
    <n v="1"/>
    <n v="3"/>
    <n v="1"/>
    <n v="1"/>
    <n v="2"/>
    <n v="5"/>
    <n v="2"/>
    <n v="3"/>
    <n v="2"/>
    <n v="4"/>
    <n v="2"/>
    <n v="3"/>
    <n v="2"/>
    <n v="1"/>
    <n v="4"/>
    <n v="1"/>
    <n v="4"/>
    <n v="4"/>
    <n v="2"/>
    <n v="2"/>
    <m/>
    <m/>
    <n v="1"/>
    <n v="1"/>
    <m/>
    <m/>
    <n v="1"/>
    <m/>
    <m/>
    <n v="1"/>
    <m/>
    <n v="2"/>
    <n v="2"/>
    <n v="1"/>
    <n v="2"/>
    <n v="2"/>
    <n v="2"/>
    <n v="1"/>
    <n v="2"/>
    <n v="1"/>
    <n v="2"/>
    <n v="3"/>
    <n v="1"/>
    <n v="2"/>
    <n v="3"/>
    <n v="4"/>
    <n v="2"/>
    <n v="3"/>
    <n v="8"/>
    <n v="4"/>
    <n v="2"/>
    <n v="1"/>
    <m/>
    <m/>
    <n v="1"/>
    <n v="1"/>
    <n v="1"/>
    <n v="1"/>
    <n v="1"/>
    <n v="1"/>
    <n v="1"/>
    <n v="2"/>
    <n v="3"/>
    <n v="2"/>
    <m/>
    <n v="2"/>
    <m/>
    <m/>
    <m/>
    <n v="3"/>
    <n v="2"/>
    <n v="2"/>
    <n v="1"/>
    <n v="1983"/>
    <n v="2"/>
    <m/>
    <n v="2"/>
    <m/>
    <n v="1"/>
    <m/>
    <n v="3"/>
    <m/>
    <n v="1"/>
    <n v="1"/>
    <n v="30"/>
    <x v="1"/>
    <n v="2"/>
    <n v="4"/>
    <n v="2"/>
  </r>
  <r>
    <x v="1"/>
    <n v="2"/>
    <n v="1"/>
    <n v="1"/>
    <m/>
    <n v="1"/>
    <n v="2"/>
    <n v="2"/>
    <n v="2"/>
    <n v="5"/>
    <n v="2"/>
    <n v="1"/>
    <n v="3"/>
    <n v="3"/>
    <n v="1"/>
    <n v="4"/>
    <n v="2"/>
    <n v="3"/>
    <n v="2"/>
    <n v="4"/>
    <n v="4"/>
    <n v="3"/>
    <n v="1"/>
    <n v="2"/>
    <n v="2"/>
    <n v="1"/>
    <n v="1"/>
    <m/>
    <n v="1"/>
    <n v="1"/>
    <n v="1"/>
    <m/>
    <m/>
    <m/>
    <n v="1"/>
    <m/>
    <n v="2"/>
    <n v="2"/>
    <n v="1"/>
    <n v="2"/>
    <n v="2"/>
    <n v="1"/>
    <n v="2"/>
    <n v="2"/>
    <n v="2"/>
    <m/>
    <n v="1"/>
    <n v="4"/>
    <n v="3"/>
    <n v="2"/>
    <n v="1"/>
    <n v="3"/>
    <n v="2"/>
    <n v="8"/>
    <n v="2"/>
    <n v="1"/>
    <m/>
    <m/>
    <m/>
    <n v="2"/>
    <n v="1"/>
    <n v="2"/>
    <n v="2"/>
    <n v="1"/>
    <n v="2"/>
    <n v="1"/>
    <n v="1"/>
    <n v="2"/>
    <n v="2"/>
    <m/>
    <n v="1"/>
    <n v="1"/>
    <n v="1"/>
    <m/>
    <n v="8"/>
    <n v="3"/>
    <n v="5"/>
    <n v="1"/>
    <n v="1975"/>
    <n v="3"/>
    <m/>
    <n v="2"/>
    <m/>
    <n v="4"/>
    <m/>
    <n v="2"/>
    <m/>
    <n v="3"/>
    <n v="1"/>
    <n v="38"/>
    <x v="1"/>
    <n v="2"/>
    <n v="2"/>
    <n v="1"/>
  </r>
  <r>
    <x v="1"/>
    <n v="1"/>
    <n v="1"/>
    <n v="3"/>
    <m/>
    <n v="3"/>
    <n v="1"/>
    <n v="3"/>
    <n v="7"/>
    <n v="5"/>
    <n v="5"/>
    <n v="2"/>
    <n v="3"/>
    <n v="2"/>
    <n v="2"/>
    <n v="4"/>
    <n v="3"/>
    <n v="2"/>
    <n v="3"/>
    <n v="4"/>
    <n v="1"/>
    <n v="2"/>
    <n v="2"/>
    <n v="1"/>
    <n v="1"/>
    <m/>
    <m/>
    <n v="1"/>
    <m/>
    <m/>
    <n v="1"/>
    <m/>
    <n v="1"/>
    <m/>
    <n v="1"/>
    <m/>
    <n v="2"/>
    <n v="2"/>
    <n v="1"/>
    <n v="1"/>
    <n v="2"/>
    <n v="2"/>
    <n v="2"/>
    <n v="2"/>
    <n v="2"/>
    <m/>
    <n v="2"/>
    <n v="1"/>
    <n v="4"/>
    <n v="2"/>
    <n v="2"/>
    <n v="2"/>
    <n v="1"/>
    <n v="8"/>
    <n v="3"/>
    <n v="3"/>
    <n v="3"/>
    <m/>
    <m/>
    <n v="2"/>
    <n v="2"/>
    <n v="2"/>
    <n v="2"/>
    <n v="2"/>
    <n v="2"/>
    <n v="1"/>
    <n v="1"/>
    <n v="2"/>
    <n v="3"/>
    <m/>
    <n v="1"/>
    <n v="2"/>
    <n v="5"/>
    <m/>
    <n v="2"/>
    <n v="2"/>
    <n v="5"/>
    <n v="1"/>
    <n v="1979"/>
    <n v="3"/>
    <m/>
    <n v="1"/>
    <m/>
    <n v="1"/>
    <m/>
    <n v="1"/>
    <m/>
    <n v="2"/>
    <n v="1"/>
    <n v="34"/>
    <x v="1"/>
    <n v="1"/>
    <n v="1"/>
    <n v="1"/>
  </r>
  <r>
    <x v="1"/>
    <n v="1"/>
    <n v="2"/>
    <n v="1"/>
    <m/>
    <n v="2"/>
    <n v="4"/>
    <n v="1"/>
    <n v="1"/>
    <n v="1"/>
    <n v="3"/>
    <n v="3"/>
    <n v="3"/>
    <n v="3"/>
    <n v="2"/>
    <n v="2"/>
    <n v="2"/>
    <n v="4"/>
    <n v="2"/>
    <n v="1"/>
    <n v="4"/>
    <n v="2"/>
    <n v="3"/>
    <n v="1"/>
    <n v="2"/>
    <m/>
    <m/>
    <n v="1"/>
    <m/>
    <m/>
    <m/>
    <m/>
    <m/>
    <m/>
    <n v="1"/>
    <m/>
    <n v="2"/>
    <n v="2"/>
    <n v="2"/>
    <n v="1"/>
    <n v="2"/>
    <n v="1"/>
    <n v="1"/>
    <n v="1"/>
    <n v="2"/>
    <m/>
    <n v="3"/>
    <n v="2"/>
    <n v="1"/>
    <n v="2"/>
    <n v="4"/>
    <n v="4"/>
    <n v="4"/>
    <n v="3"/>
    <n v="8"/>
    <n v="1"/>
    <m/>
    <m/>
    <m/>
    <n v="2"/>
    <n v="2"/>
    <n v="2"/>
    <n v="2"/>
    <n v="2"/>
    <n v="2"/>
    <n v="2"/>
    <n v="2"/>
    <n v="3"/>
    <n v="5"/>
    <m/>
    <n v="2"/>
    <m/>
    <m/>
    <m/>
    <n v="1"/>
    <n v="1"/>
    <n v="5"/>
    <n v="1"/>
    <n v="1957"/>
    <n v="3"/>
    <m/>
    <n v="1"/>
    <m/>
    <n v="3"/>
    <m/>
    <n v="4"/>
    <m/>
    <n v="3"/>
    <n v="1"/>
    <n v="56"/>
    <x v="2"/>
    <n v="1"/>
    <n v="1"/>
    <n v="1"/>
  </r>
  <r>
    <x v="2"/>
    <n v="2"/>
    <n v="3"/>
    <n v="2"/>
    <m/>
    <n v="2"/>
    <n v="7"/>
    <n v="2"/>
    <n v="2"/>
    <n v="4"/>
    <n v="2"/>
    <n v="1"/>
    <n v="2"/>
    <n v="2"/>
    <n v="3"/>
    <n v="4"/>
    <n v="4"/>
    <n v="2"/>
    <n v="1"/>
    <n v="2"/>
    <n v="1"/>
    <n v="3"/>
    <n v="1"/>
    <n v="2"/>
    <n v="1"/>
    <n v="1"/>
    <n v="1"/>
    <n v="1"/>
    <m/>
    <m/>
    <m/>
    <n v="1"/>
    <m/>
    <m/>
    <n v="1"/>
    <m/>
    <n v="1"/>
    <n v="2"/>
    <n v="1"/>
    <n v="1"/>
    <n v="1"/>
    <n v="2"/>
    <n v="2"/>
    <n v="1"/>
    <n v="1"/>
    <n v="2"/>
    <n v="1"/>
    <n v="3"/>
    <n v="7"/>
    <n v="3"/>
    <n v="1"/>
    <n v="2"/>
    <n v="2"/>
    <n v="2"/>
    <n v="2"/>
    <n v="4"/>
    <n v="4"/>
    <m/>
    <m/>
    <n v="1"/>
    <n v="1"/>
    <n v="1"/>
    <n v="2"/>
    <n v="2"/>
    <n v="1"/>
    <n v="2"/>
    <n v="2"/>
    <n v="3"/>
    <n v="98"/>
    <m/>
    <n v="1"/>
    <n v="4"/>
    <n v="4"/>
    <m/>
    <n v="2"/>
    <n v="3"/>
    <m/>
    <n v="2"/>
    <n v="1946"/>
    <n v="2"/>
    <m/>
    <n v="5"/>
    <m/>
    <n v="2"/>
    <m/>
    <n v="2"/>
    <m/>
    <n v="2"/>
    <n v="1"/>
    <n v="67"/>
    <x v="3"/>
    <n v="2"/>
    <n v="4"/>
    <n v="3"/>
  </r>
  <r>
    <x v="2"/>
    <n v="2"/>
    <n v="3"/>
    <n v="2"/>
    <m/>
    <n v="2"/>
    <n v="2"/>
    <n v="4"/>
    <n v="3"/>
    <n v="2"/>
    <n v="5"/>
    <n v="2"/>
    <n v="2"/>
    <n v="3"/>
    <n v="2"/>
    <n v="3"/>
    <n v="2"/>
    <n v="3"/>
    <n v="1"/>
    <n v="3"/>
    <n v="2"/>
    <n v="2"/>
    <n v="2"/>
    <n v="2"/>
    <n v="2"/>
    <n v="1"/>
    <m/>
    <m/>
    <m/>
    <n v="1"/>
    <n v="1"/>
    <m/>
    <m/>
    <m/>
    <n v="1"/>
    <m/>
    <n v="1"/>
    <n v="2"/>
    <n v="2"/>
    <n v="2"/>
    <n v="1"/>
    <n v="1"/>
    <n v="1"/>
    <n v="1"/>
    <n v="2"/>
    <m/>
    <n v="2"/>
    <n v="1"/>
    <n v="4"/>
    <n v="3"/>
    <n v="3"/>
    <n v="3"/>
    <n v="3"/>
    <n v="1"/>
    <n v="1"/>
    <n v="1"/>
    <m/>
    <m/>
    <m/>
    <n v="1"/>
    <n v="2"/>
    <n v="1"/>
    <n v="1"/>
    <n v="1"/>
    <n v="1"/>
    <n v="1"/>
    <n v="1"/>
    <n v="2"/>
    <n v="1"/>
    <m/>
    <n v="1"/>
    <n v="2"/>
    <n v="98"/>
    <m/>
    <n v="3"/>
    <n v="2"/>
    <n v="1"/>
    <n v="1"/>
    <n v="1947"/>
    <n v="1"/>
    <m/>
    <n v="6"/>
    <m/>
    <n v="4"/>
    <m/>
    <n v="1"/>
    <m/>
    <n v="2"/>
    <n v="1"/>
    <n v="66"/>
    <x v="3"/>
    <n v="2"/>
    <n v="3"/>
    <n v="2"/>
  </r>
  <r>
    <x v="1"/>
    <n v="2"/>
    <n v="3"/>
    <n v="8"/>
    <m/>
    <n v="3"/>
    <n v="2"/>
    <n v="7"/>
    <n v="3"/>
    <n v="3"/>
    <n v="2"/>
    <n v="1"/>
    <n v="2"/>
    <n v="2"/>
    <n v="2"/>
    <n v="2"/>
    <n v="3"/>
    <n v="2"/>
    <n v="2"/>
    <n v="2"/>
    <n v="3"/>
    <n v="3"/>
    <n v="4"/>
    <n v="2"/>
    <n v="1"/>
    <m/>
    <n v="1"/>
    <n v="1"/>
    <n v="1"/>
    <m/>
    <m/>
    <m/>
    <m/>
    <m/>
    <n v="2"/>
    <m/>
    <n v="1"/>
    <n v="2"/>
    <n v="1"/>
    <n v="2"/>
    <n v="1"/>
    <n v="2"/>
    <n v="2"/>
    <n v="1"/>
    <n v="2"/>
    <m/>
    <n v="3"/>
    <n v="7"/>
    <n v="1"/>
    <n v="1"/>
    <n v="2"/>
    <n v="2"/>
    <n v="2"/>
    <n v="3"/>
    <n v="3"/>
    <n v="2"/>
    <n v="3"/>
    <m/>
    <m/>
    <n v="2"/>
    <n v="1"/>
    <n v="1"/>
    <n v="1"/>
    <n v="2"/>
    <n v="2"/>
    <n v="2"/>
    <n v="2"/>
    <n v="4"/>
    <m/>
    <m/>
    <n v="2"/>
    <m/>
    <m/>
    <m/>
    <n v="5"/>
    <n v="4"/>
    <n v="3"/>
    <n v="2"/>
    <n v="1984"/>
    <n v="3"/>
    <m/>
    <n v="4"/>
    <m/>
    <n v="6"/>
    <m/>
    <n v="3"/>
    <m/>
    <n v="1"/>
    <n v="1"/>
    <n v="29"/>
    <x v="1"/>
    <n v="2"/>
    <n v="4"/>
    <n v="2"/>
  </r>
  <r>
    <x v="1"/>
    <n v="1"/>
    <n v="4"/>
    <n v="3"/>
    <m/>
    <n v="3"/>
    <n v="4"/>
    <n v="2"/>
    <n v="2"/>
    <n v="5"/>
    <n v="4"/>
    <n v="2"/>
    <n v="2"/>
    <n v="2"/>
    <n v="1"/>
    <n v="1"/>
    <n v="2"/>
    <n v="1"/>
    <n v="4"/>
    <n v="1"/>
    <n v="3"/>
    <n v="1"/>
    <n v="1"/>
    <n v="1"/>
    <n v="2"/>
    <n v="1"/>
    <m/>
    <n v="1"/>
    <m/>
    <m/>
    <n v="1"/>
    <n v="1"/>
    <m/>
    <m/>
    <n v="2"/>
    <m/>
    <n v="2"/>
    <n v="1"/>
    <n v="2"/>
    <n v="1"/>
    <n v="1"/>
    <n v="1"/>
    <n v="1"/>
    <n v="2"/>
    <n v="1"/>
    <n v="1"/>
    <n v="4"/>
    <n v="1"/>
    <n v="2"/>
    <n v="1"/>
    <n v="2"/>
    <n v="1"/>
    <n v="1"/>
    <n v="2"/>
    <n v="8"/>
    <n v="3"/>
    <n v="2"/>
    <m/>
    <m/>
    <n v="1"/>
    <n v="2"/>
    <n v="2"/>
    <n v="2"/>
    <n v="2"/>
    <n v="2"/>
    <n v="1"/>
    <n v="1"/>
    <n v="1"/>
    <n v="8"/>
    <m/>
    <n v="2"/>
    <m/>
    <m/>
    <m/>
    <n v="3"/>
    <n v="3"/>
    <n v="1"/>
    <n v="1"/>
    <n v="1989"/>
    <n v="2"/>
    <m/>
    <n v="7"/>
    <m/>
    <n v="4"/>
    <m/>
    <n v="2"/>
    <m/>
    <n v="2"/>
    <n v="1"/>
    <n v="24"/>
    <x v="1"/>
    <n v="2"/>
    <n v="2"/>
    <n v="2"/>
  </r>
  <r>
    <x v="1"/>
    <n v="1"/>
    <n v="3"/>
    <n v="2"/>
    <m/>
    <n v="1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990"/>
    <m/>
    <m/>
    <m/>
    <m/>
    <m/>
    <m/>
    <m/>
    <m/>
    <m/>
    <n v="1"/>
    <n v="23"/>
    <x v="1"/>
    <n v="2"/>
    <n v="4"/>
    <n v="3"/>
  </r>
  <r>
    <x v="2"/>
    <n v="4"/>
    <n v="1"/>
    <n v="1"/>
    <m/>
    <n v="4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987"/>
    <m/>
    <m/>
    <m/>
    <m/>
    <m/>
    <m/>
    <m/>
    <m/>
    <m/>
    <n v="1"/>
    <n v="26"/>
    <x v="1"/>
    <n v="2"/>
    <n v="4"/>
    <n v="3"/>
  </r>
  <r>
    <x v="1"/>
    <n v="3"/>
    <n v="2"/>
    <n v="4"/>
    <m/>
    <n v="1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990"/>
    <m/>
    <m/>
    <m/>
    <m/>
    <m/>
    <m/>
    <m/>
    <m/>
    <m/>
    <n v="1"/>
    <n v="23"/>
    <x v="1"/>
    <n v="2"/>
    <n v="3"/>
    <n v="3"/>
  </r>
  <r>
    <x v="3"/>
    <n v="1"/>
    <n v="4"/>
    <n v="2"/>
    <m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981"/>
    <m/>
    <m/>
    <m/>
    <m/>
    <m/>
    <m/>
    <m/>
    <m/>
    <m/>
    <n v="1"/>
    <n v="32"/>
    <x v="1"/>
    <n v="2"/>
    <n v="4"/>
    <n v="3"/>
  </r>
  <r>
    <x v="1"/>
    <n v="2"/>
    <n v="2"/>
    <n v="3"/>
    <m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970"/>
    <m/>
    <m/>
    <m/>
    <m/>
    <m/>
    <m/>
    <m/>
    <m/>
    <m/>
    <n v="1"/>
    <n v="43"/>
    <x v="2"/>
    <n v="2"/>
    <n v="4"/>
    <n v="3"/>
  </r>
  <r>
    <x v="3"/>
    <n v="1"/>
    <n v="3"/>
    <n v="1"/>
    <m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2"/>
    <n v="4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</pivotCacheRecords>
</file>

<file path=xl/pivotCache/pivotCacheRecords15.xml><?xml version="1.0" encoding="utf-8"?>
<pivotCacheRecords xmlns="http://schemas.openxmlformats.org/spreadsheetml/2006/main" xmlns:r="http://schemas.openxmlformats.org/officeDocument/2006/relationships" count="632">
  <r>
    <x v="0"/>
    <s v="Comparativement à il y a 5 ans, les résidants de votre quartier sont … ?"/>
    <s v="Quel est le problème de sécurité qui vous préoccupe le plus dans votre quartier ?"/>
    <s v="Vous arrive-t-il de ne pas vous sentir personnellement en sécurité dans votre quartier ?"/>
    <s v="Dites-nous à combien vous évaluez le risque d'être personnellement intimidé(e) ou agressé(e) dans votre quartier : Lorsque vous sortez seul(e) PENDANT LE JOUR, ce risque est : "/>
    <s v="Dites-nous à combien vous évaluez le risque d'être personnellement intimidé(e) ou agressé(e) dans votre quartier : Lorsque vous sortez seul(e) APRÈS LA TOMBÉE DU JOUR, ce risque est : "/>
    <s v="Dites-nous à combien vous évaluez le risque d'être personnellement intimidé(e) ou agressé(e) dans votre quartier : Lorsque vous attendez ou prenez le transport en commun, ce risque est …"/>
    <s v="Dites-nous à combien vous évaluez le risque que les jeunes de moins de 18 ans qui vivent avec vous (à temps plein ou à temps partiel) soient intimidés ou agressés lorqu'ils vont dehors dans votre quartier. Ce risque est …"/>
    <s v="Habituellement, combien de fois sortez-vous seul(e) dans votre quartier APRÈS LA TOMBÉE DU JOUR ? Est-ce ... "/>
    <s v="Dans votre quartier, les problèmes causés par des gens bruyants sont … ?"/>
    <s v="Dans votre quartier, les désordres liés à la consommation d'alcool dans les lieux publics sont … ?"/>
    <s v="Dans votre quartier, les désordres liés à la vente ou à la consommation de drogue sont … ?"/>
    <s v="Dans votre quartier, les problèmes liés à la criminalité sont … ?"/>
    <s v="Dans votre quartier, les problèmes causés par les gens qui traînent dans les lieux publics sont … ?"/>
    <s v="Dans votre quartier, les actes de vandalisme sont … ?"/>
    <s v="Dans votre quartier, les conflits entre les groupes d'origines ethniques différentes sont … ?"/>
    <s v="Dans votre quartier, les conflits entre d'autres groupes d'individus sont … ?"/>
    <s v="Dans votre quartier, les graffiti sont … ?"/>
    <s v="Dans votre quartier, les immeubles ou bâtiments abandonnés ou mal entretenus sont... ?"/>
    <s v="Dans votre quartier, le niveau d'entraide entre les personnes est... ?"/>
    <s v="Dans votre quartier, le niveau de confiance qui règne entre la plupart des personnes est... ?"/>
    <s v="Dans votre quartier, les comportements des jeunes ou des groupes de jeunes sont-ils pour vous une source de menace ou d'insécurité ?"/>
    <s v="Y a-t-il d'autres individus ou des groupes d'individus dont les comportements sont pour vous une source de menace ou d'insécurité ?"/>
    <s v="De quel type ou groupe d'individus s'agit-il ?  Toxicomanes ou revendeur de drogue"/>
    <s v="De quel type ou groupe d'individus s'agit-il ? Gangs de motards / milieu criminel"/>
    <s v="De quel type ou groupe d'individus s'agit-il ? Sollicitation (vendeurs, mouvements religieux, ex-détenus, etc.)"/>
    <s v="De quel type ou groupe d'individus s'agit-il ? Itinérants"/>
    <s v="De quel type ou groupe d'individus s'agit-il ? Individus ou groupes d'individus en état d'ébriété"/>
    <s v="De quel type ou groupe d'individus s'agit-il ? Personnes d'une communauté culturelle différente de la mienne"/>
    <s v="De quel type ou groupe d'individus s'agit-il ? Voisins"/>
    <s v="De quel type ou groupe d'individus s'agit-il ? Autre"/>
    <s v="De quel type ou groupe d'individus s'agit-il ? Autre, précisez"/>
    <s v="Y a-t-il dans votre quartier des endroits que vous évitez de fréquenter pour des raisons de sécurité ?"/>
    <s v="Lesquels ?"/>
    <s v="Veuillez répondre à chacun des énoncés suivants. Quand je me déplace dans mon quartier, j'apporte habituellement quelque chose pour assurer ma protection. "/>
    <s v="Veuillez répondre à chacun des énoncés suivants. Lorsque je suis dans mon quartier, je vérifie qu'aucun intrus ne se trouve à l'intérieur de ma voiture avant d'y monter."/>
    <s v="Veuillez répondre à chacun des énoncés suivants. À mon domicile, j'évite d'ouvrir la porte à des inconnus, pour des raisons de sécurité. "/>
    <s v="Veuillez répondre à chacun des énoncés suivants. Je garde les portes extérieures de mon domicile constamment verrouillées, même lorsque je suis chez moi. "/>
    <s v="Veuillez répondre à chacun des énoncés suivants. Spécialement par mesure de protection, il y a un chien à mon domicile. "/>
    <s v="Veuillez répondre à chacun des énoncés suivants. J'ai un système d'alarme que j'active régulièrement pour protéger mon domicile contre le vol."/>
    <s v="Veuillez répondre à chacun des énoncés suivants. Spécialement par mesure de protection, j'ai suivi un cours d'autodéfense. "/>
    <s v="Veuillez répondre à chacun des énoncés suivants. Spécialement par mesure de protection, il y a une arme à feu à mon domicile. "/>
    <s v="Est-ce qu'il y a à votre domicile au moins un détecteur de fumée fonctionnel par étage ? "/>
    <s v="Le bon fonctionnement de cet/ces appareil(s) a-t-il été vérifié, au cours des douze (12) derniers mois ?"/>
    <s v="Veuillez nous dire votre degré de satisfaction à l'égard : du déneigement et du déglaçage des rues et des trottoirs de votre quartier ? "/>
    <s v="Veuillez nous dire votre degré de satisfaction à l'égard :  de la propreté et de l'entretien des parcs et terrains de jeux de votre quartier ?"/>
    <s v="Veuillez nous dire votre degré de satisfaction à l'égard :  de la sécurité des équipements dans les parcs, aires de jeux ou centre récréatif ou sportif de votre quartier ? "/>
    <s v="Votre quartier est-il desservi par un service de police municipal, une régie intermunicipale ou par la Sûreté du Québec ?"/>
    <s v="Quel est votre niveau de satisfaction à l'égard de la présence des policiers dans votre quartier ?"/>
    <s v="Quel est votre niveau de satisfaction à l'égard du travail effectué par les policiers dans votre quartier ?"/>
    <s v="De façon plus spécifique, quel est votre niveau de satisfaction à l'égard du travail effectué par les policiers : auprès des jeunes de votre quartier"/>
    <s v="De façon plus spécifique, quel est votre niveau de satisfaction à l'égard du travail effectué par les policiers : pour assurer la sécurité routière dans votre quartier"/>
    <s v="De façon plus spécifique, quel est votre niveau de satisfaction à l'égard du travail effectué par les policiers : pour régler des problèmes de délinquance ou de désordres qui surviennent dans votre quartier"/>
    <s v="Au cours des deux dernières années, combien de fois avez-vous fait appel au service de police qui dessert votre quartier ?"/>
    <s v="En vous référant à l'événement le plus récent, quel est votre niveau de satisfaction à l'égard de la réponse que vous avez reçue ?"/>
    <s v="Pourquoi ? Peu"/>
    <s v="Pourquoi ? Pas"/>
    <s v="Au cours des deux dernières années, vous êtes vous IMPLIQUÉ SUR UNE BASE RÉGULIÈRE dans les activités suivantes de votre quartier : Dans un comité ou un organisme préoccupé par les problèmes de sécurité de votre quartier ?"/>
    <s v="Au cours des deux dernières années, vous êtes vous IMPLIQUÉ SUR UNE BASE RÉGULIÈRE dans les activités suivantes de votre quartier : Dans des assemblées du conseil municipal ?"/>
    <s v="Au cours des deux dernières années, vous êtes vous IMPLIQUÉ SUR UNE BASE RÉGULIÈRE dans les activités suivantes de votre quartier : Dans un conseil de quartier ou d'arrondissement ?"/>
    <s v="Au cours des deux dernières années, vous êtes vous IMPLIQUÉ SUR UNE BASE RÉGULIÈRE dans les activités suivantes de votre quartier : Dans un comité de citoyens ?"/>
    <s v="Au cours des deux dernières années, vous êtes vous IMPLIQUÉ SUR UNE BASE RÉGULIÈRE dans les activités suivantes de votre quartier : Dans des activités communautaires, d'entraide ou de bénévolat (cuisine communautaire, bazar)"/>
    <s v="Au cours des deux dernières années, vous êtes vous IMPLIQUÉ SUR UNE BASE RÉGULIÈRE dans les activités suivantes de votre quartier : Dans des activités sociales, culturelles ou sportives organisées par les gens de votre quartier ou de votre municipalité ?"/>
    <s v="Au cours des deux dernières années, avez-vous été victime de vol, de vandalisme ou de tout autre crime contre vos biens, chez vous ou dans votre quartier ?"/>
    <s v="Au cours des deux dernières années, avez-vous été victime d'une agression, d'intimidation ou de tout autre acte de violence, chez vous ou dans votre quartier ?"/>
    <s v="Au cours des deux dernières années avez-vous été victime dans votre quartier d'une quelconque forme de discrimination ?"/>
    <s v="À votre avis, le motif de cette discrimination était lié …"/>
    <s v="Autre, précisez :"/>
    <s v="Au cours des deux dernières années, avez-vous subi un accident qui vous a occasionné une blessure pour laquelle vous avez dû consulter un professionnel de la santé ou limiter vos activités ?"/>
    <s v="Combien de fois cela s'est-il produit ?"/>
    <s v="En se référant au dernier événement, était-ce … ?"/>
    <s v="Autre, précisez :"/>
    <s v="Maintenant, comparativement à d'autres personnes de votre âge, dirirez-vous que votre santé est en général …"/>
    <s v="Dans quel quartier habitez-vous ?"/>
    <s v="Combien de personne de moins de 18 ans habitent dans votre foyer ?"/>
    <x v="0"/>
    <s v="Quelle est votre année de naissance ?"/>
    <s v="Êtes-vous propriétaire ou locataire du logement que vous habitez ?"/>
    <s v="Autre, précisez : "/>
    <s v="Habitez-vous dans …"/>
    <s v="Autre, précisez : "/>
    <s v="Quel est votre état civil ?"/>
    <s v="Autre, précisez : "/>
    <s v="Où est situé votre lieu de travail habituel ?"/>
    <s v="Autre, précisez : "/>
    <s v="Quel est le plus haut niveau de scolarité que vous avez complété ?"/>
    <m/>
    <m/>
    <x v="0"/>
    <m/>
    <m/>
    <m/>
  </r>
  <r>
    <x v="1"/>
    <n v="1"/>
    <m/>
    <n v="1"/>
    <n v="7"/>
    <n v="3"/>
    <n v="4"/>
    <n v="1"/>
    <n v="1"/>
    <n v="2"/>
    <n v="1"/>
    <n v="4"/>
    <n v="3"/>
    <n v="3"/>
    <n v="2"/>
    <n v="1"/>
    <n v="2"/>
    <n v="2"/>
    <n v="4"/>
    <n v="3"/>
    <n v="1"/>
    <n v="1"/>
    <n v="1"/>
    <m/>
    <n v="1"/>
    <m/>
    <n v="1"/>
    <n v="1"/>
    <n v="1"/>
    <n v="1"/>
    <m/>
    <m/>
    <n v="1"/>
    <m/>
    <n v="2"/>
    <n v="2"/>
    <n v="1"/>
    <n v="1"/>
    <n v="1"/>
    <n v="2"/>
    <n v="1"/>
    <n v="2"/>
    <n v="2"/>
    <m/>
    <n v="1"/>
    <n v="7"/>
    <n v="4"/>
    <n v="8"/>
    <n v="1"/>
    <n v="4"/>
    <n v="8"/>
    <n v="2"/>
    <n v="2"/>
    <n v="1"/>
    <m/>
    <m/>
    <m/>
    <n v="1"/>
    <n v="2"/>
    <n v="1"/>
    <n v="2"/>
    <n v="2"/>
    <n v="1"/>
    <n v="1"/>
    <n v="2"/>
    <n v="1"/>
    <n v="2"/>
    <m/>
    <n v="1"/>
    <n v="4"/>
    <n v="5"/>
    <m/>
    <n v="2"/>
    <n v="4"/>
    <n v="5"/>
    <x v="1"/>
    <n v="1981"/>
    <n v="2"/>
    <m/>
    <n v="7"/>
    <m/>
    <n v="1"/>
    <m/>
    <n v="1"/>
    <m/>
    <n v="4"/>
    <n v="1"/>
    <n v="32"/>
    <x v="1"/>
    <n v="1"/>
    <n v="1"/>
    <n v="1"/>
  </r>
  <r>
    <x v="2"/>
    <n v="2"/>
    <m/>
    <n v="2"/>
    <n v="4"/>
    <n v="2"/>
    <n v="1"/>
    <n v="1"/>
    <n v="2"/>
    <n v="3"/>
    <n v="1"/>
    <n v="4"/>
    <n v="2"/>
    <n v="2"/>
    <n v="2"/>
    <n v="1"/>
    <n v="2"/>
    <n v="1"/>
    <n v="2"/>
    <n v="2"/>
    <n v="1"/>
    <n v="2"/>
    <n v="1"/>
    <m/>
    <m/>
    <n v="1"/>
    <m/>
    <n v="1"/>
    <m/>
    <n v="1"/>
    <m/>
    <m/>
    <n v="2"/>
    <m/>
    <n v="1"/>
    <n v="1"/>
    <n v="2"/>
    <n v="1"/>
    <n v="1"/>
    <n v="1"/>
    <n v="1"/>
    <n v="1"/>
    <n v="1"/>
    <n v="1"/>
    <n v="2"/>
    <n v="4"/>
    <n v="1"/>
    <n v="1"/>
    <n v="4"/>
    <n v="8"/>
    <n v="1"/>
    <n v="4"/>
    <n v="1"/>
    <n v="2"/>
    <n v="1"/>
    <m/>
    <m/>
    <n v="2"/>
    <n v="1"/>
    <n v="1"/>
    <n v="2"/>
    <n v="2"/>
    <n v="1"/>
    <n v="2"/>
    <n v="1"/>
    <n v="2"/>
    <n v="1"/>
    <m/>
    <n v="2"/>
    <m/>
    <m/>
    <m/>
    <n v="4"/>
    <n v="1"/>
    <n v="2"/>
    <x v="2"/>
    <n v="1970"/>
    <n v="1"/>
    <m/>
    <n v="5"/>
    <m/>
    <n v="2"/>
    <m/>
    <n v="2"/>
    <m/>
    <n v="1"/>
    <n v="1"/>
    <n v="43"/>
    <x v="2"/>
    <n v="2"/>
    <n v="3"/>
    <n v="2"/>
  </r>
  <r>
    <x v="3"/>
    <n v="8"/>
    <m/>
    <n v="3"/>
    <n v="4"/>
    <n v="1"/>
    <n v="2"/>
    <n v="2"/>
    <n v="4"/>
    <n v="3"/>
    <n v="1"/>
    <n v="4"/>
    <n v="2"/>
    <n v="1"/>
    <n v="2"/>
    <n v="1"/>
    <n v="3"/>
    <n v="2"/>
    <n v="3"/>
    <n v="1"/>
    <n v="2"/>
    <n v="1"/>
    <n v="2"/>
    <n v="1"/>
    <m/>
    <m/>
    <m/>
    <n v="1"/>
    <n v="1"/>
    <m/>
    <n v="1"/>
    <m/>
    <n v="2"/>
    <m/>
    <n v="1"/>
    <n v="1"/>
    <n v="2"/>
    <n v="1"/>
    <n v="1"/>
    <n v="1"/>
    <n v="2"/>
    <n v="1"/>
    <n v="1"/>
    <n v="2"/>
    <n v="3"/>
    <n v="1"/>
    <n v="2"/>
    <n v="3"/>
    <n v="2"/>
    <n v="1"/>
    <n v="2"/>
    <n v="3"/>
    <n v="4"/>
    <n v="3"/>
    <n v="3"/>
    <m/>
    <m/>
    <n v="2"/>
    <n v="1"/>
    <n v="2"/>
    <n v="2"/>
    <n v="2"/>
    <n v="2"/>
    <n v="2"/>
    <n v="1"/>
    <n v="3"/>
    <n v="3"/>
    <m/>
    <n v="1"/>
    <n v="2"/>
    <n v="8"/>
    <m/>
    <n v="5"/>
    <n v="4"/>
    <n v="4"/>
    <x v="2"/>
    <n v="1990"/>
    <n v="3"/>
    <m/>
    <n v="4"/>
    <m/>
    <n v="4"/>
    <m/>
    <n v="3"/>
    <m/>
    <n v="2"/>
    <n v="1"/>
    <n v="23"/>
    <x v="1"/>
    <n v="2"/>
    <n v="4"/>
    <n v="2"/>
  </r>
  <r>
    <x v="2"/>
    <n v="3"/>
    <m/>
    <n v="4"/>
    <n v="2"/>
    <n v="2"/>
    <n v="3"/>
    <n v="4"/>
    <n v="1"/>
    <n v="3"/>
    <n v="2"/>
    <n v="2"/>
    <n v="2"/>
    <n v="2"/>
    <n v="2"/>
    <n v="1"/>
    <n v="2"/>
    <n v="3"/>
    <n v="3"/>
    <n v="1"/>
    <n v="3"/>
    <n v="1"/>
    <n v="1"/>
    <n v="1"/>
    <n v="1"/>
    <m/>
    <n v="1"/>
    <n v="1"/>
    <n v="1"/>
    <n v="1"/>
    <m/>
    <m/>
    <n v="2"/>
    <m/>
    <n v="1"/>
    <n v="1"/>
    <n v="2"/>
    <n v="2"/>
    <n v="1"/>
    <n v="2"/>
    <n v="2"/>
    <n v="1"/>
    <n v="1"/>
    <n v="1"/>
    <n v="4"/>
    <n v="3"/>
    <n v="3"/>
    <n v="2"/>
    <n v="3"/>
    <n v="1"/>
    <n v="3"/>
    <n v="2"/>
    <n v="2"/>
    <n v="4"/>
    <n v="2"/>
    <m/>
    <m/>
    <n v="2"/>
    <n v="1"/>
    <n v="2"/>
    <n v="2"/>
    <n v="1"/>
    <n v="2"/>
    <n v="2"/>
    <n v="2"/>
    <n v="4"/>
    <m/>
    <m/>
    <n v="1"/>
    <n v="2"/>
    <n v="7"/>
    <m/>
    <n v="1"/>
    <n v="2"/>
    <n v="1"/>
    <x v="2"/>
    <n v="1983"/>
    <n v="1"/>
    <m/>
    <n v="1"/>
    <m/>
    <n v="1"/>
    <m/>
    <n v="4"/>
    <m/>
    <n v="3"/>
    <n v="1"/>
    <n v="30"/>
    <x v="1"/>
    <n v="2"/>
    <n v="3"/>
    <n v="2"/>
  </r>
  <r>
    <x v="4"/>
    <n v="1"/>
    <m/>
    <n v="4"/>
    <n v="1"/>
    <n v="7"/>
    <n v="2"/>
    <n v="2"/>
    <n v="5"/>
    <n v="2"/>
    <n v="4"/>
    <n v="1"/>
    <n v="1"/>
    <n v="2"/>
    <n v="1"/>
    <n v="2"/>
    <n v="2"/>
    <n v="3"/>
    <n v="2"/>
    <n v="1"/>
    <n v="2"/>
    <n v="2"/>
    <n v="1"/>
    <m/>
    <n v="1"/>
    <n v="1"/>
    <n v="1"/>
    <n v="1"/>
    <n v="1"/>
    <m/>
    <m/>
    <m/>
    <n v="2"/>
    <m/>
    <n v="1"/>
    <n v="1"/>
    <n v="1"/>
    <n v="2"/>
    <n v="2"/>
    <n v="2"/>
    <n v="1"/>
    <n v="2"/>
    <n v="2"/>
    <m/>
    <n v="7"/>
    <n v="3"/>
    <n v="3"/>
    <n v="1"/>
    <n v="2"/>
    <n v="3"/>
    <n v="2"/>
    <n v="1"/>
    <n v="3"/>
    <n v="2"/>
    <n v="4"/>
    <m/>
    <m/>
    <n v="1"/>
    <n v="2"/>
    <n v="2"/>
    <n v="1"/>
    <n v="1"/>
    <n v="2"/>
    <n v="2"/>
    <n v="1"/>
    <n v="1"/>
    <n v="6"/>
    <m/>
    <n v="2"/>
    <m/>
    <m/>
    <m/>
    <n v="3"/>
    <n v="3"/>
    <m/>
    <x v="2"/>
    <n v="1967"/>
    <n v="1"/>
    <m/>
    <n v="2"/>
    <m/>
    <n v="3"/>
    <m/>
    <n v="4"/>
    <m/>
    <n v="2"/>
    <n v="1"/>
    <n v="46"/>
    <x v="2"/>
    <n v="3"/>
    <n v="5"/>
    <n v="3"/>
  </r>
  <r>
    <x v="2"/>
    <n v="1"/>
    <m/>
    <n v="4"/>
    <n v="2"/>
    <n v="4"/>
    <n v="1"/>
    <n v="3"/>
    <n v="2"/>
    <n v="4"/>
    <n v="1"/>
    <n v="2"/>
    <n v="1"/>
    <n v="3"/>
    <n v="1"/>
    <n v="2"/>
    <n v="1"/>
    <n v="3"/>
    <n v="1"/>
    <n v="1"/>
    <n v="2"/>
    <n v="1"/>
    <n v="1"/>
    <m/>
    <n v="1"/>
    <m/>
    <m/>
    <m/>
    <n v="1"/>
    <m/>
    <m/>
    <m/>
    <n v="2"/>
    <m/>
    <n v="1"/>
    <n v="1"/>
    <n v="1"/>
    <n v="2"/>
    <n v="2"/>
    <n v="1"/>
    <n v="1"/>
    <n v="2"/>
    <n v="1"/>
    <n v="1"/>
    <n v="4"/>
    <n v="2"/>
    <n v="2"/>
    <n v="2"/>
    <n v="3"/>
    <n v="2"/>
    <n v="4"/>
    <n v="4"/>
    <n v="2"/>
    <n v="1"/>
    <m/>
    <m/>
    <m/>
    <n v="1"/>
    <n v="2"/>
    <n v="1"/>
    <n v="1"/>
    <n v="2"/>
    <n v="1"/>
    <n v="1"/>
    <n v="2"/>
    <n v="4"/>
    <m/>
    <m/>
    <n v="2"/>
    <m/>
    <m/>
    <m/>
    <n v="2"/>
    <n v="2"/>
    <n v="1"/>
    <x v="2"/>
    <n v="1962"/>
    <n v="2"/>
    <m/>
    <n v="3"/>
    <m/>
    <n v="3"/>
    <m/>
    <n v="1"/>
    <m/>
    <n v="1"/>
    <n v="1"/>
    <n v="51"/>
    <x v="2"/>
    <n v="2"/>
    <n v="2"/>
    <n v="2"/>
  </r>
  <r>
    <x v="3"/>
    <n v="2"/>
    <m/>
    <n v="1"/>
    <n v="3"/>
    <n v="7"/>
    <n v="7"/>
    <n v="5"/>
    <n v="3"/>
    <n v="1"/>
    <n v="2"/>
    <n v="3"/>
    <n v="2"/>
    <n v="2"/>
    <n v="2"/>
    <n v="3"/>
    <n v="4"/>
    <n v="2"/>
    <n v="2"/>
    <n v="4"/>
    <n v="1"/>
    <n v="1"/>
    <n v="2"/>
    <m/>
    <m/>
    <m/>
    <n v="1"/>
    <m/>
    <n v="1"/>
    <m/>
    <m/>
    <m/>
    <n v="2"/>
    <m/>
    <n v="2"/>
    <n v="2"/>
    <n v="1"/>
    <n v="2"/>
    <n v="2"/>
    <n v="1"/>
    <n v="2"/>
    <n v="2"/>
    <n v="2"/>
    <m/>
    <n v="2"/>
    <n v="1"/>
    <n v="1"/>
    <n v="1"/>
    <n v="3"/>
    <n v="3"/>
    <n v="1"/>
    <n v="8"/>
    <n v="1"/>
    <n v="3"/>
    <n v="2"/>
    <m/>
    <m/>
    <n v="1"/>
    <n v="2"/>
    <n v="1"/>
    <n v="1"/>
    <n v="1"/>
    <n v="1"/>
    <n v="1"/>
    <n v="1"/>
    <n v="1"/>
    <n v="7"/>
    <m/>
    <n v="1"/>
    <n v="2"/>
    <n v="6"/>
    <m/>
    <n v="1"/>
    <n v="3"/>
    <n v="3"/>
    <x v="2"/>
    <n v="1994"/>
    <n v="3"/>
    <m/>
    <n v="3"/>
    <m/>
    <n v="2"/>
    <m/>
    <n v="2"/>
    <m/>
    <n v="4"/>
    <n v="1"/>
    <n v="19"/>
    <x v="1"/>
    <n v="2"/>
    <n v="4"/>
    <n v="2"/>
  </r>
  <r>
    <x v="1"/>
    <n v="2"/>
    <m/>
    <n v="1"/>
    <n v="3"/>
    <n v="1"/>
    <n v="1"/>
    <n v="2"/>
    <n v="5"/>
    <n v="2"/>
    <n v="3"/>
    <n v="2"/>
    <n v="4"/>
    <n v="2"/>
    <n v="3"/>
    <n v="2"/>
    <n v="1"/>
    <n v="4"/>
    <n v="1"/>
    <n v="4"/>
    <n v="4"/>
    <n v="2"/>
    <n v="2"/>
    <m/>
    <m/>
    <n v="1"/>
    <n v="1"/>
    <m/>
    <m/>
    <n v="1"/>
    <m/>
    <m/>
    <n v="1"/>
    <m/>
    <n v="2"/>
    <n v="2"/>
    <n v="1"/>
    <n v="2"/>
    <n v="2"/>
    <n v="2"/>
    <n v="1"/>
    <n v="2"/>
    <n v="1"/>
    <n v="2"/>
    <n v="3"/>
    <n v="1"/>
    <n v="2"/>
    <n v="3"/>
    <n v="4"/>
    <n v="2"/>
    <n v="3"/>
    <n v="8"/>
    <n v="4"/>
    <n v="2"/>
    <n v="1"/>
    <m/>
    <m/>
    <n v="1"/>
    <n v="1"/>
    <n v="1"/>
    <n v="1"/>
    <n v="1"/>
    <n v="1"/>
    <n v="1"/>
    <n v="2"/>
    <n v="3"/>
    <n v="2"/>
    <m/>
    <n v="2"/>
    <m/>
    <m/>
    <m/>
    <n v="3"/>
    <n v="2"/>
    <n v="2"/>
    <x v="1"/>
    <n v="1983"/>
    <n v="2"/>
    <m/>
    <n v="2"/>
    <m/>
    <n v="1"/>
    <m/>
    <n v="3"/>
    <m/>
    <n v="1"/>
    <n v="1"/>
    <n v="30"/>
    <x v="1"/>
    <n v="2"/>
    <n v="4"/>
    <n v="2"/>
  </r>
  <r>
    <x v="3"/>
    <n v="1"/>
    <m/>
    <n v="1"/>
    <n v="2"/>
    <n v="2"/>
    <n v="2"/>
    <n v="5"/>
    <n v="2"/>
    <n v="1"/>
    <n v="3"/>
    <n v="3"/>
    <n v="1"/>
    <n v="4"/>
    <n v="2"/>
    <n v="3"/>
    <n v="2"/>
    <n v="4"/>
    <n v="4"/>
    <n v="3"/>
    <n v="1"/>
    <n v="2"/>
    <n v="2"/>
    <n v="1"/>
    <n v="1"/>
    <m/>
    <n v="1"/>
    <n v="1"/>
    <n v="1"/>
    <m/>
    <m/>
    <m/>
    <n v="1"/>
    <m/>
    <n v="2"/>
    <n v="2"/>
    <n v="1"/>
    <n v="2"/>
    <n v="2"/>
    <n v="1"/>
    <n v="2"/>
    <n v="2"/>
    <n v="2"/>
    <m/>
    <n v="1"/>
    <n v="4"/>
    <n v="3"/>
    <n v="2"/>
    <n v="1"/>
    <n v="3"/>
    <n v="2"/>
    <n v="8"/>
    <n v="2"/>
    <n v="1"/>
    <m/>
    <m/>
    <m/>
    <n v="2"/>
    <n v="1"/>
    <n v="2"/>
    <n v="2"/>
    <n v="1"/>
    <n v="2"/>
    <n v="1"/>
    <n v="1"/>
    <n v="2"/>
    <n v="2"/>
    <m/>
    <n v="1"/>
    <n v="1"/>
    <n v="1"/>
    <m/>
    <n v="8"/>
    <n v="3"/>
    <n v="5"/>
    <x v="1"/>
    <n v="1975"/>
    <n v="3"/>
    <m/>
    <n v="2"/>
    <m/>
    <n v="4"/>
    <m/>
    <n v="2"/>
    <m/>
    <n v="3"/>
    <n v="1"/>
    <n v="38"/>
    <x v="1"/>
    <n v="2"/>
    <n v="2"/>
    <n v="1"/>
  </r>
  <r>
    <x v="3"/>
    <n v="3"/>
    <m/>
    <n v="3"/>
    <n v="1"/>
    <n v="3"/>
    <n v="7"/>
    <n v="5"/>
    <n v="5"/>
    <n v="2"/>
    <n v="3"/>
    <n v="2"/>
    <n v="2"/>
    <n v="4"/>
    <n v="3"/>
    <n v="2"/>
    <n v="3"/>
    <n v="4"/>
    <n v="1"/>
    <n v="2"/>
    <n v="2"/>
    <n v="1"/>
    <n v="1"/>
    <m/>
    <m/>
    <n v="1"/>
    <m/>
    <m/>
    <n v="1"/>
    <m/>
    <n v="1"/>
    <m/>
    <n v="1"/>
    <m/>
    <n v="2"/>
    <n v="2"/>
    <n v="1"/>
    <n v="1"/>
    <n v="2"/>
    <n v="2"/>
    <n v="2"/>
    <n v="2"/>
    <n v="2"/>
    <m/>
    <n v="2"/>
    <n v="1"/>
    <n v="4"/>
    <n v="2"/>
    <n v="2"/>
    <n v="2"/>
    <n v="1"/>
    <n v="8"/>
    <n v="3"/>
    <n v="3"/>
    <n v="3"/>
    <m/>
    <m/>
    <n v="2"/>
    <n v="2"/>
    <n v="2"/>
    <n v="2"/>
    <n v="2"/>
    <n v="2"/>
    <n v="1"/>
    <n v="1"/>
    <n v="2"/>
    <n v="3"/>
    <m/>
    <n v="1"/>
    <n v="2"/>
    <n v="5"/>
    <m/>
    <n v="2"/>
    <n v="2"/>
    <n v="5"/>
    <x v="1"/>
    <n v="1979"/>
    <n v="3"/>
    <m/>
    <n v="1"/>
    <m/>
    <n v="1"/>
    <m/>
    <n v="1"/>
    <m/>
    <n v="2"/>
    <n v="1"/>
    <n v="34"/>
    <x v="1"/>
    <n v="1"/>
    <n v="1"/>
    <n v="1"/>
  </r>
  <r>
    <x v="2"/>
    <n v="1"/>
    <m/>
    <n v="2"/>
    <n v="4"/>
    <n v="1"/>
    <n v="1"/>
    <n v="1"/>
    <n v="3"/>
    <n v="3"/>
    <n v="3"/>
    <n v="3"/>
    <n v="2"/>
    <n v="2"/>
    <n v="2"/>
    <n v="4"/>
    <n v="2"/>
    <n v="1"/>
    <n v="4"/>
    <n v="2"/>
    <n v="3"/>
    <n v="1"/>
    <n v="2"/>
    <m/>
    <m/>
    <n v="1"/>
    <m/>
    <m/>
    <m/>
    <m/>
    <m/>
    <m/>
    <n v="1"/>
    <m/>
    <n v="2"/>
    <n v="2"/>
    <n v="2"/>
    <n v="1"/>
    <n v="2"/>
    <n v="1"/>
    <n v="1"/>
    <n v="1"/>
    <n v="2"/>
    <m/>
    <n v="3"/>
    <n v="2"/>
    <n v="1"/>
    <n v="2"/>
    <n v="4"/>
    <n v="4"/>
    <n v="4"/>
    <n v="3"/>
    <n v="8"/>
    <n v="1"/>
    <m/>
    <m/>
    <m/>
    <n v="2"/>
    <n v="2"/>
    <n v="2"/>
    <n v="2"/>
    <n v="2"/>
    <n v="2"/>
    <n v="2"/>
    <n v="2"/>
    <n v="3"/>
    <n v="5"/>
    <m/>
    <n v="2"/>
    <m/>
    <m/>
    <m/>
    <n v="1"/>
    <n v="1"/>
    <n v="5"/>
    <x v="1"/>
    <n v="1957"/>
    <n v="3"/>
    <m/>
    <n v="1"/>
    <m/>
    <n v="3"/>
    <m/>
    <n v="4"/>
    <m/>
    <n v="3"/>
    <n v="1"/>
    <n v="56"/>
    <x v="2"/>
    <n v="1"/>
    <n v="1"/>
    <n v="1"/>
  </r>
  <r>
    <x v="4"/>
    <n v="2"/>
    <m/>
    <n v="2"/>
    <n v="7"/>
    <n v="2"/>
    <n v="2"/>
    <n v="4"/>
    <n v="2"/>
    <n v="1"/>
    <n v="2"/>
    <n v="2"/>
    <n v="3"/>
    <n v="4"/>
    <n v="4"/>
    <n v="2"/>
    <n v="1"/>
    <n v="2"/>
    <n v="1"/>
    <n v="3"/>
    <n v="1"/>
    <n v="2"/>
    <n v="1"/>
    <n v="1"/>
    <n v="1"/>
    <n v="1"/>
    <m/>
    <m/>
    <m/>
    <n v="1"/>
    <m/>
    <m/>
    <n v="1"/>
    <m/>
    <n v="1"/>
    <n v="2"/>
    <n v="1"/>
    <n v="1"/>
    <n v="1"/>
    <n v="2"/>
    <n v="2"/>
    <n v="1"/>
    <n v="1"/>
    <n v="2"/>
    <n v="1"/>
    <n v="3"/>
    <n v="7"/>
    <n v="3"/>
    <n v="1"/>
    <n v="2"/>
    <n v="2"/>
    <n v="2"/>
    <n v="2"/>
    <n v="4"/>
    <n v="4"/>
    <m/>
    <m/>
    <n v="1"/>
    <n v="1"/>
    <n v="1"/>
    <n v="2"/>
    <n v="2"/>
    <n v="1"/>
    <n v="2"/>
    <n v="2"/>
    <n v="3"/>
    <n v="98"/>
    <m/>
    <n v="1"/>
    <n v="4"/>
    <n v="4"/>
    <m/>
    <n v="2"/>
    <n v="3"/>
    <m/>
    <x v="2"/>
    <n v="1946"/>
    <n v="2"/>
    <m/>
    <n v="5"/>
    <m/>
    <n v="2"/>
    <m/>
    <n v="2"/>
    <m/>
    <n v="2"/>
    <n v="1"/>
    <n v="67"/>
    <x v="3"/>
    <n v="2"/>
    <n v="4"/>
    <n v="3"/>
  </r>
  <r>
    <x v="4"/>
    <n v="2"/>
    <m/>
    <n v="2"/>
    <n v="2"/>
    <n v="4"/>
    <n v="3"/>
    <n v="2"/>
    <n v="5"/>
    <n v="2"/>
    <n v="2"/>
    <n v="3"/>
    <n v="2"/>
    <n v="3"/>
    <n v="2"/>
    <n v="3"/>
    <n v="1"/>
    <n v="3"/>
    <n v="2"/>
    <n v="2"/>
    <n v="2"/>
    <n v="2"/>
    <n v="2"/>
    <n v="1"/>
    <m/>
    <m/>
    <m/>
    <n v="1"/>
    <n v="1"/>
    <m/>
    <m/>
    <m/>
    <n v="1"/>
    <m/>
    <n v="1"/>
    <n v="2"/>
    <n v="2"/>
    <n v="2"/>
    <n v="1"/>
    <n v="1"/>
    <n v="1"/>
    <n v="1"/>
    <n v="2"/>
    <m/>
    <n v="2"/>
    <n v="1"/>
    <n v="4"/>
    <n v="3"/>
    <n v="3"/>
    <n v="3"/>
    <n v="3"/>
    <n v="1"/>
    <n v="1"/>
    <n v="1"/>
    <m/>
    <m/>
    <m/>
    <n v="1"/>
    <n v="2"/>
    <n v="1"/>
    <n v="1"/>
    <n v="1"/>
    <n v="1"/>
    <n v="1"/>
    <n v="1"/>
    <n v="2"/>
    <n v="1"/>
    <m/>
    <n v="1"/>
    <n v="2"/>
    <n v="98"/>
    <m/>
    <n v="3"/>
    <n v="2"/>
    <n v="1"/>
    <x v="1"/>
    <n v="1947"/>
    <n v="1"/>
    <m/>
    <n v="6"/>
    <m/>
    <n v="4"/>
    <m/>
    <n v="1"/>
    <m/>
    <n v="2"/>
    <n v="1"/>
    <n v="66"/>
    <x v="3"/>
    <n v="2"/>
    <n v="3"/>
    <n v="2"/>
  </r>
  <r>
    <x v="4"/>
    <n v="8"/>
    <m/>
    <n v="3"/>
    <n v="2"/>
    <n v="7"/>
    <n v="3"/>
    <n v="3"/>
    <n v="2"/>
    <n v="1"/>
    <n v="2"/>
    <n v="2"/>
    <n v="2"/>
    <n v="2"/>
    <n v="3"/>
    <n v="2"/>
    <n v="2"/>
    <n v="2"/>
    <n v="3"/>
    <n v="3"/>
    <n v="4"/>
    <n v="2"/>
    <n v="1"/>
    <m/>
    <n v="1"/>
    <n v="1"/>
    <n v="1"/>
    <m/>
    <m/>
    <m/>
    <m/>
    <m/>
    <n v="2"/>
    <m/>
    <n v="1"/>
    <n v="2"/>
    <n v="1"/>
    <n v="2"/>
    <n v="1"/>
    <n v="2"/>
    <n v="2"/>
    <n v="1"/>
    <n v="2"/>
    <m/>
    <n v="3"/>
    <n v="7"/>
    <n v="1"/>
    <n v="1"/>
    <n v="2"/>
    <n v="2"/>
    <n v="2"/>
    <n v="3"/>
    <n v="3"/>
    <n v="2"/>
    <n v="3"/>
    <m/>
    <m/>
    <n v="2"/>
    <n v="1"/>
    <n v="1"/>
    <n v="1"/>
    <n v="2"/>
    <n v="2"/>
    <n v="2"/>
    <n v="2"/>
    <n v="4"/>
    <m/>
    <m/>
    <n v="2"/>
    <m/>
    <m/>
    <m/>
    <n v="5"/>
    <n v="4"/>
    <n v="3"/>
    <x v="2"/>
    <n v="1984"/>
    <n v="3"/>
    <m/>
    <n v="4"/>
    <m/>
    <n v="6"/>
    <m/>
    <n v="3"/>
    <m/>
    <n v="1"/>
    <n v="1"/>
    <n v="29"/>
    <x v="1"/>
    <n v="2"/>
    <n v="4"/>
    <n v="2"/>
  </r>
  <r>
    <x v="1"/>
    <n v="3"/>
    <m/>
    <n v="3"/>
    <n v="4"/>
    <n v="2"/>
    <n v="2"/>
    <n v="5"/>
    <n v="4"/>
    <n v="2"/>
    <n v="2"/>
    <n v="2"/>
    <n v="1"/>
    <n v="1"/>
    <n v="2"/>
    <n v="1"/>
    <n v="4"/>
    <n v="1"/>
    <n v="3"/>
    <n v="1"/>
    <n v="1"/>
    <n v="1"/>
    <n v="2"/>
    <n v="1"/>
    <m/>
    <n v="1"/>
    <m/>
    <m/>
    <n v="1"/>
    <n v="1"/>
    <m/>
    <m/>
    <n v="2"/>
    <m/>
    <n v="2"/>
    <n v="1"/>
    <n v="2"/>
    <n v="1"/>
    <n v="1"/>
    <n v="1"/>
    <n v="1"/>
    <n v="2"/>
    <n v="1"/>
    <n v="1"/>
    <n v="4"/>
    <n v="1"/>
    <n v="2"/>
    <n v="1"/>
    <n v="2"/>
    <n v="1"/>
    <n v="1"/>
    <n v="2"/>
    <n v="8"/>
    <n v="3"/>
    <n v="2"/>
    <m/>
    <m/>
    <n v="1"/>
    <n v="2"/>
    <n v="2"/>
    <n v="2"/>
    <n v="2"/>
    <n v="2"/>
    <n v="1"/>
    <n v="1"/>
    <n v="1"/>
    <n v="8"/>
    <m/>
    <n v="2"/>
    <m/>
    <m/>
    <m/>
    <n v="3"/>
    <n v="3"/>
    <n v="1"/>
    <x v="1"/>
    <n v="1989"/>
    <n v="2"/>
    <m/>
    <n v="7"/>
    <m/>
    <n v="4"/>
    <m/>
    <n v="2"/>
    <m/>
    <n v="2"/>
    <n v="1"/>
    <n v="24"/>
    <x v="1"/>
    <n v="2"/>
    <n v="2"/>
    <n v="2"/>
  </r>
  <r>
    <x v="4"/>
    <n v="2"/>
    <m/>
    <n v="1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4"/>
    <n v="3"/>
  </r>
  <r>
    <x v="3"/>
    <n v="1"/>
    <m/>
    <n v="4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7"/>
    <m/>
    <m/>
    <m/>
    <m/>
    <m/>
    <m/>
    <m/>
    <m/>
    <m/>
    <n v="1"/>
    <n v="26"/>
    <x v="1"/>
    <n v="2"/>
    <n v="4"/>
    <n v="3"/>
  </r>
  <r>
    <x v="2"/>
    <n v="4"/>
    <m/>
    <n v="1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3"/>
    <n v="3"/>
  </r>
  <r>
    <x v="1"/>
    <n v="2"/>
    <m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1"/>
    <m/>
    <m/>
    <m/>
    <m/>
    <m/>
    <m/>
    <m/>
    <m/>
    <m/>
    <n v="1"/>
    <n v="32"/>
    <x v="1"/>
    <n v="2"/>
    <n v="4"/>
    <n v="3"/>
  </r>
  <r>
    <x v="2"/>
    <n v="3"/>
    <m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70"/>
    <m/>
    <m/>
    <m/>
    <m/>
    <m/>
    <m/>
    <m/>
    <m/>
    <m/>
    <n v="1"/>
    <n v="43"/>
    <x v="2"/>
    <n v="2"/>
    <n v="4"/>
    <n v="3"/>
  </r>
  <r>
    <x v="4"/>
    <n v="1"/>
    <m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</pivotCacheRecords>
</file>

<file path=xl/pivotCache/pivotCacheRecords16.xml><?xml version="1.0" encoding="utf-8"?>
<pivotCacheRecords xmlns="http://schemas.openxmlformats.org/spreadsheetml/2006/main" xmlns:r="http://schemas.openxmlformats.org/officeDocument/2006/relationships" count="632">
  <r>
    <x v="0"/>
    <s v="Quel est le problème de sécurité qui vous préoccupe le plus dans votre quartier ?"/>
    <s v="Vous arrive-t-il de ne pas vous sentir personnellement en sécurité dans votre quartier ?"/>
    <s v="Dites-nous à combien vous évaluez le risque d'être personnellement intimidé(e) ou agressé(e) dans votre quartier : Lorsque vous sortez seul(e) PENDANT LE JOUR, ce risque est : "/>
    <s v="Dites-nous à combien vous évaluez le risque d'être personnellement intimidé(e) ou agressé(e) dans votre quartier : Lorsque vous sortez seul(e) APRÈS LA TOMBÉE DU JOUR, ce risque est : "/>
    <s v="Dites-nous à combien vous évaluez le risque d'être personnellement intimidé(e) ou agressé(e) dans votre quartier : Lorsque vous attendez ou prenez le transport en commun, ce risque est …"/>
    <s v="Dites-nous à combien vous évaluez le risque que les jeunes de moins de 18 ans qui vivent avec vous (à temps plein ou à temps partiel) soient intimidés ou agressés lorqu'ils vont dehors dans votre quartier. Ce risque est …"/>
    <s v="Habituellement, combien de fois sortez-vous seul(e) dans votre quartier APRÈS LA TOMBÉE DU JOUR ? Est-ce ... "/>
    <s v="Dans votre quartier, les problèmes causés par des gens bruyants sont … ?"/>
    <s v="Dans votre quartier, les désordres liés à la consommation d'alcool dans les lieux publics sont … ?"/>
    <s v="Dans votre quartier, les désordres liés à la vente ou à la consommation de drogue sont … ?"/>
    <s v="Dans votre quartier, les problèmes liés à la criminalité sont … ?"/>
    <s v="Dans votre quartier, les problèmes causés par les gens qui traînent dans les lieux publics sont … ?"/>
    <s v="Dans votre quartier, les actes de vandalisme sont … ?"/>
    <s v="Dans votre quartier, les conflits entre les groupes d'origines ethniques différentes sont … ?"/>
    <s v="Dans votre quartier, les conflits entre d'autres groupes d'individus sont … ?"/>
    <s v="Dans votre quartier, les graffiti sont … ?"/>
    <s v="Dans votre quartier, les immeubles ou bâtiments abandonnés ou mal entretenus sont... ?"/>
    <s v="Dans votre quartier, le niveau d'entraide entre les personnes est... ?"/>
    <s v="Dans votre quartier, le niveau de confiance qui règne entre la plupart des personnes est... ?"/>
    <s v="Dans votre quartier, les comportements des jeunes ou des groupes de jeunes sont-ils pour vous une source de menace ou d'insécurité ?"/>
    <s v="Y a-t-il d'autres individus ou des groupes d'individus dont les comportements sont pour vous une source de menace ou d'insécurité ?"/>
    <s v="De quel type ou groupe d'individus s'agit-il ?  Toxicomanes ou revendeur de drogue"/>
    <s v="De quel type ou groupe d'individus s'agit-il ? Gangs de motards / milieu criminel"/>
    <s v="De quel type ou groupe d'individus s'agit-il ? Sollicitation (vendeurs, mouvements religieux, ex-détenus, etc.)"/>
    <s v="De quel type ou groupe d'individus s'agit-il ? Itinérants"/>
    <s v="De quel type ou groupe d'individus s'agit-il ? Individus ou groupes d'individus en état d'ébriété"/>
    <s v="De quel type ou groupe d'individus s'agit-il ? Personnes d'une communauté culturelle différente de la mienne"/>
    <s v="De quel type ou groupe d'individus s'agit-il ? Voisins"/>
    <s v="De quel type ou groupe d'individus s'agit-il ? Autre"/>
    <s v="De quel type ou groupe d'individus s'agit-il ? Autre, précisez"/>
    <s v="Y a-t-il dans votre quartier des endroits que vous évitez de fréquenter pour des raisons de sécurité ?"/>
    <s v="Lesquels ?"/>
    <s v="Veuillez répondre à chacun des énoncés suivants. Quand je me déplace dans mon quartier, j'apporte habituellement quelque chose pour assurer ma protection. "/>
    <s v="Veuillez répondre à chacun des énoncés suivants. Lorsque je suis dans mon quartier, je vérifie qu'aucun intrus ne se trouve à l'intérieur de ma voiture avant d'y monter."/>
    <s v="Veuillez répondre à chacun des énoncés suivants. À mon domicile, j'évite d'ouvrir la porte à des inconnus, pour des raisons de sécurité. "/>
    <s v="Veuillez répondre à chacun des énoncés suivants. Je garde les portes extérieures de mon domicile constamment verrouillées, même lorsque je suis chez moi. "/>
    <s v="Veuillez répondre à chacun des énoncés suivants. Spécialement par mesure de protection, il y a un chien à mon domicile. "/>
    <s v="Veuillez répondre à chacun des énoncés suivants. J'ai un système d'alarme que j'active régulièrement pour protéger mon domicile contre le vol."/>
    <s v="Veuillez répondre à chacun des énoncés suivants. Spécialement par mesure de protection, j'ai suivi un cours d'autodéfense. "/>
    <s v="Veuillez répondre à chacun des énoncés suivants. Spécialement par mesure de protection, il y a une arme à feu à mon domicile. "/>
    <s v="Est-ce qu'il y a à votre domicile au moins un détecteur de fumée fonctionnel par étage ? "/>
    <s v="Le bon fonctionnement de cet/ces appareil(s) a-t-il été vérifié, au cours des douze (12) derniers mois ?"/>
    <s v="Veuillez nous dire votre degré de satisfaction à l'égard : du déneigement et du déglaçage des rues et des trottoirs de votre quartier ? "/>
    <s v="Veuillez nous dire votre degré de satisfaction à l'égard :  de la propreté et de l'entretien des parcs et terrains de jeux de votre quartier ?"/>
    <s v="Veuillez nous dire votre degré de satisfaction à l'égard :  de la sécurité des équipements dans les parcs, aires de jeux ou centre récréatif ou sportif de votre quartier ? "/>
    <s v="Votre quartier est-il desservi par un service de police municipal, une régie intermunicipale ou par la Sûreté du Québec ?"/>
    <s v="Quel est votre niveau de satisfaction à l'égard de la présence des policiers dans votre quartier ?"/>
    <s v="Quel est votre niveau de satisfaction à l'égard du travail effectué par les policiers dans votre quartier ?"/>
    <s v="De façon plus spécifique, quel est votre niveau de satisfaction à l'égard du travail effectué par les policiers : auprès des jeunes de votre quartier"/>
    <s v="De façon plus spécifique, quel est votre niveau de satisfaction à l'égard du travail effectué par les policiers : pour assurer la sécurité routière dans votre quartier"/>
    <s v="De façon plus spécifique, quel est votre niveau de satisfaction à l'égard du travail effectué par les policiers : pour régler des problèmes de délinquance ou de désordres qui surviennent dans votre quartier"/>
    <s v="Au cours des deux dernières années, combien de fois avez-vous fait appel au service de police qui dessert votre quartier ?"/>
    <s v="En vous référant à l'événement le plus récent, quel est votre niveau de satisfaction à l'égard de la réponse que vous avez reçue ?"/>
    <s v="Pourquoi ? Peu"/>
    <s v="Pourquoi ? Pas"/>
    <s v="Au cours des deux dernières années, vous êtes vous IMPLIQUÉ SUR UNE BASE RÉGULIÈRE dans les activités suivantes de votre quartier : Dans un comité ou un organisme préoccupé par les problèmes de sécurité de votre quartier ?"/>
    <s v="Au cours des deux dernières années, vous êtes vous IMPLIQUÉ SUR UNE BASE RÉGULIÈRE dans les activités suivantes de votre quartier : Dans des assemblées du conseil municipal ?"/>
    <s v="Au cours des deux dernières années, vous êtes vous IMPLIQUÉ SUR UNE BASE RÉGULIÈRE dans les activités suivantes de votre quartier : Dans un conseil de quartier ou d'arrondissement ?"/>
    <s v="Au cours des deux dernières années, vous êtes vous IMPLIQUÉ SUR UNE BASE RÉGULIÈRE dans les activités suivantes de votre quartier : Dans un comité de citoyens ?"/>
    <s v="Au cours des deux dernières années, vous êtes vous IMPLIQUÉ SUR UNE BASE RÉGULIÈRE dans les activités suivantes de votre quartier : Dans des activités communautaires, d'entraide ou de bénévolat (cuisine communautaire, bazar)"/>
    <s v="Au cours des deux dernières années, vous êtes vous IMPLIQUÉ SUR UNE BASE RÉGULIÈRE dans les activités suivantes de votre quartier : Dans des activités sociales, culturelles ou sportives organisées par les gens de votre quartier ou de votre municipalité ?"/>
    <s v="Au cours des deux dernières années, avez-vous été victime de vol, de vandalisme ou de tout autre crime contre vos biens, chez vous ou dans votre quartier ?"/>
    <s v="Au cours des deux dernières années, avez-vous été victime d'une agression, d'intimidation ou de tout autre acte de violence, chez vous ou dans votre quartier ?"/>
    <s v="Au cours des deux dernières années avez-vous été victime dans votre quartier d'une quelconque forme de discrimination ?"/>
    <s v="À votre avis, le motif de cette discrimination était lié …"/>
    <s v="Autre, précisez :"/>
    <s v="Au cours des deux dernières années, avez-vous subi un accident qui vous a occasionné une blessure pour laquelle vous avez dû consulter un professionnel de la santé ou limiter vos activités ?"/>
    <s v="Combien de fois cela s'est-il produit ?"/>
    <s v="En se référant au dernier événement, était-ce … ?"/>
    <s v="Autre, précisez :"/>
    <s v="Maintenant, comparativement à d'autres personnes de votre âge, dirirez-vous que votre santé est en général …"/>
    <s v="Dans quel quartier habitez-vous ?"/>
    <s v="Combien de personne de moins de 18 ans habitent dans votre foyer ?"/>
    <x v="0"/>
    <s v="Quelle est votre année de naissance ?"/>
    <s v="Êtes-vous propriétaire ou locataire du logement que vous habitez ?"/>
    <s v="Autre, précisez : "/>
    <s v="Habitez-vous dans …"/>
    <s v="Autre, précisez : "/>
    <s v="Quel est votre état civil ?"/>
    <s v="Autre, précisez : "/>
    <s v="Où est situé votre lieu de travail habituel ?"/>
    <s v="Autre, précisez : "/>
    <s v="Quel est le plus haut niveau de scolarité que vous avez complété ?"/>
    <m/>
    <m/>
    <x v="0"/>
    <m/>
    <m/>
    <m/>
  </r>
  <r>
    <x v="1"/>
    <m/>
    <n v="1"/>
    <n v="7"/>
    <n v="3"/>
    <n v="4"/>
    <n v="1"/>
    <n v="1"/>
    <n v="2"/>
    <n v="1"/>
    <n v="4"/>
    <n v="3"/>
    <n v="3"/>
    <n v="2"/>
    <n v="1"/>
    <n v="2"/>
    <n v="2"/>
    <n v="4"/>
    <n v="3"/>
    <n v="1"/>
    <n v="1"/>
    <n v="1"/>
    <m/>
    <n v="1"/>
    <m/>
    <n v="1"/>
    <n v="1"/>
    <n v="1"/>
    <n v="1"/>
    <m/>
    <m/>
    <n v="1"/>
    <m/>
    <n v="2"/>
    <n v="2"/>
    <n v="1"/>
    <n v="1"/>
    <n v="1"/>
    <n v="2"/>
    <n v="1"/>
    <n v="2"/>
    <n v="2"/>
    <m/>
    <n v="1"/>
    <n v="7"/>
    <n v="4"/>
    <n v="8"/>
    <n v="1"/>
    <n v="4"/>
    <n v="8"/>
    <n v="2"/>
    <n v="2"/>
    <n v="1"/>
    <m/>
    <m/>
    <m/>
    <n v="1"/>
    <n v="2"/>
    <n v="1"/>
    <n v="2"/>
    <n v="2"/>
    <n v="1"/>
    <n v="1"/>
    <n v="2"/>
    <n v="1"/>
    <n v="2"/>
    <m/>
    <n v="1"/>
    <n v="4"/>
    <n v="5"/>
    <m/>
    <n v="2"/>
    <n v="4"/>
    <n v="5"/>
    <x v="1"/>
    <n v="1981"/>
    <n v="2"/>
    <m/>
    <n v="7"/>
    <m/>
    <n v="1"/>
    <m/>
    <n v="1"/>
    <m/>
    <n v="4"/>
    <n v="1"/>
    <n v="32"/>
    <x v="1"/>
    <n v="1"/>
    <n v="1"/>
    <n v="1"/>
  </r>
  <r>
    <x v="2"/>
    <m/>
    <n v="2"/>
    <n v="4"/>
    <n v="2"/>
    <n v="1"/>
    <n v="1"/>
    <n v="2"/>
    <n v="3"/>
    <n v="1"/>
    <n v="4"/>
    <n v="2"/>
    <n v="2"/>
    <n v="2"/>
    <n v="1"/>
    <n v="2"/>
    <n v="1"/>
    <n v="2"/>
    <n v="2"/>
    <n v="1"/>
    <n v="2"/>
    <n v="1"/>
    <m/>
    <m/>
    <n v="1"/>
    <m/>
    <n v="1"/>
    <m/>
    <n v="1"/>
    <m/>
    <m/>
    <n v="2"/>
    <m/>
    <n v="1"/>
    <n v="1"/>
    <n v="2"/>
    <n v="1"/>
    <n v="1"/>
    <n v="1"/>
    <n v="1"/>
    <n v="1"/>
    <n v="1"/>
    <n v="1"/>
    <n v="2"/>
    <n v="4"/>
    <n v="1"/>
    <n v="1"/>
    <n v="4"/>
    <n v="8"/>
    <n v="1"/>
    <n v="4"/>
    <n v="1"/>
    <n v="2"/>
    <n v="1"/>
    <m/>
    <m/>
    <n v="2"/>
    <n v="1"/>
    <n v="1"/>
    <n v="2"/>
    <n v="2"/>
    <n v="1"/>
    <n v="2"/>
    <n v="1"/>
    <n v="2"/>
    <n v="1"/>
    <m/>
    <n v="2"/>
    <m/>
    <m/>
    <m/>
    <n v="4"/>
    <n v="1"/>
    <n v="2"/>
    <x v="2"/>
    <n v="1970"/>
    <n v="1"/>
    <m/>
    <n v="5"/>
    <m/>
    <n v="2"/>
    <m/>
    <n v="2"/>
    <m/>
    <n v="1"/>
    <n v="1"/>
    <n v="43"/>
    <x v="2"/>
    <n v="2"/>
    <n v="3"/>
    <n v="2"/>
  </r>
  <r>
    <x v="3"/>
    <m/>
    <n v="3"/>
    <n v="4"/>
    <n v="1"/>
    <n v="2"/>
    <n v="2"/>
    <n v="4"/>
    <n v="3"/>
    <n v="1"/>
    <n v="4"/>
    <n v="2"/>
    <n v="1"/>
    <n v="2"/>
    <n v="1"/>
    <n v="3"/>
    <n v="2"/>
    <n v="3"/>
    <n v="1"/>
    <n v="2"/>
    <n v="1"/>
    <n v="2"/>
    <n v="1"/>
    <m/>
    <m/>
    <m/>
    <n v="1"/>
    <n v="1"/>
    <m/>
    <n v="1"/>
    <m/>
    <n v="2"/>
    <m/>
    <n v="1"/>
    <n v="1"/>
    <n v="2"/>
    <n v="1"/>
    <n v="1"/>
    <n v="1"/>
    <n v="2"/>
    <n v="1"/>
    <n v="1"/>
    <n v="2"/>
    <n v="3"/>
    <n v="1"/>
    <n v="2"/>
    <n v="3"/>
    <n v="2"/>
    <n v="1"/>
    <n v="2"/>
    <n v="3"/>
    <n v="4"/>
    <n v="3"/>
    <n v="3"/>
    <m/>
    <m/>
    <n v="2"/>
    <n v="1"/>
    <n v="2"/>
    <n v="2"/>
    <n v="2"/>
    <n v="2"/>
    <n v="2"/>
    <n v="1"/>
    <n v="3"/>
    <n v="3"/>
    <m/>
    <n v="1"/>
    <n v="2"/>
    <n v="8"/>
    <m/>
    <n v="5"/>
    <n v="4"/>
    <n v="4"/>
    <x v="2"/>
    <n v="1990"/>
    <n v="3"/>
    <m/>
    <n v="4"/>
    <m/>
    <n v="4"/>
    <m/>
    <n v="3"/>
    <m/>
    <n v="2"/>
    <n v="1"/>
    <n v="23"/>
    <x v="1"/>
    <n v="2"/>
    <n v="4"/>
    <n v="2"/>
  </r>
  <r>
    <x v="4"/>
    <m/>
    <n v="4"/>
    <n v="2"/>
    <n v="2"/>
    <n v="3"/>
    <n v="4"/>
    <n v="1"/>
    <n v="3"/>
    <n v="2"/>
    <n v="2"/>
    <n v="2"/>
    <n v="2"/>
    <n v="2"/>
    <n v="1"/>
    <n v="2"/>
    <n v="3"/>
    <n v="3"/>
    <n v="1"/>
    <n v="3"/>
    <n v="1"/>
    <n v="1"/>
    <n v="1"/>
    <n v="1"/>
    <m/>
    <n v="1"/>
    <n v="1"/>
    <n v="1"/>
    <n v="1"/>
    <m/>
    <m/>
    <n v="2"/>
    <m/>
    <n v="1"/>
    <n v="1"/>
    <n v="2"/>
    <n v="2"/>
    <n v="1"/>
    <n v="2"/>
    <n v="2"/>
    <n v="1"/>
    <n v="1"/>
    <n v="1"/>
    <n v="4"/>
    <n v="3"/>
    <n v="3"/>
    <n v="2"/>
    <n v="3"/>
    <n v="1"/>
    <n v="3"/>
    <n v="2"/>
    <n v="2"/>
    <n v="4"/>
    <n v="2"/>
    <m/>
    <m/>
    <n v="2"/>
    <n v="1"/>
    <n v="2"/>
    <n v="2"/>
    <n v="1"/>
    <n v="2"/>
    <n v="2"/>
    <n v="2"/>
    <n v="4"/>
    <m/>
    <m/>
    <n v="1"/>
    <n v="2"/>
    <n v="7"/>
    <m/>
    <n v="1"/>
    <n v="2"/>
    <n v="1"/>
    <x v="2"/>
    <n v="1983"/>
    <n v="1"/>
    <m/>
    <n v="1"/>
    <m/>
    <n v="1"/>
    <m/>
    <n v="4"/>
    <m/>
    <n v="3"/>
    <n v="1"/>
    <n v="30"/>
    <x v="1"/>
    <n v="2"/>
    <n v="3"/>
    <n v="2"/>
  </r>
  <r>
    <x v="1"/>
    <m/>
    <n v="4"/>
    <n v="1"/>
    <n v="7"/>
    <n v="2"/>
    <n v="2"/>
    <n v="5"/>
    <n v="2"/>
    <n v="4"/>
    <n v="1"/>
    <n v="1"/>
    <n v="2"/>
    <n v="1"/>
    <n v="2"/>
    <n v="2"/>
    <n v="3"/>
    <n v="2"/>
    <n v="1"/>
    <n v="2"/>
    <n v="2"/>
    <n v="1"/>
    <m/>
    <n v="1"/>
    <n v="1"/>
    <n v="1"/>
    <n v="1"/>
    <n v="1"/>
    <m/>
    <m/>
    <m/>
    <n v="2"/>
    <m/>
    <n v="1"/>
    <n v="1"/>
    <n v="1"/>
    <n v="2"/>
    <n v="2"/>
    <n v="2"/>
    <n v="1"/>
    <n v="2"/>
    <n v="2"/>
    <m/>
    <n v="7"/>
    <n v="3"/>
    <n v="3"/>
    <n v="1"/>
    <n v="2"/>
    <n v="3"/>
    <n v="2"/>
    <n v="1"/>
    <n v="3"/>
    <n v="2"/>
    <n v="4"/>
    <m/>
    <m/>
    <n v="1"/>
    <n v="2"/>
    <n v="2"/>
    <n v="1"/>
    <n v="1"/>
    <n v="2"/>
    <n v="2"/>
    <n v="1"/>
    <n v="1"/>
    <n v="6"/>
    <m/>
    <n v="2"/>
    <m/>
    <m/>
    <m/>
    <n v="3"/>
    <n v="3"/>
    <m/>
    <x v="2"/>
    <n v="1967"/>
    <n v="1"/>
    <m/>
    <n v="2"/>
    <m/>
    <n v="3"/>
    <m/>
    <n v="4"/>
    <m/>
    <n v="2"/>
    <n v="1"/>
    <n v="46"/>
    <x v="2"/>
    <n v="3"/>
    <n v="5"/>
    <n v="3"/>
  </r>
  <r>
    <x v="1"/>
    <m/>
    <n v="4"/>
    <n v="2"/>
    <n v="4"/>
    <n v="1"/>
    <n v="3"/>
    <n v="2"/>
    <n v="4"/>
    <n v="1"/>
    <n v="2"/>
    <n v="1"/>
    <n v="3"/>
    <n v="1"/>
    <n v="2"/>
    <n v="1"/>
    <n v="3"/>
    <n v="1"/>
    <n v="1"/>
    <n v="2"/>
    <n v="1"/>
    <n v="1"/>
    <m/>
    <n v="1"/>
    <m/>
    <m/>
    <m/>
    <n v="1"/>
    <m/>
    <m/>
    <m/>
    <n v="2"/>
    <m/>
    <n v="1"/>
    <n v="1"/>
    <n v="1"/>
    <n v="2"/>
    <n v="2"/>
    <n v="1"/>
    <n v="1"/>
    <n v="2"/>
    <n v="1"/>
    <n v="1"/>
    <n v="4"/>
    <n v="2"/>
    <n v="2"/>
    <n v="2"/>
    <n v="3"/>
    <n v="2"/>
    <n v="4"/>
    <n v="4"/>
    <n v="2"/>
    <n v="1"/>
    <m/>
    <m/>
    <m/>
    <n v="1"/>
    <n v="2"/>
    <n v="1"/>
    <n v="1"/>
    <n v="2"/>
    <n v="1"/>
    <n v="1"/>
    <n v="2"/>
    <n v="4"/>
    <m/>
    <m/>
    <n v="2"/>
    <m/>
    <m/>
    <m/>
    <n v="2"/>
    <n v="2"/>
    <n v="1"/>
    <x v="2"/>
    <n v="1962"/>
    <n v="2"/>
    <m/>
    <n v="3"/>
    <m/>
    <n v="3"/>
    <m/>
    <n v="1"/>
    <m/>
    <n v="1"/>
    <n v="1"/>
    <n v="51"/>
    <x v="2"/>
    <n v="2"/>
    <n v="2"/>
    <n v="2"/>
  </r>
  <r>
    <x v="2"/>
    <m/>
    <n v="1"/>
    <n v="3"/>
    <n v="7"/>
    <n v="7"/>
    <n v="5"/>
    <n v="3"/>
    <n v="1"/>
    <n v="2"/>
    <n v="3"/>
    <n v="2"/>
    <n v="2"/>
    <n v="2"/>
    <n v="3"/>
    <n v="4"/>
    <n v="2"/>
    <n v="2"/>
    <n v="4"/>
    <n v="1"/>
    <n v="1"/>
    <n v="2"/>
    <m/>
    <m/>
    <m/>
    <n v="1"/>
    <m/>
    <n v="1"/>
    <m/>
    <m/>
    <m/>
    <n v="2"/>
    <m/>
    <n v="2"/>
    <n v="2"/>
    <n v="1"/>
    <n v="2"/>
    <n v="2"/>
    <n v="1"/>
    <n v="2"/>
    <n v="2"/>
    <n v="2"/>
    <m/>
    <n v="2"/>
    <n v="1"/>
    <n v="1"/>
    <n v="1"/>
    <n v="3"/>
    <n v="3"/>
    <n v="1"/>
    <n v="8"/>
    <n v="1"/>
    <n v="3"/>
    <n v="2"/>
    <m/>
    <m/>
    <n v="1"/>
    <n v="2"/>
    <n v="1"/>
    <n v="1"/>
    <n v="1"/>
    <n v="1"/>
    <n v="1"/>
    <n v="1"/>
    <n v="1"/>
    <n v="7"/>
    <m/>
    <n v="1"/>
    <n v="2"/>
    <n v="6"/>
    <m/>
    <n v="1"/>
    <n v="3"/>
    <n v="3"/>
    <x v="2"/>
    <n v="1994"/>
    <n v="3"/>
    <m/>
    <n v="3"/>
    <m/>
    <n v="2"/>
    <m/>
    <n v="2"/>
    <m/>
    <n v="4"/>
    <n v="1"/>
    <n v="19"/>
    <x v="1"/>
    <n v="2"/>
    <n v="4"/>
    <n v="2"/>
  </r>
  <r>
    <x v="2"/>
    <m/>
    <n v="1"/>
    <n v="3"/>
    <n v="1"/>
    <n v="1"/>
    <n v="2"/>
    <n v="5"/>
    <n v="2"/>
    <n v="3"/>
    <n v="2"/>
    <n v="4"/>
    <n v="2"/>
    <n v="3"/>
    <n v="2"/>
    <n v="1"/>
    <n v="4"/>
    <n v="1"/>
    <n v="4"/>
    <n v="4"/>
    <n v="2"/>
    <n v="2"/>
    <m/>
    <m/>
    <n v="1"/>
    <n v="1"/>
    <m/>
    <m/>
    <n v="1"/>
    <m/>
    <m/>
    <n v="1"/>
    <m/>
    <n v="2"/>
    <n v="2"/>
    <n v="1"/>
    <n v="2"/>
    <n v="2"/>
    <n v="2"/>
    <n v="1"/>
    <n v="2"/>
    <n v="1"/>
    <n v="2"/>
    <n v="3"/>
    <n v="1"/>
    <n v="2"/>
    <n v="3"/>
    <n v="4"/>
    <n v="2"/>
    <n v="3"/>
    <n v="8"/>
    <n v="4"/>
    <n v="2"/>
    <n v="1"/>
    <m/>
    <m/>
    <n v="1"/>
    <n v="1"/>
    <n v="1"/>
    <n v="1"/>
    <n v="1"/>
    <n v="1"/>
    <n v="1"/>
    <n v="2"/>
    <n v="3"/>
    <n v="2"/>
    <m/>
    <n v="2"/>
    <m/>
    <m/>
    <m/>
    <n v="3"/>
    <n v="2"/>
    <n v="2"/>
    <x v="1"/>
    <n v="1983"/>
    <n v="2"/>
    <m/>
    <n v="2"/>
    <m/>
    <n v="1"/>
    <m/>
    <n v="3"/>
    <m/>
    <n v="1"/>
    <n v="1"/>
    <n v="30"/>
    <x v="1"/>
    <n v="2"/>
    <n v="4"/>
    <n v="2"/>
  </r>
  <r>
    <x v="1"/>
    <m/>
    <n v="1"/>
    <n v="2"/>
    <n v="2"/>
    <n v="2"/>
    <n v="5"/>
    <n v="2"/>
    <n v="1"/>
    <n v="3"/>
    <n v="3"/>
    <n v="1"/>
    <n v="4"/>
    <n v="2"/>
    <n v="3"/>
    <n v="2"/>
    <n v="4"/>
    <n v="4"/>
    <n v="3"/>
    <n v="1"/>
    <n v="2"/>
    <n v="2"/>
    <n v="1"/>
    <n v="1"/>
    <m/>
    <n v="1"/>
    <n v="1"/>
    <n v="1"/>
    <m/>
    <m/>
    <m/>
    <n v="1"/>
    <m/>
    <n v="2"/>
    <n v="2"/>
    <n v="1"/>
    <n v="2"/>
    <n v="2"/>
    <n v="1"/>
    <n v="2"/>
    <n v="2"/>
    <n v="2"/>
    <m/>
    <n v="1"/>
    <n v="4"/>
    <n v="3"/>
    <n v="2"/>
    <n v="1"/>
    <n v="3"/>
    <n v="2"/>
    <n v="8"/>
    <n v="2"/>
    <n v="1"/>
    <m/>
    <m/>
    <m/>
    <n v="2"/>
    <n v="1"/>
    <n v="2"/>
    <n v="2"/>
    <n v="1"/>
    <n v="2"/>
    <n v="1"/>
    <n v="1"/>
    <n v="2"/>
    <n v="2"/>
    <m/>
    <n v="1"/>
    <n v="1"/>
    <n v="1"/>
    <m/>
    <n v="8"/>
    <n v="3"/>
    <n v="5"/>
    <x v="1"/>
    <n v="1975"/>
    <n v="3"/>
    <m/>
    <n v="2"/>
    <m/>
    <n v="4"/>
    <m/>
    <n v="2"/>
    <m/>
    <n v="3"/>
    <n v="1"/>
    <n v="38"/>
    <x v="1"/>
    <n v="2"/>
    <n v="2"/>
    <n v="1"/>
  </r>
  <r>
    <x v="4"/>
    <m/>
    <n v="3"/>
    <n v="1"/>
    <n v="3"/>
    <n v="7"/>
    <n v="5"/>
    <n v="5"/>
    <n v="2"/>
    <n v="3"/>
    <n v="2"/>
    <n v="2"/>
    <n v="4"/>
    <n v="3"/>
    <n v="2"/>
    <n v="3"/>
    <n v="4"/>
    <n v="1"/>
    <n v="2"/>
    <n v="2"/>
    <n v="1"/>
    <n v="1"/>
    <m/>
    <m/>
    <n v="1"/>
    <m/>
    <m/>
    <n v="1"/>
    <m/>
    <n v="1"/>
    <m/>
    <n v="1"/>
    <m/>
    <n v="2"/>
    <n v="2"/>
    <n v="1"/>
    <n v="1"/>
    <n v="2"/>
    <n v="2"/>
    <n v="2"/>
    <n v="2"/>
    <n v="2"/>
    <m/>
    <n v="2"/>
    <n v="1"/>
    <n v="4"/>
    <n v="2"/>
    <n v="2"/>
    <n v="2"/>
    <n v="1"/>
    <n v="8"/>
    <n v="3"/>
    <n v="3"/>
    <n v="3"/>
    <m/>
    <m/>
    <n v="2"/>
    <n v="2"/>
    <n v="2"/>
    <n v="2"/>
    <n v="2"/>
    <n v="2"/>
    <n v="1"/>
    <n v="1"/>
    <n v="2"/>
    <n v="3"/>
    <m/>
    <n v="1"/>
    <n v="2"/>
    <n v="5"/>
    <m/>
    <n v="2"/>
    <n v="2"/>
    <n v="5"/>
    <x v="1"/>
    <n v="1979"/>
    <n v="3"/>
    <m/>
    <n v="1"/>
    <m/>
    <n v="1"/>
    <m/>
    <n v="1"/>
    <m/>
    <n v="2"/>
    <n v="1"/>
    <n v="34"/>
    <x v="1"/>
    <n v="1"/>
    <n v="1"/>
    <n v="1"/>
  </r>
  <r>
    <x v="1"/>
    <m/>
    <n v="2"/>
    <n v="4"/>
    <n v="1"/>
    <n v="1"/>
    <n v="1"/>
    <n v="3"/>
    <n v="3"/>
    <n v="3"/>
    <n v="3"/>
    <n v="2"/>
    <n v="2"/>
    <n v="2"/>
    <n v="4"/>
    <n v="2"/>
    <n v="1"/>
    <n v="4"/>
    <n v="2"/>
    <n v="3"/>
    <n v="1"/>
    <n v="2"/>
    <m/>
    <m/>
    <n v="1"/>
    <m/>
    <m/>
    <m/>
    <m/>
    <m/>
    <m/>
    <n v="1"/>
    <m/>
    <n v="2"/>
    <n v="2"/>
    <n v="2"/>
    <n v="1"/>
    <n v="2"/>
    <n v="1"/>
    <n v="1"/>
    <n v="1"/>
    <n v="2"/>
    <m/>
    <n v="3"/>
    <n v="2"/>
    <n v="1"/>
    <n v="2"/>
    <n v="4"/>
    <n v="4"/>
    <n v="4"/>
    <n v="3"/>
    <n v="8"/>
    <n v="1"/>
    <m/>
    <m/>
    <m/>
    <n v="2"/>
    <n v="2"/>
    <n v="2"/>
    <n v="2"/>
    <n v="2"/>
    <n v="2"/>
    <n v="2"/>
    <n v="2"/>
    <n v="3"/>
    <n v="5"/>
    <m/>
    <n v="2"/>
    <m/>
    <m/>
    <m/>
    <n v="1"/>
    <n v="1"/>
    <n v="5"/>
    <x v="1"/>
    <n v="1957"/>
    <n v="3"/>
    <m/>
    <n v="1"/>
    <m/>
    <n v="3"/>
    <m/>
    <n v="4"/>
    <m/>
    <n v="3"/>
    <n v="1"/>
    <n v="56"/>
    <x v="2"/>
    <n v="1"/>
    <n v="1"/>
    <n v="1"/>
  </r>
  <r>
    <x v="2"/>
    <m/>
    <n v="2"/>
    <n v="7"/>
    <n v="2"/>
    <n v="2"/>
    <n v="4"/>
    <n v="2"/>
    <n v="1"/>
    <n v="2"/>
    <n v="2"/>
    <n v="3"/>
    <n v="4"/>
    <n v="4"/>
    <n v="2"/>
    <n v="1"/>
    <n v="2"/>
    <n v="1"/>
    <n v="3"/>
    <n v="1"/>
    <n v="2"/>
    <n v="1"/>
    <n v="1"/>
    <n v="1"/>
    <n v="1"/>
    <m/>
    <m/>
    <m/>
    <n v="1"/>
    <m/>
    <m/>
    <n v="1"/>
    <m/>
    <n v="1"/>
    <n v="2"/>
    <n v="1"/>
    <n v="1"/>
    <n v="1"/>
    <n v="2"/>
    <n v="2"/>
    <n v="1"/>
    <n v="1"/>
    <n v="2"/>
    <n v="1"/>
    <n v="3"/>
    <n v="7"/>
    <n v="3"/>
    <n v="1"/>
    <n v="2"/>
    <n v="2"/>
    <n v="2"/>
    <n v="2"/>
    <n v="4"/>
    <n v="4"/>
    <m/>
    <m/>
    <n v="1"/>
    <n v="1"/>
    <n v="1"/>
    <n v="2"/>
    <n v="2"/>
    <n v="1"/>
    <n v="2"/>
    <n v="2"/>
    <n v="3"/>
    <n v="98"/>
    <m/>
    <n v="1"/>
    <n v="4"/>
    <n v="4"/>
    <m/>
    <n v="2"/>
    <n v="3"/>
    <m/>
    <x v="2"/>
    <n v="1946"/>
    <n v="2"/>
    <m/>
    <n v="5"/>
    <m/>
    <n v="2"/>
    <m/>
    <n v="2"/>
    <m/>
    <n v="2"/>
    <n v="1"/>
    <n v="67"/>
    <x v="3"/>
    <n v="2"/>
    <n v="4"/>
    <n v="3"/>
  </r>
  <r>
    <x v="2"/>
    <m/>
    <n v="2"/>
    <n v="2"/>
    <n v="4"/>
    <n v="3"/>
    <n v="2"/>
    <n v="5"/>
    <n v="2"/>
    <n v="2"/>
    <n v="3"/>
    <n v="2"/>
    <n v="3"/>
    <n v="2"/>
    <n v="3"/>
    <n v="1"/>
    <n v="3"/>
    <n v="2"/>
    <n v="2"/>
    <n v="2"/>
    <n v="2"/>
    <n v="2"/>
    <n v="1"/>
    <m/>
    <m/>
    <m/>
    <n v="1"/>
    <n v="1"/>
    <m/>
    <m/>
    <m/>
    <n v="1"/>
    <m/>
    <n v="1"/>
    <n v="2"/>
    <n v="2"/>
    <n v="2"/>
    <n v="1"/>
    <n v="1"/>
    <n v="1"/>
    <n v="1"/>
    <n v="2"/>
    <m/>
    <n v="2"/>
    <n v="1"/>
    <n v="4"/>
    <n v="3"/>
    <n v="3"/>
    <n v="3"/>
    <n v="3"/>
    <n v="1"/>
    <n v="1"/>
    <n v="1"/>
    <m/>
    <m/>
    <m/>
    <n v="1"/>
    <n v="2"/>
    <n v="1"/>
    <n v="1"/>
    <n v="1"/>
    <n v="1"/>
    <n v="1"/>
    <n v="1"/>
    <n v="2"/>
    <n v="1"/>
    <m/>
    <n v="1"/>
    <n v="2"/>
    <n v="98"/>
    <m/>
    <n v="3"/>
    <n v="2"/>
    <n v="1"/>
    <x v="1"/>
    <n v="1947"/>
    <n v="1"/>
    <m/>
    <n v="6"/>
    <m/>
    <n v="4"/>
    <m/>
    <n v="1"/>
    <m/>
    <n v="2"/>
    <n v="1"/>
    <n v="66"/>
    <x v="3"/>
    <n v="2"/>
    <n v="3"/>
    <n v="2"/>
  </r>
  <r>
    <x v="3"/>
    <m/>
    <n v="3"/>
    <n v="2"/>
    <n v="7"/>
    <n v="3"/>
    <n v="3"/>
    <n v="2"/>
    <n v="1"/>
    <n v="2"/>
    <n v="2"/>
    <n v="2"/>
    <n v="2"/>
    <n v="3"/>
    <n v="2"/>
    <n v="2"/>
    <n v="2"/>
    <n v="3"/>
    <n v="3"/>
    <n v="4"/>
    <n v="2"/>
    <n v="1"/>
    <m/>
    <n v="1"/>
    <n v="1"/>
    <n v="1"/>
    <m/>
    <m/>
    <m/>
    <m/>
    <m/>
    <n v="2"/>
    <m/>
    <n v="1"/>
    <n v="2"/>
    <n v="1"/>
    <n v="2"/>
    <n v="1"/>
    <n v="2"/>
    <n v="2"/>
    <n v="1"/>
    <n v="2"/>
    <m/>
    <n v="3"/>
    <n v="7"/>
    <n v="1"/>
    <n v="1"/>
    <n v="2"/>
    <n v="2"/>
    <n v="2"/>
    <n v="3"/>
    <n v="3"/>
    <n v="2"/>
    <n v="3"/>
    <m/>
    <m/>
    <n v="2"/>
    <n v="1"/>
    <n v="1"/>
    <n v="1"/>
    <n v="2"/>
    <n v="2"/>
    <n v="2"/>
    <n v="2"/>
    <n v="4"/>
    <m/>
    <m/>
    <n v="2"/>
    <m/>
    <m/>
    <m/>
    <n v="5"/>
    <n v="4"/>
    <n v="3"/>
    <x v="2"/>
    <n v="1984"/>
    <n v="3"/>
    <m/>
    <n v="4"/>
    <m/>
    <n v="6"/>
    <m/>
    <n v="3"/>
    <m/>
    <n v="1"/>
    <n v="1"/>
    <n v="29"/>
    <x v="1"/>
    <n v="2"/>
    <n v="4"/>
    <n v="2"/>
  </r>
  <r>
    <x v="4"/>
    <m/>
    <n v="3"/>
    <n v="4"/>
    <n v="2"/>
    <n v="2"/>
    <n v="5"/>
    <n v="4"/>
    <n v="2"/>
    <n v="2"/>
    <n v="2"/>
    <n v="1"/>
    <n v="1"/>
    <n v="2"/>
    <n v="1"/>
    <n v="4"/>
    <n v="1"/>
    <n v="3"/>
    <n v="1"/>
    <n v="1"/>
    <n v="1"/>
    <n v="2"/>
    <n v="1"/>
    <m/>
    <n v="1"/>
    <m/>
    <m/>
    <n v="1"/>
    <n v="1"/>
    <m/>
    <m/>
    <n v="2"/>
    <m/>
    <n v="2"/>
    <n v="1"/>
    <n v="2"/>
    <n v="1"/>
    <n v="1"/>
    <n v="1"/>
    <n v="1"/>
    <n v="2"/>
    <n v="1"/>
    <n v="1"/>
    <n v="4"/>
    <n v="1"/>
    <n v="2"/>
    <n v="1"/>
    <n v="2"/>
    <n v="1"/>
    <n v="1"/>
    <n v="2"/>
    <n v="8"/>
    <n v="3"/>
    <n v="2"/>
    <m/>
    <m/>
    <n v="1"/>
    <n v="2"/>
    <n v="2"/>
    <n v="2"/>
    <n v="2"/>
    <n v="2"/>
    <n v="1"/>
    <n v="1"/>
    <n v="1"/>
    <n v="8"/>
    <m/>
    <n v="2"/>
    <m/>
    <m/>
    <m/>
    <n v="3"/>
    <n v="3"/>
    <n v="1"/>
    <x v="1"/>
    <n v="1989"/>
    <n v="2"/>
    <m/>
    <n v="7"/>
    <m/>
    <n v="4"/>
    <m/>
    <n v="2"/>
    <m/>
    <n v="2"/>
    <n v="1"/>
    <n v="24"/>
    <x v="1"/>
    <n v="2"/>
    <n v="2"/>
    <n v="2"/>
  </r>
  <r>
    <x v="2"/>
    <m/>
    <n v="1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4"/>
    <n v="3"/>
  </r>
  <r>
    <x v="1"/>
    <m/>
    <n v="4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7"/>
    <m/>
    <m/>
    <m/>
    <m/>
    <m/>
    <m/>
    <m/>
    <m/>
    <m/>
    <n v="1"/>
    <n v="26"/>
    <x v="1"/>
    <n v="2"/>
    <n v="4"/>
    <n v="3"/>
  </r>
  <r>
    <x v="5"/>
    <m/>
    <n v="1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3"/>
    <n v="3"/>
  </r>
  <r>
    <x v="2"/>
    <m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1"/>
    <m/>
    <m/>
    <m/>
    <m/>
    <m/>
    <m/>
    <m/>
    <m/>
    <m/>
    <n v="1"/>
    <n v="32"/>
    <x v="1"/>
    <n v="2"/>
    <n v="4"/>
    <n v="3"/>
  </r>
  <r>
    <x v="4"/>
    <m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70"/>
    <m/>
    <m/>
    <m/>
    <m/>
    <m/>
    <m/>
    <m/>
    <m/>
    <m/>
    <n v="1"/>
    <n v="43"/>
    <x v="2"/>
    <n v="2"/>
    <n v="4"/>
    <n v="3"/>
  </r>
  <r>
    <x v="1"/>
    <m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</pivotCacheRecords>
</file>

<file path=xl/pivotCache/pivotCacheRecords17.xml><?xml version="1.0" encoding="utf-8"?>
<pivotCacheRecords xmlns="http://schemas.openxmlformats.org/spreadsheetml/2006/main" xmlns:r="http://schemas.openxmlformats.org/officeDocument/2006/relationships" count="632">
  <r>
    <s v="Quel est le problème de sécurité qui vous préoccupe le plus dans votre quartier ?"/>
    <x v="0"/>
    <s v="Dites-nous à combien vous évaluez le risque d'être personnellement intimidé(e) ou agressé(e) dans votre quartier : Lorsque vous sortez seul(e) PENDANT LE JOUR, ce risque est : "/>
    <s v="Dites-nous à combien vous évaluez le risque d'être personnellement intimidé(e) ou agressé(e) dans votre quartier : Lorsque vous sortez seul(e) APRÈS LA TOMBÉE DU JOUR, ce risque est : "/>
    <s v="Dites-nous à combien vous évaluez le risque d'être personnellement intimidé(e) ou agressé(e) dans votre quartier : Lorsque vous attendez ou prenez le transport en commun, ce risque est …"/>
    <s v="Dites-nous à combien vous évaluez le risque que les jeunes de moins de 18 ans qui vivent avec vous (à temps plein ou à temps partiel) soient intimidés ou agressés lorqu'ils vont dehors dans votre quartier. Ce risque est …"/>
    <s v="Habituellement, combien de fois sortez-vous seul(e) dans votre quartier APRÈS LA TOMBÉE DU JOUR ? Est-ce ... "/>
    <s v="Dans votre quartier, les problèmes causés par des gens bruyants sont … ?"/>
    <s v="Dans votre quartier, les désordres liés à la consommation d'alcool dans les lieux publics sont … ?"/>
    <s v="Dans votre quartier, les désordres liés à la vente ou à la consommation de drogue sont … ?"/>
    <s v="Dans votre quartier, les problèmes liés à la criminalité sont … ?"/>
    <s v="Dans votre quartier, les problèmes causés par les gens qui traînent dans les lieux publics sont … ?"/>
    <s v="Dans votre quartier, les actes de vandalisme sont … ?"/>
    <s v="Dans votre quartier, les conflits entre les groupes d'origines ethniques différentes sont … ?"/>
    <s v="Dans votre quartier, les conflits entre d'autres groupes d'individus sont … ?"/>
    <s v="Dans votre quartier, les graffiti sont … ?"/>
    <s v="Dans votre quartier, les immeubles ou bâtiments abandonnés ou mal entretenus sont... ?"/>
    <s v="Dans votre quartier, le niveau d'entraide entre les personnes est... ?"/>
    <s v="Dans votre quartier, le niveau de confiance qui règne entre la plupart des personnes est... ?"/>
    <s v="Dans votre quartier, les comportements des jeunes ou des groupes de jeunes sont-ils pour vous une source de menace ou d'insécurité ?"/>
    <s v="Y a-t-il d'autres individus ou des groupes d'individus dont les comportements sont pour vous une source de menace ou d'insécurité ?"/>
    <s v="De quel type ou groupe d'individus s'agit-il ?  Toxicomanes ou revendeur de drogue"/>
    <s v="De quel type ou groupe d'individus s'agit-il ? Gangs de motards / milieu criminel"/>
    <s v="De quel type ou groupe d'individus s'agit-il ? Sollicitation (vendeurs, mouvements religieux, ex-détenus, etc.)"/>
    <s v="De quel type ou groupe d'individus s'agit-il ? Itinérants"/>
    <s v="De quel type ou groupe d'individus s'agit-il ? Individus ou groupes d'individus en état d'ébriété"/>
    <s v="De quel type ou groupe d'individus s'agit-il ? Personnes d'une communauté culturelle différente de la mienne"/>
    <s v="De quel type ou groupe d'individus s'agit-il ? Voisins"/>
    <s v="De quel type ou groupe d'individus s'agit-il ? Autre"/>
    <s v="De quel type ou groupe d'individus s'agit-il ? Autre, précisez"/>
    <s v="Y a-t-il dans votre quartier des endroits que vous évitez de fréquenter pour des raisons de sécurité ?"/>
    <s v="Lesquels ?"/>
    <s v="Veuillez répondre à chacun des énoncés suivants. Quand je me déplace dans mon quartier, j'apporte habituellement quelque chose pour assurer ma protection. "/>
    <s v="Veuillez répondre à chacun des énoncés suivants. Lorsque je suis dans mon quartier, je vérifie qu'aucun intrus ne se trouve à l'intérieur de ma voiture avant d'y monter."/>
    <s v="Veuillez répondre à chacun des énoncés suivants. À mon domicile, j'évite d'ouvrir la porte à des inconnus, pour des raisons de sécurité. "/>
    <s v="Veuillez répondre à chacun des énoncés suivants. Je garde les portes extérieures de mon domicile constamment verrouillées, même lorsque je suis chez moi. "/>
    <s v="Veuillez répondre à chacun des énoncés suivants. Spécialement par mesure de protection, il y a un chien à mon domicile. "/>
    <s v="Veuillez répondre à chacun des énoncés suivants. J'ai un système d'alarme que j'active régulièrement pour protéger mon domicile contre le vol."/>
    <s v="Veuillez répondre à chacun des énoncés suivants. Spécialement par mesure de protection, j'ai suivi un cours d'autodéfense. "/>
    <s v="Veuillez répondre à chacun des énoncés suivants. Spécialement par mesure de protection, il y a une arme à feu à mon domicile. "/>
    <s v="Est-ce qu'il y a à votre domicile au moins un détecteur de fumée fonctionnel par étage ? "/>
    <s v="Le bon fonctionnement de cet/ces appareil(s) a-t-il été vérifié, au cours des douze (12) derniers mois ?"/>
    <s v="Veuillez nous dire votre degré de satisfaction à l'égard : du déneigement et du déglaçage des rues et des trottoirs de votre quartier ? "/>
    <s v="Veuillez nous dire votre degré de satisfaction à l'égard :  de la propreté et de l'entretien des parcs et terrains de jeux de votre quartier ?"/>
    <s v="Veuillez nous dire votre degré de satisfaction à l'égard :  de la sécurité des équipements dans les parcs, aires de jeux ou centre récréatif ou sportif de votre quartier ? "/>
    <s v="Votre quartier est-il desservi par un service de police municipal, une régie intermunicipale ou par la Sûreté du Québec ?"/>
    <s v="Quel est votre niveau de satisfaction à l'égard de la présence des policiers dans votre quartier ?"/>
    <s v="Quel est votre niveau de satisfaction à l'égard du travail effectué par les policiers dans votre quartier ?"/>
    <s v="De façon plus spécifique, quel est votre niveau de satisfaction à l'égard du travail effectué par les policiers : auprès des jeunes de votre quartier"/>
    <s v="De façon plus spécifique, quel est votre niveau de satisfaction à l'égard du travail effectué par les policiers : pour assurer la sécurité routière dans votre quartier"/>
    <s v="De façon plus spécifique, quel est votre niveau de satisfaction à l'égard du travail effectué par les policiers : pour régler des problèmes de délinquance ou de désordres qui surviennent dans votre quartier"/>
    <s v="Au cours des deux dernières années, combien de fois avez-vous fait appel au service de police qui dessert votre quartier ?"/>
    <s v="En vous référant à l'événement le plus récent, quel est votre niveau de satisfaction à l'égard de la réponse que vous avez reçue ?"/>
    <s v="Pourquoi ? Peu"/>
    <s v="Pourquoi ? Pas"/>
    <s v="Au cours des deux dernières années, vous êtes vous IMPLIQUÉ SUR UNE BASE RÉGULIÈRE dans les activités suivantes de votre quartier : Dans un comité ou un organisme préoccupé par les problèmes de sécurité de votre quartier ?"/>
    <s v="Au cours des deux dernières années, vous êtes vous IMPLIQUÉ SUR UNE BASE RÉGULIÈRE dans les activités suivantes de votre quartier : Dans des assemblées du conseil municipal ?"/>
    <s v="Au cours des deux dernières années, vous êtes vous IMPLIQUÉ SUR UNE BASE RÉGULIÈRE dans les activités suivantes de votre quartier : Dans un conseil de quartier ou d'arrondissement ?"/>
    <s v="Au cours des deux dernières années, vous êtes vous IMPLIQUÉ SUR UNE BASE RÉGULIÈRE dans les activités suivantes de votre quartier : Dans un comité de citoyens ?"/>
    <s v="Au cours des deux dernières années, vous êtes vous IMPLIQUÉ SUR UNE BASE RÉGULIÈRE dans les activités suivantes de votre quartier : Dans des activités communautaires, d'entraide ou de bénévolat (cuisine communautaire, bazar)"/>
    <s v="Au cours des deux dernières années, vous êtes vous IMPLIQUÉ SUR UNE BASE RÉGULIÈRE dans les activités suivantes de votre quartier : Dans des activités sociales, culturelles ou sportives organisées par les gens de votre quartier ou de votre municipalité ?"/>
    <s v="Au cours des deux dernières années, avez-vous été victime de vol, de vandalisme ou de tout autre crime contre vos biens, chez vous ou dans votre quartier ?"/>
    <s v="Au cours des deux dernières années, avez-vous été victime d'une agression, d'intimidation ou de tout autre acte de violence, chez vous ou dans votre quartier ?"/>
    <s v="Au cours des deux dernières années avez-vous été victime dans votre quartier d'une quelconque forme de discrimination ?"/>
    <s v="À votre avis, le motif de cette discrimination était lié …"/>
    <s v="Autre, précisez :"/>
    <s v="Au cours des deux dernières années, avez-vous subi un accident qui vous a occasionné une blessure pour laquelle vous avez dû consulter un professionnel de la santé ou limiter vos activités ?"/>
    <s v="Combien de fois cela s'est-il produit ?"/>
    <s v="En se référant au dernier événement, était-ce … ?"/>
    <s v="Autre, précisez :"/>
    <s v="Maintenant, comparativement à d'autres personnes de votre âge, dirirez-vous que votre santé est en général …"/>
    <s v="Dans quel quartier habitez-vous ?"/>
    <s v="Combien de personne de moins de 18 ans habitent dans votre foyer ?"/>
    <x v="0"/>
    <s v="Quelle est votre année de naissance ?"/>
    <s v="Êtes-vous propriétaire ou locataire du logement que vous habitez ?"/>
    <s v="Autre, précisez : "/>
    <s v="Habitez-vous dans …"/>
    <s v="Autre, précisez : "/>
    <s v="Quel est votre état civil ?"/>
    <s v="Autre, précisez : "/>
    <s v="Où est situé votre lieu de travail habituel ?"/>
    <s v="Autre, précisez : "/>
    <s v="Quel est le plus haut niveau de scolarité que vous avez complété ?"/>
    <m/>
    <m/>
    <m/>
    <m/>
    <m/>
    <m/>
  </r>
  <r>
    <m/>
    <x v="1"/>
    <n v="7"/>
    <n v="3"/>
    <n v="4"/>
    <n v="1"/>
    <n v="1"/>
    <n v="2"/>
    <n v="1"/>
    <n v="4"/>
    <n v="3"/>
    <n v="3"/>
    <n v="2"/>
    <n v="1"/>
    <n v="2"/>
    <n v="2"/>
    <n v="4"/>
    <n v="3"/>
    <n v="1"/>
    <n v="1"/>
    <n v="1"/>
    <m/>
    <n v="1"/>
    <m/>
    <n v="1"/>
    <n v="1"/>
    <n v="1"/>
    <n v="1"/>
    <m/>
    <m/>
    <n v="1"/>
    <m/>
    <n v="2"/>
    <n v="2"/>
    <n v="1"/>
    <n v="1"/>
    <n v="1"/>
    <n v="2"/>
    <n v="1"/>
    <n v="2"/>
    <n v="2"/>
    <m/>
    <n v="1"/>
    <n v="7"/>
    <n v="4"/>
    <n v="8"/>
    <n v="1"/>
    <n v="4"/>
    <n v="8"/>
    <n v="2"/>
    <n v="2"/>
    <n v="1"/>
    <m/>
    <m/>
    <m/>
    <n v="1"/>
    <n v="2"/>
    <n v="1"/>
    <n v="2"/>
    <n v="2"/>
    <n v="1"/>
    <n v="1"/>
    <n v="2"/>
    <n v="1"/>
    <n v="2"/>
    <m/>
    <n v="1"/>
    <n v="4"/>
    <n v="5"/>
    <m/>
    <n v="2"/>
    <n v="4"/>
    <n v="5"/>
    <x v="1"/>
    <n v="1981"/>
    <n v="2"/>
    <m/>
    <n v="7"/>
    <m/>
    <n v="1"/>
    <m/>
    <n v="1"/>
    <m/>
    <n v="4"/>
    <n v="1"/>
    <n v="32"/>
    <n v="1"/>
    <n v="1"/>
    <n v="1"/>
    <n v="1"/>
  </r>
  <r>
    <m/>
    <x v="2"/>
    <n v="4"/>
    <n v="2"/>
    <n v="1"/>
    <n v="1"/>
    <n v="2"/>
    <n v="3"/>
    <n v="1"/>
    <n v="4"/>
    <n v="2"/>
    <n v="2"/>
    <n v="2"/>
    <n v="1"/>
    <n v="2"/>
    <n v="1"/>
    <n v="2"/>
    <n v="2"/>
    <n v="1"/>
    <n v="2"/>
    <n v="1"/>
    <m/>
    <m/>
    <n v="1"/>
    <m/>
    <n v="1"/>
    <m/>
    <n v="1"/>
    <m/>
    <m/>
    <n v="2"/>
    <m/>
    <n v="1"/>
    <n v="1"/>
    <n v="2"/>
    <n v="1"/>
    <n v="1"/>
    <n v="1"/>
    <n v="1"/>
    <n v="1"/>
    <n v="1"/>
    <n v="1"/>
    <n v="2"/>
    <n v="4"/>
    <n v="1"/>
    <n v="1"/>
    <n v="4"/>
    <n v="8"/>
    <n v="1"/>
    <n v="4"/>
    <n v="1"/>
    <n v="2"/>
    <n v="1"/>
    <m/>
    <m/>
    <n v="2"/>
    <n v="1"/>
    <n v="1"/>
    <n v="2"/>
    <n v="2"/>
    <n v="1"/>
    <n v="2"/>
    <n v="1"/>
    <n v="2"/>
    <n v="1"/>
    <m/>
    <n v="2"/>
    <m/>
    <m/>
    <m/>
    <n v="4"/>
    <n v="1"/>
    <n v="2"/>
    <x v="2"/>
    <n v="1970"/>
    <n v="1"/>
    <m/>
    <n v="5"/>
    <m/>
    <n v="2"/>
    <m/>
    <n v="2"/>
    <m/>
    <n v="1"/>
    <n v="1"/>
    <n v="43"/>
    <n v="2"/>
    <n v="2"/>
    <n v="3"/>
    <n v="2"/>
  </r>
  <r>
    <m/>
    <x v="3"/>
    <n v="4"/>
    <n v="1"/>
    <n v="2"/>
    <n v="2"/>
    <n v="4"/>
    <n v="3"/>
    <n v="1"/>
    <n v="4"/>
    <n v="2"/>
    <n v="1"/>
    <n v="2"/>
    <n v="1"/>
    <n v="3"/>
    <n v="2"/>
    <n v="3"/>
    <n v="1"/>
    <n v="2"/>
    <n v="1"/>
    <n v="2"/>
    <n v="1"/>
    <m/>
    <m/>
    <m/>
    <n v="1"/>
    <n v="1"/>
    <m/>
    <n v="1"/>
    <m/>
    <n v="2"/>
    <m/>
    <n v="1"/>
    <n v="1"/>
    <n v="2"/>
    <n v="1"/>
    <n v="1"/>
    <n v="1"/>
    <n v="2"/>
    <n v="1"/>
    <n v="1"/>
    <n v="2"/>
    <n v="3"/>
    <n v="1"/>
    <n v="2"/>
    <n v="3"/>
    <n v="2"/>
    <n v="1"/>
    <n v="2"/>
    <n v="3"/>
    <n v="4"/>
    <n v="3"/>
    <n v="3"/>
    <m/>
    <m/>
    <n v="2"/>
    <n v="1"/>
    <n v="2"/>
    <n v="2"/>
    <n v="2"/>
    <n v="2"/>
    <n v="2"/>
    <n v="1"/>
    <n v="3"/>
    <n v="3"/>
    <m/>
    <n v="1"/>
    <n v="2"/>
    <n v="8"/>
    <m/>
    <n v="5"/>
    <n v="4"/>
    <n v="4"/>
    <x v="2"/>
    <n v="1990"/>
    <n v="3"/>
    <m/>
    <n v="4"/>
    <m/>
    <n v="4"/>
    <m/>
    <n v="3"/>
    <m/>
    <n v="2"/>
    <n v="1"/>
    <n v="23"/>
    <n v="1"/>
    <n v="2"/>
    <n v="4"/>
    <n v="2"/>
  </r>
  <r>
    <m/>
    <x v="4"/>
    <n v="2"/>
    <n v="2"/>
    <n v="3"/>
    <n v="4"/>
    <n v="1"/>
    <n v="3"/>
    <n v="2"/>
    <n v="2"/>
    <n v="2"/>
    <n v="2"/>
    <n v="2"/>
    <n v="1"/>
    <n v="2"/>
    <n v="3"/>
    <n v="3"/>
    <n v="1"/>
    <n v="3"/>
    <n v="1"/>
    <n v="1"/>
    <n v="1"/>
    <n v="1"/>
    <m/>
    <n v="1"/>
    <n v="1"/>
    <n v="1"/>
    <n v="1"/>
    <m/>
    <m/>
    <n v="2"/>
    <m/>
    <n v="1"/>
    <n v="1"/>
    <n v="2"/>
    <n v="2"/>
    <n v="1"/>
    <n v="2"/>
    <n v="2"/>
    <n v="1"/>
    <n v="1"/>
    <n v="1"/>
    <n v="4"/>
    <n v="3"/>
    <n v="3"/>
    <n v="2"/>
    <n v="3"/>
    <n v="1"/>
    <n v="3"/>
    <n v="2"/>
    <n v="2"/>
    <n v="4"/>
    <n v="2"/>
    <m/>
    <m/>
    <n v="2"/>
    <n v="1"/>
    <n v="2"/>
    <n v="2"/>
    <n v="1"/>
    <n v="2"/>
    <n v="2"/>
    <n v="2"/>
    <n v="4"/>
    <m/>
    <m/>
    <n v="1"/>
    <n v="2"/>
    <n v="7"/>
    <m/>
    <n v="1"/>
    <n v="2"/>
    <n v="1"/>
    <x v="2"/>
    <n v="1983"/>
    <n v="1"/>
    <m/>
    <n v="1"/>
    <m/>
    <n v="1"/>
    <m/>
    <n v="4"/>
    <m/>
    <n v="3"/>
    <n v="1"/>
    <n v="30"/>
    <n v="1"/>
    <n v="2"/>
    <n v="3"/>
    <n v="2"/>
  </r>
  <r>
    <m/>
    <x v="4"/>
    <n v="1"/>
    <n v="7"/>
    <n v="2"/>
    <n v="2"/>
    <n v="5"/>
    <n v="2"/>
    <n v="4"/>
    <n v="1"/>
    <n v="1"/>
    <n v="2"/>
    <n v="1"/>
    <n v="2"/>
    <n v="2"/>
    <n v="3"/>
    <n v="2"/>
    <n v="1"/>
    <n v="2"/>
    <n v="2"/>
    <n v="1"/>
    <m/>
    <n v="1"/>
    <n v="1"/>
    <n v="1"/>
    <n v="1"/>
    <n v="1"/>
    <m/>
    <m/>
    <m/>
    <n v="2"/>
    <m/>
    <n v="1"/>
    <n v="1"/>
    <n v="1"/>
    <n v="2"/>
    <n v="2"/>
    <n v="2"/>
    <n v="1"/>
    <n v="2"/>
    <n v="2"/>
    <m/>
    <n v="7"/>
    <n v="3"/>
    <n v="3"/>
    <n v="1"/>
    <n v="2"/>
    <n v="3"/>
    <n v="2"/>
    <n v="1"/>
    <n v="3"/>
    <n v="2"/>
    <n v="4"/>
    <m/>
    <m/>
    <n v="1"/>
    <n v="2"/>
    <n v="2"/>
    <n v="1"/>
    <n v="1"/>
    <n v="2"/>
    <n v="2"/>
    <n v="1"/>
    <n v="1"/>
    <n v="6"/>
    <m/>
    <n v="2"/>
    <m/>
    <m/>
    <m/>
    <n v="3"/>
    <n v="3"/>
    <m/>
    <x v="2"/>
    <n v="1967"/>
    <n v="1"/>
    <m/>
    <n v="2"/>
    <m/>
    <n v="3"/>
    <m/>
    <n v="4"/>
    <m/>
    <n v="2"/>
    <n v="1"/>
    <n v="46"/>
    <n v="2"/>
    <n v="3"/>
    <n v="5"/>
    <n v="3"/>
  </r>
  <r>
    <m/>
    <x v="4"/>
    <n v="2"/>
    <n v="4"/>
    <n v="1"/>
    <n v="3"/>
    <n v="2"/>
    <n v="4"/>
    <n v="1"/>
    <n v="2"/>
    <n v="1"/>
    <n v="3"/>
    <n v="1"/>
    <n v="2"/>
    <n v="1"/>
    <n v="3"/>
    <n v="1"/>
    <n v="1"/>
    <n v="2"/>
    <n v="1"/>
    <n v="1"/>
    <m/>
    <n v="1"/>
    <m/>
    <m/>
    <m/>
    <n v="1"/>
    <m/>
    <m/>
    <m/>
    <n v="2"/>
    <m/>
    <n v="1"/>
    <n v="1"/>
    <n v="1"/>
    <n v="2"/>
    <n v="2"/>
    <n v="1"/>
    <n v="1"/>
    <n v="2"/>
    <n v="1"/>
    <n v="1"/>
    <n v="4"/>
    <n v="2"/>
    <n v="2"/>
    <n v="2"/>
    <n v="3"/>
    <n v="2"/>
    <n v="4"/>
    <n v="4"/>
    <n v="2"/>
    <n v="1"/>
    <m/>
    <m/>
    <m/>
    <n v="1"/>
    <n v="2"/>
    <n v="1"/>
    <n v="1"/>
    <n v="2"/>
    <n v="1"/>
    <n v="1"/>
    <n v="2"/>
    <n v="4"/>
    <m/>
    <m/>
    <n v="2"/>
    <m/>
    <m/>
    <m/>
    <n v="2"/>
    <n v="2"/>
    <n v="1"/>
    <x v="2"/>
    <n v="1962"/>
    <n v="2"/>
    <m/>
    <n v="3"/>
    <m/>
    <n v="3"/>
    <m/>
    <n v="1"/>
    <m/>
    <n v="1"/>
    <n v="1"/>
    <n v="51"/>
    <n v="2"/>
    <n v="2"/>
    <n v="2"/>
    <n v="2"/>
  </r>
  <r>
    <m/>
    <x v="1"/>
    <n v="3"/>
    <n v="7"/>
    <n v="7"/>
    <n v="5"/>
    <n v="3"/>
    <n v="1"/>
    <n v="2"/>
    <n v="3"/>
    <n v="2"/>
    <n v="2"/>
    <n v="2"/>
    <n v="3"/>
    <n v="4"/>
    <n v="2"/>
    <n v="2"/>
    <n v="4"/>
    <n v="1"/>
    <n v="1"/>
    <n v="2"/>
    <m/>
    <m/>
    <m/>
    <n v="1"/>
    <m/>
    <n v="1"/>
    <m/>
    <m/>
    <m/>
    <n v="2"/>
    <m/>
    <n v="2"/>
    <n v="2"/>
    <n v="1"/>
    <n v="2"/>
    <n v="2"/>
    <n v="1"/>
    <n v="2"/>
    <n v="2"/>
    <n v="2"/>
    <m/>
    <n v="2"/>
    <n v="1"/>
    <n v="1"/>
    <n v="1"/>
    <n v="3"/>
    <n v="3"/>
    <n v="1"/>
    <n v="8"/>
    <n v="1"/>
    <n v="3"/>
    <n v="2"/>
    <m/>
    <m/>
    <n v="1"/>
    <n v="2"/>
    <n v="1"/>
    <n v="1"/>
    <n v="1"/>
    <n v="1"/>
    <n v="1"/>
    <n v="1"/>
    <n v="1"/>
    <n v="7"/>
    <m/>
    <n v="1"/>
    <n v="2"/>
    <n v="6"/>
    <m/>
    <n v="1"/>
    <n v="3"/>
    <n v="3"/>
    <x v="2"/>
    <n v="1994"/>
    <n v="3"/>
    <m/>
    <n v="3"/>
    <m/>
    <n v="2"/>
    <m/>
    <n v="2"/>
    <m/>
    <n v="4"/>
    <n v="1"/>
    <n v="19"/>
    <n v="1"/>
    <n v="2"/>
    <n v="4"/>
    <n v="2"/>
  </r>
  <r>
    <m/>
    <x v="1"/>
    <n v="3"/>
    <n v="1"/>
    <n v="1"/>
    <n v="2"/>
    <n v="5"/>
    <n v="2"/>
    <n v="3"/>
    <n v="2"/>
    <n v="4"/>
    <n v="2"/>
    <n v="3"/>
    <n v="2"/>
    <n v="1"/>
    <n v="4"/>
    <n v="1"/>
    <n v="4"/>
    <n v="4"/>
    <n v="2"/>
    <n v="2"/>
    <m/>
    <m/>
    <n v="1"/>
    <n v="1"/>
    <m/>
    <m/>
    <n v="1"/>
    <m/>
    <m/>
    <n v="1"/>
    <m/>
    <n v="2"/>
    <n v="2"/>
    <n v="1"/>
    <n v="2"/>
    <n v="2"/>
    <n v="2"/>
    <n v="1"/>
    <n v="2"/>
    <n v="1"/>
    <n v="2"/>
    <n v="3"/>
    <n v="1"/>
    <n v="2"/>
    <n v="3"/>
    <n v="4"/>
    <n v="2"/>
    <n v="3"/>
    <n v="8"/>
    <n v="4"/>
    <n v="2"/>
    <n v="1"/>
    <m/>
    <m/>
    <n v="1"/>
    <n v="1"/>
    <n v="1"/>
    <n v="1"/>
    <n v="1"/>
    <n v="1"/>
    <n v="1"/>
    <n v="2"/>
    <n v="3"/>
    <n v="2"/>
    <m/>
    <n v="2"/>
    <m/>
    <m/>
    <m/>
    <n v="3"/>
    <n v="2"/>
    <n v="2"/>
    <x v="1"/>
    <n v="1983"/>
    <n v="2"/>
    <m/>
    <n v="2"/>
    <m/>
    <n v="1"/>
    <m/>
    <n v="3"/>
    <m/>
    <n v="1"/>
    <n v="1"/>
    <n v="30"/>
    <n v="1"/>
    <n v="2"/>
    <n v="4"/>
    <n v="2"/>
  </r>
  <r>
    <m/>
    <x v="1"/>
    <n v="2"/>
    <n v="2"/>
    <n v="2"/>
    <n v="5"/>
    <n v="2"/>
    <n v="1"/>
    <n v="3"/>
    <n v="3"/>
    <n v="1"/>
    <n v="4"/>
    <n v="2"/>
    <n v="3"/>
    <n v="2"/>
    <n v="4"/>
    <n v="4"/>
    <n v="3"/>
    <n v="1"/>
    <n v="2"/>
    <n v="2"/>
    <n v="1"/>
    <n v="1"/>
    <m/>
    <n v="1"/>
    <n v="1"/>
    <n v="1"/>
    <m/>
    <m/>
    <m/>
    <n v="1"/>
    <m/>
    <n v="2"/>
    <n v="2"/>
    <n v="1"/>
    <n v="2"/>
    <n v="2"/>
    <n v="1"/>
    <n v="2"/>
    <n v="2"/>
    <n v="2"/>
    <m/>
    <n v="1"/>
    <n v="4"/>
    <n v="3"/>
    <n v="2"/>
    <n v="1"/>
    <n v="3"/>
    <n v="2"/>
    <n v="8"/>
    <n v="2"/>
    <n v="1"/>
    <m/>
    <m/>
    <m/>
    <n v="2"/>
    <n v="1"/>
    <n v="2"/>
    <n v="2"/>
    <n v="1"/>
    <n v="2"/>
    <n v="1"/>
    <n v="1"/>
    <n v="2"/>
    <n v="2"/>
    <m/>
    <n v="1"/>
    <n v="1"/>
    <n v="1"/>
    <m/>
    <n v="8"/>
    <n v="3"/>
    <n v="5"/>
    <x v="1"/>
    <n v="1975"/>
    <n v="3"/>
    <m/>
    <n v="2"/>
    <m/>
    <n v="4"/>
    <m/>
    <n v="2"/>
    <m/>
    <n v="3"/>
    <n v="1"/>
    <n v="38"/>
    <n v="1"/>
    <n v="2"/>
    <n v="2"/>
    <n v="1"/>
  </r>
  <r>
    <m/>
    <x v="3"/>
    <n v="1"/>
    <n v="3"/>
    <n v="7"/>
    <n v="5"/>
    <n v="5"/>
    <n v="2"/>
    <n v="3"/>
    <n v="2"/>
    <n v="2"/>
    <n v="4"/>
    <n v="3"/>
    <n v="2"/>
    <n v="3"/>
    <n v="4"/>
    <n v="1"/>
    <n v="2"/>
    <n v="2"/>
    <n v="1"/>
    <n v="1"/>
    <m/>
    <m/>
    <n v="1"/>
    <m/>
    <m/>
    <n v="1"/>
    <m/>
    <n v="1"/>
    <m/>
    <n v="1"/>
    <m/>
    <n v="2"/>
    <n v="2"/>
    <n v="1"/>
    <n v="1"/>
    <n v="2"/>
    <n v="2"/>
    <n v="2"/>
    <n v="2"/>
    <n v="2"/>
    <m/>
    <n v="2"/>
    <n v="1"/>
    <n v="4"/>
    <n v="2"/>
    <n v="2"/>
    <n v="2"/>
    <n v="1"/>
    <n v="8"/>
    <n v="3"/>
    <n v="3"/>
    <n v="3"/>
    <m/>
    <m/>
    <n v="2"/>
    <n v="2"/>
    <n v="2"/>
    <n v="2"/>
    <n v="2"/>
    <n v="2"/>
    <n v="1"/>
    <n v="1"/>
    <n v="2"/>
    <n v="3"/>
    <m/>
    <n v="1"/>
    <n v="2"/>
    <n v="5"/>
    <m/>
    <n v="2"/>
    <n v="2"/>
    <n v="5"/>
    <x v="1"/>
    <n v="1979"/>
    <n v="3"/>
    <m/>
    <n v="1"/>
    <m/>
    <n v="1"/>
    <m/>
    <n v="1"/>
    <m/>
    <n v="2"/>
    <n v="1"/>
    <n v="34"/>
    <n v="1"/>
    <n v="1"/>
    <n v="1"/>
    <n v="1"/>
  </r>
  <r>
    <m/>
    <x v="2"/>
    <n v="4"/>
    <n v="1"/>
    <n v="1"/>
    <n v="1"/>
    <n v="3"/>
    <n v="3"/>
    <n v="3"/>
    <n v="3"/>
    <n v="2"/>
    <n v="2"/>
    <n v="2"/>
    <n v="4"/>
    <n v="2"/>
    <n v="1"/>
    <n v="4"/>
    <n v="2"/>
    <n v="3"/>
    <n v="1"/>
    <n v="2"/>
    <m/>
    <m/>
    <n v="1"/>
    <m/>
    <m/>
    <m/>
    <m/>
    <m/>
    <m/>
    <n v="1"/>
    <m/>
    <n v="2"/>
    <n v="2"/>
    <n v="2"/>
    <n v="1"/>
    <n v="2"/>
    <n v="1"/>
    <n v="1"/>
    <n v="1"/>
    <n v="2"/>
    <m/>
    <n v="3"/>
    <n v="2"/>
    <n v="1"/>
    <n v="2"/>
    <n v="4"/>
    <n v="4"/>
    <n v="4"/>
    <n v="3"/>
    <n v="8"/>
    <n v="1"/>
    <m/>
    <m/>
    <m/>
    <n v="2"/>
    <n v="2"/>
    <n v="2"/>
    <n v="2"/>
    <n v="2"/>
    <n v="2"/>
    <n v="2"/>
    <n v="2"/>
    <n v="3"/>
    <n v="5"/>
    <m/>
    <n v="2"/>
    <m/>
    <m/>
    <m/>
    <n v="1"/>
    <n v="1"/>
    <n v="5"/>
    <x v="1"/>
    <n v="1957"/>
    <n v="3"/>
    <m/>
    <n v="1"/>
    <m/>
    <n v="3"/>
    <m/>
    <n v="4"/>
    <m/>
    <n v="3"/>
    <n v="1"/>
    <n v="56"/>
    <n v="2"/>
    <n v="1"/>
    <n v="1"/>
    <n v="1"/>
  </r>
  <r>
    <m/>
    <x v="2"/>
    <n v="7"/>
    <n v="2"/>
    <n v="2"/>
    <n v="4"/>
    <n v="2"/>
    <n v="1"/>
    <n v="2"/>
    <n v="2"/>
    <n v="3"/>
    <n v="4"/>
    <n v="4"/>
    <n v="2"/>
    <n v="1"/>
    <n v="2"/>
    <n v="1"/>
    <n v="3"/>
    <n v="1"/>
    <n v="2"/>
    <n v="1"/>
    <n v="1"/>
    <n v="1"/>
    <n v="1"/>
    <m/>
    <m/>
    <m/>
    <n v="1"/>
    <m/>
    <m/>
    <n v="1"/>
    <m/>
    <n v="1"/>
    <n v="2"/>
    <n v="1"/>
    <n v="1"/>
    <n v="1"/>
    <n v="2"/>
    <n v="2"/>
    <n v="1"/>
    <n v="1"/>
    <n v="2"/>
    <n v="1"/>
    <n v="3"/>
    <n v="7"/>
    <n v="3"/>
    <n v="1"/>
    <n v="2"/>
    <n v="2"/>
    <n v="2"/>
    <n v="2"/>
    <n v="4"/>
    <n v="4"/>
    <m/>
    <m/>
    <n v="1"/>
    <n v="1"/>
    <n v="1"/>
    <n v="2"/>
    <n v="2"/>
    <n v="1"/>
    <n v="2"/>
    <n v="2"/>
    <n v="3"/>
    <n v="98"/>
    <m/>
    <n v="1"/>
    <n v="4"/>
    <n v="4"/>
    <m/>
    <n v="2"/>
    <n v="3"/>
    <m/>
    <x v="2"/>
    <n v="1946"/>
    <n v="2"/>
    <m/>
    <n v="5"/>
    <m/>
    <n v="2"/>
    <m/>
    <n v="2"/>
    <m/>
    <n v="2"/>
    <n v="1"/>
    <n v="67"/>
    <n v="3"/>
    <n v="2"/>
    <n v="4"/>
    <n v="3"/>
  </r>
  <r>
    <m/>
    <x v="2"/>
    <n v="2"/>
    <n v="4"/>
    <n v="3"/>
    <n v="2"/>
    <n v="5"/>
    <n v="2"/>
    <n v="2"/>
    <n v="3"/>
    <n v="2"/>
    <n v="3"/>
    <n v="2"/>
    <n v="3"/>
    <n v="1"/>
    <n v="3"/>
    <n v="2"/>
    <n v="2"/>
    <n v="2"/>
    <n v="2"/>
    <n v="2"/>
    <n v="1"/>
    <m/>
    <m/>
    <m/>
    <n v="1"/>
    <n v="1"/>
    <m/>
    <m/>
    <m/>
    <n v="1"/>
    <m/>
    <n v="1"/>
    <n v="2"/>
    <n v="2"/>
    <n v="2"/>
    <n v="1"/>
    <n v="1"/>
    <n v="1"/>
    <n v="1"/>
    <n v="2"/>
    <m/>
    <n v="2"/>
    <n v="1"/>
    <n v="4"/>
    <n v="3"/>
    <n v="3"/>
    <n v="3"/>
    <n v="3"/>
    <n v="1"/>
    <n v="1"/>
    <n v="1"/>
    <m/>
    <m/>
    <m/>
    <n v="1"/>
    <n v="2"/>
    <n v="1"/>
    <n v="1"/>
    <n v="1"/>
    <n v="1"/>
    <n v="1"/>
    <n v="1"/>
    <n v="2"/>
    <n v="1"/>
    <m/>
    <n v="1"/>
    <n v="2"/>
    <n v="98"/>
    <m/>
    <n v="3"/>
    <n v="2"/>
    <n v="1"/>
    <x v="1"/>
    <n v="1947"/>
    <n v="1"/>
    <m/>
    <n v="6"/>
    <m/>
    <n v="4"/>
    <m/>
    <n v="1"/>
    <m/>
    <n v="2"/>
    <n v="1"/>
    <n v="66"/>
    <n v="3"/>
    <n v="2"/>
    <n v="3"/>
    <n v="2"/>
  </r>
  <r>
    <m/>
    <x v="3"/>
    <n v="2"/>
    <n v="7"/>
    <n v="3"/>
    <n v="3"/>
    <n v="2"/>
    <n v="1"/>
    <n v="2"/>
    <n v="2"/>
    <n v="2"/>
    <n v="2"/>
    <n v="3"/>
    <n v="2"/>
    <n v="2"/>
    <n v="2"/>
    <n v="3"/>
    <n v="3"/>
    <n v="4"/>
    <n v="2"/>
    <n v="1"/>
    <m/>
    <n v="1"/>
    <n v="1"/>
    <n v="1"/>
    <m/>
    <m/>
    <m/>
    <m/>
    <m/>
    <n v="2"/>
    <m/>
    <n v="1"/>
    <n v="2"/>
    <n v="1"/>
    <n v="2"/>
    <n v="1"/>
    <n v="2"/>
    <n v="2"/>
    <n v="1"/>
    <n v="2"/>
    <m/>
    <n v="3"/>
    <n v="7"/>
    <n v="1"/>
    <n v="1"/>
    <n v="2"/>
    <n v="2"/>
    <n v="2"/>
    <n v="3"/>
    <n v="3"/>
    <n v="2"/>
    <n v="3"/>
    <m/>
    <m/>
    <n v="2"/>
    <n v="1"/>
    <n v="1"/>
    <n v="1"/>
    <n v="2"/>
    <n v="2"/>
    <n v="2"/>
    <n v="2"/>
    <n v="4"/>
    <m/>
    <m/>
    <n v="2"/>
    <m/>
    <m/>
    <m/>
    <n v="5"/>
    <n v="4"/>
    <n v="3"/>
    <x v="2"/>
    <n v="1984"/>
    <n v="3"/>
    <m/>
    <n v="4"/>
    <m/>
    <n v="6"/>
    <m/>
    <n v="3"/>
    <m/>
    <n v="1"/>
    <n v="1"/>
    <n v="29"/>
    <n v="1"/>
    <n v="2"/>
    <n v="4"/>
    <n v="2"/>
  </r>
  <r>
    <m/>
    <x v="3"/>
    <n v="4"/>
    <n v="2"/>
    <n v="2"/>
    <n v="5"/>
    <n v="4"/>
    <n v="2"/>
    <n v="2"/>
    <n v="2"/>
    <n v="1"/>
    <n v="1"/>
    <n v="2"/>
    <n v="1"/>
    <n v="4"/>
    <n v="1"/>
    <n v="3"/>
    <n v="1"/>
    <n v="1"/>
    <n v="1"/>
    <n v="2"/>
    <n v="1"/>
    <m/>
    <n v="1"/>
    <m/>
    <m/>
    <n v="1"/>
    <n v="1"/>
    <m/>
    <m/>
    <n v="2"/>
    <m/>
    <n v="2"/>
    <n v="1"/>
    <n v="2"/>
    <n v="1"/>
    <n v="1"/>
    <n v="1"/>
    <n v="1"/>
    <n v="2"/>
    <n v="1"/>
    <n v="1"/>
    <n v="4"/>
    <n v="1"/>
    <n v="2"/>
    <n v="1"/>
    <n v="2"/>
    <n v="1"/>
    <n v="1"/>
    <n v="2"/>
    <n v="8"/>
    <n v="3"/>
    <n v="2"/>
    <m/>
    <m/>
    <n v="1"/>
    <n v="2"/>
    <n v="2"/>
    <n v="2"/>
    <n v="2"/>
    <n v="2"/>
    <n v="1"/>
    <n v="1"/>
    <n v="1"/>
    <n v="8"/>
    <m/>
    <n v="2"/>
    <m/>
    <m/>
    <m/>
    <n v="3"/>
    <n v="3"/>
    <n v="1"/>
    <x v="1"/>
    <n v="1989"/>
    <n v="2"/>
    <m/>
    <n v="7"/>
    <m/>
    <n v="4"/>
    <m/>
    <n v="2"/>
    <m/>
    <n v="2"/>
    <n v="1"/>
    <n v="24"/>
    <n v="1"/>
    <n v="2"/>
    <n v="2"/>
    <n v="2"/>
  </r>
  <r>
    <m/>
    <x v="1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n v="1"/>
    <n v="2"/>
    <n v="4"/>
    <n v="3"/>
  </r>
  <r>
    <m/>
    <x v="4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7"/>
    <m/>
    <m/>
    <m/>
    <m/>
    <m/>
    <m/>
    <m/>
    <m/>
    <m/>
    <n v="1"/>
    <n v="26"/>
    <n v="1"/>
    <n v="2"/>
    <n v="4"/>
    <n v="3"/>
  </r>
  <r>
    <m/>
    <x v="1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n v="1"/>
    <n v="2"/>
    <n v="3"/>
    <n v="3"/>
  </r>
  <r>
    <m/>
    <x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1"/>
    <m/>
    <m/>
    <m/>
    <m/>
    <m/>
    <m/>
    <m/>
    <m/>
    <m/>
    <n v="1"/>
    <n v="32"/>
    <n v="1"/>
    <n v="2"/>
    <n v="4"/>
    <n v="3"/>
  </r>
  <r>
    <m/>
    <x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70"/>
    <m/>
    <m/>
    <m/>
    <m/>
    <m/>
    <m/>
    <m/>
    <m/>
    <m/>
    <n v="1"/>
    <n v="43"/>
    <n v="2"/>
    <n v="2"/>
    <n v="4"/>
    <n v="3"/>
  </r>
  <r>
    <m/>
    <x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2"/>
    <n v="4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</r>
  <r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</r>
</pivotCacheRecords>
</file>

<file path=xl/pivotCache/pivotCacheRecords18.xml><?xml version="1.0" encoding="utf-8"?>
<pivotCacheRecords xmlns="http://schemas.openxmlformats.org/spreadsheetml/2006/main" xmlns:r="http://schemas.openxmlformats.org/officeDocument/2006/relationships" count="632">
  <r>
    <x v="0"/>
    <s v="Dites-nous à combien vous évaluez le risque d'être personnellement intimidé(e) ou agressé(e) dans votre quartier : Lorsque vous sortez seul(e) PENDANT LE JOUR, ce risque est : "/>
    <s v="Dites-nous à combien vous évaluez le risque d'être personnellement intimidé(e) ou agressé(e) dans votre quartier : Lorsque vous sortez seul(e) APRÈS LA TOMBÉE DU JOUR, ce risque est : "/>
    <s v="Dites-nous à combien vous évaluez le risque d'être personnellement intimidé(e) ou agressé(e) dans votre quartier : Lorsque vous attendez ou prenez le transport en commun, ce risque est …"/>
    <s v="Dites-nous à combien vous évaluez le risque que les jeunes de moins de 18 ans qui vivent avec vous (à temps plein ou à temps partiel) soient intimidés ou agressés lorqu'ils vont dehors dans votre quartier. Ce risque est …"/>
    <s v="Habituellement, combien de fois sortez-vous seul(e) dans votre quartier APRÈS LA TOMBÉE DU JOUR ? Est-ce ... "/>
    <s v="Dans votre quartier, les problèmes causés par des gens bruyants sont … ?"/>
    <s v="Dans votre quartier, les désordres liés à la consommation d'alcool dans les lieux publics sont … ?"/>
    <s v="Dans votre quartier, les désordres liés à la vente ou à la consommation de drogue sont … ?"/>
    <s v="Dans votre quartier, les problèmes liés à la criminalité sont … ?"/>
    <s v="Dans votre quartier, les problèmes causés par les gens qui traînent dans les lieux publics sont … ?"/>
    <s v="Dans votre quartier, les actes de vandalisme sont … ?"/>
    <s v="Dans votre quartier, les conflits entre les groupes d'origines ethniques différentes sont … ?"/>
    <s v="Dans votre quartier, les conflits entre d'autres groupes d'individus sont … ?"/>
    <s v="Dans votre quartier, les graffiti sont … ?"/>
    <s v="Dans votre quartier, les immeubles ou bâtiments abandonnés ou mal entretenus sont... ?"/>
    <s v="Dans votre quartier, le niveau d'entraide entre les personnes est... ?"/>
    <s v="Dans votre quartier, le niveau de confiance qui règne entre la plupart des personnes est... ?"/>
    <s v="Dans votre quartier, les comportements des jeunes ou des groupes de jeunes sont-ils pour vous une source de menace ou d'insécurité ?"/>
    <s v="Y a-t-il d'autres individus ou des groupes d'individus dont les comportements sont pour vous une source de menace ou d'insécurité ?"/>
    <s v="De quel type ou groupe d'individus s'agit-il ?  Toxicomanes ou revendeur de drogue"/>
    <s v="De quel type ou groupe d'individus s'agit-il ? Gangs de motards / milieu criminel"/>
    <s v="De quel type ou groupe d'individus s'agit-il ? Sollicitation (vendeurs, mouvements religieux, ex-détenus, etc.)"/>
    <s v="De quel type ou groupe d'individus s'agit-il ? Itinérants"/>
    <s v="De quel type ou groupe d'individus s'agit-il ? Individus ou groupes d'individus en état d'ébriété"/>
    <s v="De quel type ou groupe d'individus s'agit-il ? Personnes d'une communauté culturelle différente de la mienne"/>
    <s v="De quel type ou groupe d'individus s'agit-il ? Voisins"/>
    <s v="De quel type ou groupe d'individus s'agit-il ? Autre"/>
    <s v="De quel type ou groupe d'individus s'agit-il ? Autre, précisez"/>
    <s v="Y a-t-il dans votre quartier des endroits que vous évitez de fréquenter pour des raisons de sécurité ?"/>
    <s v="Lesquels ?"/>
    <s v="Veuillez répondre à chacun des énoncés suivants. Quand je me déplace dans mon quartier, j'apporte habituellement quelque chose pour assurer ma protection. "/>
    <s v="Veuillez répondre à chacun des énoncés suivants. Lorsque je suis dans mon quartier, je vérifie qu'aucun intrus ne se trouve à l'intérieur de ma voiture avant d'y monter."/>
    <s v="Veuillez répondre à chacun des énoncés suivants. À mon domicile, j'évite d'ouvrir la porte à des inconnus, pour des raisons de sécurité. "/>
    <s v="Veuillez répondre à chacun des énoncés suivants. Je garde les portes extérieures de mon domicile constamment verrouillées, même lorsque je suis chez moi. "/>
    <s v="Veuillez répondre à chacun des énoncés suivants. Spécialement par mesure de protection, il y a un chien à mon domicile. "/>
    <s v="Veuillez répondre à chacun des énoncés suivants. J'ai un système d'alarme que j'active régulièrement pour protéger mon domicile contre le vol."/>
    <s v="Veuillez répondre à chacun des énoncés suivants. Spécialement par mesure de protection, j'ai suivi un cours d'autodéfense. "/>
    <s v="Veuillez répondre à chacun des énoncés suivants. Spécialement par mesure de protection, il y a une arme à feu à mon domicile. "/>
    <s v="Est-ce qu'il y a à votre domicile au moins un détecteur de fumée fonctionnel par étage ? "/>
    <s v="Le bon fonctionnement de cet/ces appareil(s) a-t-il été vérifié, au cours des douze (12) derniers mois ?"/>
    <s v="Veuillez nous dire votre degré de satisfaction à l'égard : du déneigement et du déglaçage des rues et des trottoirs de votre quartier ? "/>
    <s v="Veuillez nous dire votre degré de satisfaction à l'égard :  de la propreté et de l'entretien des parcs et terrains de jeux de votre quartier ?"/>
    <s v="Veuillez nous dire votre degré de satisfaction à l'égard :  de la sécurité des équipements dans les parcs, aires de jeux ou centre récréatif ou sportif de votre quartier ? "/>
    <s v="Votre quartier est-il desservi par un service de police municipal, une régie intermunicipale ou par la Sûreté du Québec ?"/>
    <s v="Quel est votre niveau de satisfaction à l'égard de la présence des policiers dans votre quartier ?"/>
    <s v="Quel est votre niveau de satisfaction à l'égard du travail effectué par les policiers dans votre quartier ?"/>
    <s v="De façon plus spécifique, quel est votre niveau de satisfaction à l'égard du travail effectué par les policiers : auprès des jeunes de votre quartier"/>
    <s v="De façon plus spécifique, quel est votre niveau de satisfaction à l'égard du travail effectué par les policiers : pour assurer la sécurité routière dans votre quartier"/>
    <s v="De façon plus spécifique, quel est votre niveau de satisfaction à l'égard du travail effectué par les policiers : pour régler des problèmes de délinquance ou de désordres qui surviennent dans votre quartier"/>
    <s v="Au cours des deux dernières années, combien de fois avez-vous fait appel au service de police qui dessert votre quartier ?"/>
    <s v="En vous référant à l'événement le plus récent, quel est votre niveau de satisfaction à l'égard de la réponse que vous avez reçue ?"/>
    <s v="Pourquoi ? Peu"/>
    <s v="Pourquoi ? Pas"/>
    <s v="Au cours des deux dernières années, vous êtes vous IMPLIQUÉ SUR UNE BASE RÉGULIÈRE dans les activités suivantes de votre quartier : Dans un comité ou un organisme préoccupé par les problèmes de sécurité de votre quartier ?"/>
    <s v="Au cours des deux dernières années, vous êtes vous IMPLIQUÉ SUR UNE BASE RÉGULIÈRE dans les activités suivantes de votre quartier : Dans des assemblées du conseil municipal ?"/>
    <s v="Au cours des deux dernières années, vous êtes vous IMPLIQUÉ SUR UNE BASE RÉGULIÈRE dans les activités suivantes de votre quartier : Dans un conseil de quartier ou d'arrondissement ?"/>
    <s v="Au cours des deux dernières années, vous êtes vous IMPLIQUÉ SUR UNE BASE RÉGULIÈRE dans les activités suivantes de votre quartier : Dans un comité de citoyens ?"/>
    <s v="Au cours des deux dernières années, vous êtes vous IMPLIQUÉ SUR UNE BASE RÉGULIÈRE dans les activités suivantes de votre quartier : Dans des activités communautaires, d'entraide ou de bénévolat (cuisine communautaire, bazar)"/>
    <s v="Au cours des deux dernières années, vous êtes vous IMPLIQUÉ SUR UNE BASE RÉGULIÈRE dans les activités suivantes de votre quartier : Dans des activités sociales, culturelles ou sportives organisées par les gens de votre quartier ou de votre municipalité ?"/>
    <s v="Au cours des deux dernières années, avez-vous été victime de vol, de vandalisme ou de tout autre crime contre vos biens, chez vous ou dans votre quartier ?"/>
    <s v="Au cours des deux dernières années, avez-vous été victime d'une agression, d'intimidation ou de tout autre acte de violence, chez vous ou dans votre quartier ?"/>
    <s v="Au cours des deux dernières années avez-vous été victime dans votre quartier d'une quelconque forme de discrimination ?"/>
    <s v="À votre avis, le motif de cette discrimination était lié …"/>
    <s v="Autre, précisez :"/>
    <s v="Au cours des deux dernières années, avez-vous subi un accident qui vous a occasionné une blessure pour laquelle vous avez dû consulter un professionnel de la santé ou limiter vos activités ?"/>
    <s v="Combien de fois cela s'est-il produit ?"/>
    <s v="En se référant au dernier événement, était-ce … ?"/>
    <s v="Autre, précisez :"/>
    <s v="Maintenant, comparativement à d'autres personnes de votre âge, dirirez-vous que votre santé est en général …"/>
    <s v="Dans quel quartier habitez-vous ?"/>
    <s v="Combien de personne de moins de 18 ans habitent dans votre foyer ?"/>
    <s v="Êtes-vous :"/>
    <s v="Quelle est votre année de naissance ?"/>
    <s v="Êtes-vous propriétaire ou locataire du logement que vous habitez ?"/>
    <s v="Autre, précisez : "/>
    <s v="Habitez-vous dans …"/>
    <s v="Autre, précisez : "/>
    <s v="Quel est votre état civil ?"/>
    <s v="Autre, précisez : "/>
    <s v="Où est situé votre lieu de travail habituel ?"/>
    <s v="Autre, précisez : "/>
    <s v="Quel est le plus haut niveau de scolarité que vous avez complété ?"/>
    <m/>
    <m/>
    <x v="0"/>
    <m/>
    <m/>
    <m/>
  </r>
  <r>
    <x v="1"/>
    <n v="7"/>
    <n v="3"/>
    <n v="4"/>
    <n v="1"/>
    <n v="1"/>
    <n v="2"/>
    <n v="1"/>
    <n v="4"/>
    <n v="3"/>
    <n v="3"/>
    <n v="2"/>
    <n v="1"/>
    <n v="2"/>
    <n v="2"/>
    <n v="4"/>
    <n v="3"/>
    <n v="1"/>
    <n v="1"/>
    <n v="1"/>
    <m/>
    <n v="1"/>
    <m/>
    <n v="1"/>
    <n v="1"/>
    <n v="1"/>
    <n v="1"/>
    <m/>
    <m/>
    <n v="1"/>
    <m/>
    <n v="2"/>
    <n v="2"/>
    <n v="1"/>
    <n v="1"/>
    <n v="1"/>
    <n v="2"/>
    <n v="1"/>
    <n v="2"/>
    <n v="2"/>
    <m/>
    <n v="1"/>
    <n v="7"/>
    <n v="4"/>
    <n v="8"/>
    <n v="1"/>
    <n v="4"/>
    <n v="8"/>
    <n v="2"/>
    <n v="2"/>
    <n v="1"/>
    <m/>
    <m/>
    <m/>
    <n v="1"/>
    <n v="2"/>
    <n v="1"/>
    <n v="2"/>
    <n v="2"/>
    <n v="1"/>
    <n v="1"/>
    <n v="2"/>
    <n v="1"/>
    <n v="2"/>
    <m/>
    <n v="1"/>
    <n v="4"/>
    <n v="5"/>
    <m/>
    <n v="2"/>
    <n v="4"/>
    <n v="5"/>
    <n v="1"/>
    <n v="1981"/>
    <n v="2"/>
    <m/>
    <n v="7"/>
    <m/>
    <n v="1"/>
    <m/>
    <n v="1"/>
    <m/>
    <n v="4"/>
    <n v="1"/>
    <n v="32"/>
    <x v="1"/>
    <n v="1"/>
    <n v="1"/>
    <n v="1"/>
  </r>
  <r>
    <x v="2"/>
    <n v="4"/>
    <n v="2"/>
    <n v="1"/>
    <n v="1"/>
    <n v="2"/>
    <n v="3"/>
    <n v="1"/>
    <n v="4"/>
    <n v="2"/>
    <n v="2"/>
    <n v="2"/>
    <n v="1"/>
    <n v="2"/>
    <n v="1"/>
    <n v="2"/>
    <n v="2"/>
    <n v="1"/>
    <n v="2"/>
    <n v="1"/>
    <m/>
    <m/>
    <n v="1"/>
    <m/>
    <n v="1"/>
    <m/>
    <n v="1"/>
    <m/>
    <m/>
    <n v="2"/>
    <m/>
    <n v="1"/>
    <n v="1"/>
    <n v="2"/>
    <n v="1"/>
    <n v="1"/>
    <n v="1"/>
    <n v="1"/>
    <n v="1"/>
    <n v="1"/>
    <n v="1"/>
    <n v="2"/>
    <n v="4"/>
    <n v="1"/>
    <n v="1"/>
    <n v="4"/>
    <n v="8"/>
    <n v="1"/>
    <n v="4"/>
    <n v="1"/>
    <n v="2"/>
    <n v="1"/>
    <m/>
    <m/>
    <n v="2"/>
    <n v="1"/>
    <n v="1"/>
    <n v="2"/>
    <n v="2"/>
    <n v="1"/>
    <n v="2"/>
    <n v="1"/>
    <n v="2"/>
    <n v="1"/>
    <m/>
    <n v="2"/>
    <m/>
    <m/>
    <m/>
    <n v="4"/>
    <n v="1"/>
    <n v="2"/>
    <n v="2"/>
    <n v="1970"/>
    <n v="1"/>
    <m/>
    <n v="5"/>
    <m/>
    <n v="2"/>
    <m/>
    <n v="2"/>
    <m/>
    <n v="1"/>
    <n v="1"/>
    <n v="43"/>
    <x v="2"/>
    <n v="2"/>
    <n v="3"/>
    <n v="2"/>
  </r>
  <r>
    <x v="3"/>
    <n v="4"/>
    <n v="1"/>
    <n v="2"/>
    <n v="2"/>
    <n v="4"/>
    <n v="3"/>
    <n v="1"/>
    <n v="4"/>
    <n v="2"/>
    <n v="1"/>
    <n v="2"/>
    <n v="1"/>
    <n v="3"/>
    <n v="2"/>
    <n v="3"/>
    <n v="1"/>
    <n v="2"/>
    <n v="1"/>
    <n v="2"/>
    <n v="1"/>
    <m/>
    <m/>
    <m/>
    <n v="1"/>
    <n v="1"/>
    <m/>
    <n v="1"/>
    <m/>
    <n v="2"/>
    <m/>
    <n v="1"/>
    <n v="1"/>
    <n v="2"/>
    <n v="1"/>
    <n v="1"/>
    <n v="1"/>
    <n v="2"/>
    <n v="1"/>
    <n v="1"/>
    <n v="2"/>
    <n v="3"/>
    <n v="1"/>
    <n v="2"/>
    <n v="3"/>
    <n v="2"/>
    <n v="1"/>
    <n v="2"/>
    <n v="3"/>
    <n v="4"/>
    <n v="3"/>
    <n v="3"/>
    <m/>
    <m/>
    <n v="2"/>
    <n v="1"/>
    <n v="2"/>
    <n v="2"/>
    <n v="2"/>
    <n v="2"/>
    <n v="2"/>
    <n v="1"/>
    <n v="3"/>
    <n v="3"/>
    <m/>
    <n v="1"/>
    <n v="2"/>
    <n v="8"/>
    <m/>
    <n v="5"/>
    <n v="4"/>
    <n v="4"/>
    <n v="2"/>
    <n v="1990"/>
    <n v="3"/>
    <m/>
    <n v="4"/>
    <m/>
    <n v="4"/>
    <m/>
    <n v="3"/>
    <m/>
    <n v="2"/>
    <n v="1"/>
    <n v="23"/>
    <x v="1"/>
    <n v="2"/>
    <n v="4"/>
    <n v="2"/>
  </r>
  <r>
    <x v="4"/>
    <n v="2"/>
    <n v="2"/>
    <n v="3"/>
    <n v="4"/>
    <n v="1"/>
    <n v="3"/>
    <n v="2"/>
    <n v="2"/>
    <n v="2"/>
    <n v="2"/>
    <n v="2"/>
    <n v="1"/>
    <n v="2"/>
    <n v="3"/>
    <n v="3"/>
    <n v="1"/>
    <n v="3"/>
    <n v="1"/>
    <n v="1"/>
    <n v="1"/>
    <n v="1"/>
    <m/>
    <n v="1"/>
    <n v="1"/>
    <n v="1"/>
    <n v="1"/>
    <m/>
    <m/>
    <n v="2"/>
    <m/>
    <n v="1"/>
    <n v="1"/>
    <n v="2"/>
    <n v="2"/>
    <n v="1"/>
    <n v="2"/>
    <n v="2"/>
    <n v="1"/>
    <n v="1"/>
    <n v="1"/>
    <n v="4"/>
    <n v="3"/>
    <n v="3"/>
    <n v="2"/>
    <n v="3"/>
    <n v="1"/>
    <n v="3"/>
    <n v="2"/>
    <n v="2"/>
    <n v="4"/>
    <n v="2"/>
    <m/>
    <m/>
    <n v="2"/>
    <n v="1"/>
    <n v="2"/>
    <n v="2"/>
    <n v="1"/>
    <n v="2"/>
    <n v="2"/>
    <n v="2"/>
    <n v="4"/>
    <m/>
    <m/>
    <n v="1"/>
    <n v="2"/>
    <n v="7"/>
    <m/>
    <n v="1"/>
    <n v="2"/>
    <n v="1"/>
    <n v="2"/>
    <n v="1983"/>
    <n v="1"/>
    <m/>
    <n v="1"/>
    <m/>
    <n v="1"/>
    <m/>
    <n v="4"/>
    <m/>
    <n v="3"/>
    <n v="1"/>
    <n v="30"/>
    <x v="1"/>
    <n v="2"/>
    <n v="3"/>
    <n v="2"/>
  </r>
  <r>
    <x v="4"/>
    <n v="1"/>
    <n v="7"/>
    <n v="2"/>
    <n v="2"/>
    <n v="5"/>
    <n v="2"/>
    <n v="4"/>
    <n v="1"/>
    <n v="1"/>
    <n v="2"/>
    <n v="1"/>
    <n v="2"/>
    <n v="2"/>
    <n v="3"/>
    <n v="2"/>
    <n v="1"/>
    <n v="2"/>
    <n v="2"/>
    <n v="1"/>
    <m/>
    <n v="1"/>
    <n v="1"/>
    <n v="1"/>
    <n v="1"/>
    <n v="1"/>
    <m/>
    <m/>
    <m/>
    <n v="2"/>
    <m/>
    <n v="1"/>
    <n v="1"/>
    <n v="1"/>
    <n v="2"/>
    <n v="2"/>
    <n v="2"/>
    <n v="1"/>
    <n v="2"/>
    <n v="2"/>
    <m/>
    <n v="7"/>
    <n v="3"/>
    <n v="3"/>
    <n v="1"/>
    <n v="2"/>
    <n v="3"/>
    <n v="2"/>
    <n v="1"/>
    <n v="3"/>
    <n v="2"/>
    <n v="4"/>
    <m/>
    <m/>
    <n v="1"/>
    <n v="2"/>
    <n v="2"/>
    <n v="1"/>
    <n v="1"/>
    <n v="2"/>
    <n v="2"/>
    <n v="1"/>
    <n v="1"/>
    <n v="6"/>
    <m/>
    <n v="2"/>
    <m/>
    <m/>
    <m/>
    <n v="3"/>
    <n v="3"/>
    <m/>
    <n v="2"/>
    <n v="1967"/>
    <n v="1"/>
    <m/>
    <n v="2"/>
    <m/>
    <n v="3"/>
    <m/>
    <n v="4"/>
    <m/>
    <n v="2"/>
    <n v="1"/>
    <n v="46"/>
    <x v="2"/>
    <n v="3"/>
    <n v="5"/>
    <n v="3"/>
  </r>
  <r>
    <x v="4"/>
    <n v="2"/>
    <n v="4"/>
    <n v="1"/>
    <n v="3"/>
    <n v="2"/>
    <n v="4"/>
    <n v="1"/>
    <n v="2"/>
    <n v="1"/>
    <n v="3"/>
    <n v="1"/>
    <n v="2"/>
    <n v="1"/>
    <n v="3"/>
    <n v="1"/>
    <n v="1"/>
    <n v="2"/>
    <n v="1"/>
    <n v="1"/>
    <m/>
    <n v="1"/>
    <m/>
    <m/>
    <m/>
    <n v="1"/>
    <m/>
    <m/>
    <m/>
    <n v="2"/>
    <m/>
    <n v="1"/>
    <n v="1"/>
    <n v="1"/>
    <n v="2"/>
    <n v="2"/>
    <n v="1"/>
    <n v="1"/>
    <n v="2"/>
    <n v="1"/>
    <n v="1"/>
    <n v="4"/>
    <n v="2"/>
    <n v="2"/>
    <n v="2"/>
    <n v="3"/>
    <n v="2"/>
    <n v="4"/>
    <n v="4"/>
    <n v="2"/>
    <n v="1"/>
    <m/>
    <m/>
    <m/>
    <n v="1"/>
    <n v="2"/>
    <n v="1"/>
    <n v="1"/>
    <n v="2"/>
    <n v="1"/>
    <n v="1"/>
    <n v="2"/>
    <n v="4"/>
    <m/>
    <m/>
    <n v="2"/>
    <m/>
    <m/>
    <m/>
    <n v="2"/>
    <n v="2"/>
    <n v="1"/>
    <n v="2"/>
    <n v="1962"/>
    <n v="2"/>
    <m/>
    <n v="3"/>
    <m/>
    <n v="3"/>
    <m/>
    <n v="1"/>
    <m/>
    <n v="1"/>
    <n v="1"/>
    <n v="51"/>
    <x v="2"/>
    <n v="2"/>
    <n v="2"/>
    <n v="2"/>
  </r>
  <r>
    <x v="1"/>
    <n v="3"/>
    <n v="7"/>
    <n v="7"/>
    <n v="5"/>
    <n v="3"/>
    <n v="1"/>
    <n v="2"/>
    <n v="3"/>
    <n v="2"/>
    <n v="2"/>
    <n v="2"/>
    <n v="3"/>
    <n v="4"/>
    <n v="2"/>
    <n v="2"/>
    <n v="4"/>
    <n v="1"/>
    <n v="1"/>
    <n v="2"/>
    <m/>
    <m/>
    <m/>
    <n v="1"/>
    <m/>
    <n v="1"/>
    <m/>
    <m/>
    <m/>
    <n v="2"/>
    <m/>
    <n v="2"/>
    <n v="2"/>
    <n v="1"/>
    <n v="2"/>
    <n v="2"/>
    <n v="1"/>
    <n v="2"/>
    <n v="2"/>
    <n v="2"/>
    <m/>
    <n v="2"/>
    <n v="1"/>
    <n v="1"/>
    <n v="1"/>
    <n v="3"/>
    <n v="3"/>
    <n v="1"/>
    <n v="8"/>
    <n v="1"/>
    <n v="3"/>
    <n v="2"/>
    <m/>
    <m/>
    <n v="1"/>
    <n v="2"/>
    <n v="1"/>
    <n v="1"/>
    <n v="1"/>
    <n v="1"/>
    <n v="1"/>
    <n v="1"/>
    <n v="1"/>
    <n v="7"/>
    <m/>
    <n v="1"/>
    <n v="2"/>
    <n v="6"/>
    <m/>
    <n v="1"/>
    <n v="3"/>
    <n v="3"/>
    <n v="2"/>
    <n v="1994"/>
    <n v="3"/>
    <m/>
    <n v="3"/>
    <m/>
    <n v="2"/>
    <m/>
    <n v="2"/>
    <m/>
    <n v="4"/>
    <n v="1"/>
    <n v="19"/>
    <x v="1"/>
    <n v="2"/>
    <n v="4"/>
    <n v="2"/>
  </r>
  <r>
    <x v="1"/>
    <n v="3"/>
    <n v="1"/>
    <n v="1"/>
    <n v="2"/>
    <n v="5"/>
    <n v="2"/>
    <n v="3"/>
    <n v="2"/>
    <n v="4"/>
    <n v="2"/>
    <n v="3"/>
    <n v="2"/>
    <n v="1"/>
    <n v="4"/>
    <n v="1"/>
    <n v="4"/>
    <n v="4"/>
    <n v="2"/>
    <n v="2"/>
    <m/>
    <m/>
    <n v="1"/>
    <n v="1"/>
    <m/>
    <m/>
    <n v="1"/>
    <m/>
    <m/>
    <n v="1"/>
    <m/>
    <n v="2"/>
    <n v="2"/>
    <n v="1"/>
    <n v="2"/>
    <n v="2"/>
    <n v="2"/>
    <n v="1"/>
    <n v="2"/>
    <n v="1"/>
    <n v="2"/>
    <n v="3"/>
    <n v="1"/>
    <n v="2"/>
    <n v="3"/>
    <n v="4"/>
    <n v="2"/>
    <n v="3"/>
    <n v="8"/>
    <n v="4"/>
    <n v="2"/>
    <n v="1"/>
    <m/>
    <m/>
    <n v="1"/>
    <n v="1"/>
    <n v="1"/>
    <n v="1"/>
    <n v="1"/>
    <n v="1"/>
    <n v="1"/>
    <n v="2"/>
    <n v="3"/>
    <n v="2"/>
    <m/>
    <n v="2"/>
    <m/>
    <m/>
    <m/>
    <n v="3"/>
    <n v="2"/>
    <n v="2"/>
    <n v="1"/>
    <n v="1983"/>
    <n v="2"/>
    <m/>
    <n v="2"/>
    <m/>
    <n v="1"/>
    <m/>
    <n v="3"/>
    <m/>
    <n v="1"/>
    <n v="1"/>
    <n v="30"/>
    <x v="1"/>
    <n v="2"/>
    <n v="4"/>
    <n v="2"/>
  </r>
  <r>
    <x v="1"/>
    <n v="2"/>
    <n v="2"/>
    <n v="2"/>
    <n v="5"/>
    <n v="2"/>
    <n v="1"/>
    <n v="3"/>
    <n v="3"/>
    <n v="1"/>
    <n v="4"/>
    <n v="2"/>
    <n v="3"/>
    <n v="2"/>
    <n v="4"/>
    <n v="4"/>
    <n v="3"/>
    <n v="1"/>
    <n v="2"/>
    <n v="2"/>
    <n v="1"/>
    <n v="1"/>
    <m/>
    <n v="1"/>
    <n v="1"/>
    <n v="1"/>
    <m/>
    <m/>
    <m/>
    <n v="1"/>
    <m/>
    <n v="2"/>
    <n v="2"/>
    <n v="1"/>
    <n v="2"/>
    <n v="2"/>
    <n v="1"/>
    <n v="2"/>
    <n v="2"/>
    <n v="2"/>
    <m/>
    <n v="1"/>
    <n v="4"/>
    <n v="3"/>
    <n v="2"/>
    <n v="1"/>
    <n v="3"/>
    <n v="2"/>
    <n v="8"/>
    <n v="2"/>
    <n v="1"/>
    <m/>
    <m/>
    <m/>
    <n v="2"/>
    <n v="1"/>
    <n v="2"/>
    <n v="2"/>
    <n v="1"/>
    <n v="2"/>
    <n v="1"/>
    <n v="1"/>
    <n v="2"/>
    <n v="2"/>
    <m/>
    <n v="1"/>
    <n v="1"/>
    <n v="1"/>
    <m/>
    <n v="8"/>
    <n v="3"/>
    <n v="5"/>
    <n v="1"/>
    <n v="1975"/>
    <n v="3"/>
    <m/>
    <n v="2"/>
    <m/>
    <n v="4"/>
    <m/>
    <n v="2"/>
    <m/>
    <n v="3"/>
    <n v="1"/>
    <n v="38"/>
    <x v="1"/>
    <n v="2"/>
    <n v="2"/>
    <n v="1"/>
  </r>
  <r>
    <x v="3"/>
    <n v="1"/>
    <n v="3"/>
    <n v="7"/>
    <n v="5"/>
    <n v="5"/>
    <n v="2"/>
    <n v="3"/>
    <n v="2"/>
    <n v="2"/>
    <n v="4"/>
    <n v="3"/>
    <n v="2"/>
    <n v="3"/>
    <n v="4"/>
    <n v="1"/>
    <n v="2"/>
    <n v="2"/>
    <n v="1"/>
    <n v="1"/>
    <m/>
    <m/>
    <n v="1"/>
    <m/>
    <m/>
    <n v="1"/>
    <m/>
    <n v="1"/>
    <m/>
    <n v="1"/>
    <m/>
    <n v="2"/>
    <n v="2"/>
    <n v="1"/>
    <n v="1"/>
    <n v="2"/>
    <n v="2"/>
    <n v="2"/>
    <n v="2"/>
    <n v="2"/>
    <m/>
    <n v="2"/>
    <n v="1"/>
    <n v="4"/>
    <n v="2"/>
    <n v="2"/>
    <n v="2"/>
    <n v="1"/>
    <n v="8"/>
    <n v="3"/>
    <n v="3"/>
    <n v="3"/>
    <m/>
    <m/>
    <n v="2"/>
    <n v="2"/>
    <n v="2"/>
    <n v="2"/>
    <n v="2"/>
    <n v="2"/>
    <n v="1"/>
    <n v="1"/>
    <n v="2"/>
    <n v="3"/>
    <m/>
    <n v="1"/>
    <n v="2"/>
    <n v="5"/>
    <m/>
    <n v="2"/>
    <n v="2"/>
    <n v="5"/>
    <n v="1"/>
    <n v="1979"/>
    <n v="3"/>
    <m/>
    <n v="1"/>
    <m/>
    <n v="1"/>
    <m/>
    <n v="1"/>
    <m/>
    <n v="2"/>
    <n v="1"/>
    <n v="34"/>
    <x v="1"/>
    <n v="1"/>
    <n v="1"/>
    <n v="1"/>
  </r>
  <r>
    <x v="2"/>
    <n v="4"/>
    <n v="1"/>
    <n v="1"/>
    <n v="1"/>
    <n v="3"/>
    <n v="3"/>
    <n v="3"/>
    <n v="3"/>
    <n v="2"/>
    <n v="2"/>
    <n v="2"/>
    <n v="4"/>
    <n v="2"/>
    <n v="1"/>
    <n v="4"/>
    <n v="2"/>
    <n v="3"/>
    <n v="1"/>
    <n v="2"/>
    <m/>
    <m/>
    <n v="1"/>
    <m/>
    <m/>
    <m/>
    <m/>
    <m/>
    <m/>
    <n v="1"/>
    <m/>
    <n v="2"/>
    <n v="2"/>
    <n v="2"/>
    <n v="1"/>
    <n v="2"/>
    <n v="1"/>
    <n v="1"/>
    <n v="1"/>
    <n v="2"/>
    <m/>
    <n v="3"/>
    <n v="2"/>
    <n v="1"/>
    <n v="2"/>
    <n v="4"/>
    <n v="4"/>
    <n v="4"/>
    <n v="3"/>
    <n v="8"/>
    <n v="1"/>
    <m/>
    <m/>
    <m/>
    <n v="2"/>
    <n v="2"/>
    <n v="2"/>
    <n v="2"/>
    <n v="2"/>
    <n v="2"/>
    <n v="2"/>
    <n v="2"/>
    <n v="3"/>
    <n v="5"/>
    <m/>
    <n v="2"/>
    <m/>
    <m/>
    <m/>
    <n v="1"/>
    <n v="1"/>
    <n v="5"/>
    <n v="1"/>
    <n v="1957"/>
    <n v="3"/>
    <m/>
    <n v="1"/>
    <m/>
    <n v="3"/>
    <m/>
    <n v="4"/>
    <m/>
    <n v="3"/>
    <n v="1"/>
    <n v="56"/>
    <x v="2"/>
    <n v="1"/>
    <n v="1"/>
    <n v="1"/>
  </r>
  <r>
    <x v="2"/>
    <n v="7"/>
    <n v="2"/>
    <n v="2"/>
    <n v="4"/>
    <n v="2"/>
    <n v="1"/>
    <n v="2"/>
    <n v="2"/>
    <n v="3"/>
    <n v="4"/>
    <n v="4"/>
    <n v="2"/>
    <n v="1"/>
    <n v="2"/>
    <n v="1"/>
    <n v="3"/>
    <n v="1"/>
    <n v="2"/>
    <n v="1"/>
    <n v="1"/>
    <n v="1"/>
    <n v="1"/>
    <m/>
    <m/>
    <m/>
    <n v="1"/>
    <m/>
    <m/>
    <n v="1"/>
    <m/>
    <n v="1"/>
    <n v="2"/>
    <n v="1"/>
    <n v="1"/>
    <n v="1"/>
    <n v="2"/>
    <n v="2"/>
    <n v="1"/>
    <n v="1"/>
    <n v="2"/>
    <n v="1"/>
    <n v="3"/>
    <n v="7"/>
    <n v="3"/>
    <n v="1"/>
    <n v="2"/>
    <n v="2"/>
    <n v="2"/>
    <n v="2"/>
    <n v="4"/>
    <n v="4"/>
    <m/>
    <m/>
    <n v="1"/>
    <n v="1"/>
    <n v="1"/>
    <n v="2"/>
    <n v="2"/>
    <n v="1"/>
    <n v="2"/>
    <n v="2"/>
    <n v="3"/>
    <n v="98"/>
    <m/>
    <n v="1"/>
    <n v="4"/>
    <n v="4"/>
    <m/>
    <n v="2"/>
    <n v="3"/>
    <m/>
    <n v="2"/>
    <n v="1946"/>
    <n v="2"/>
    <m/>
    <n v="5"/>
    <m/>
    <n v="2"/>
    <m/>
    <n v="2"/>
    <m/>
    <n v="2"/>
    <n v="1"/>
    <n v="67"/>
    <x v="3"/>
    <n v="2"/>
    <n v="4"/>
    <n v="3"/>
  </r>
  <r>
    <x v="2"/>
    <n v="2"/>
    <n v="4"/>
    <n v="3"/>
    <n v="2"/>
    <n v="5"/>
    <n v="2"/>
    <n v="2"/>
    <n v="3"/>
    <n v="2"/>
    <n v="3"/>
    <n v="2"/>
    <n v="3"/>
    <n v="1"/>
    <n v="3"/>
    <n v="2"/>
    <n v="2"/>
    <n v="2"/>
    <n v="2"/>
    <n v="2"/>
    <n v="1"/>
    <m/>
    <m/>
    <m/>
    <n v="1"/>
    <n v="1"/>
    <m/>
    <m/>
    <m/>
    <n v="1"/>
    <m/>
    <n v="1"/>
    <n v="2"/>
    <n v="2"/>
    <n v="2"/>
    <n v="1"/>
    <n v="1"/>
    <n v="1"/>
    <n v="1"/>
    <n v="2"/>
    <m/>
    <n v="2"/>
    <n v="1"/>
    <n v="4"/>
    <n v="3"/>
    <n v="3"/>
    <n v="3"/>
    <n v="3"/>
    <n v="1"/>
    <n v="1"/>
    <n v="1"/>
    <m/>
    <m/>
    <m/>
    <n v="1"/>
    <n v="2"/>
    <n v="1"/>
    <n v="1"/>
    <n v="1"/>
    <n v="1"/>
    <n v="1"/>
    <n v="1"/>
    <n v="2"/>
    <n v="1"/>
    <m/>
    <n v="1"/>
    <n v="2"/>
    <n v="98"/>
    <m/>
    <n v="3"/>
    <n v="2"/>
    <n v="1"/>
    <n v="1"/>
    <n v="1947"/>
    <n v="1"/>
    <m/>
    <n v="6"/>
    <m/>
    <n v="4"/>
    <m/>
    <n v="1"/>
    <m/>
    <n v="2"/>
    <n v="1"/>
    <n v="66"/>
    <x v="3"/>
    <n v="2"/>
    <n v="3"/>
    <n v="2"/>
  </r>
  <r>
    <x v="3"/>
    <n v="2"/>
    <n v="7"/>
    <n v="3"/>
    <n v="3"/>
    <n v="2"/>
    <n v="1"/>
    <n v="2"/>
    <n v="2"/>
    <n v="2"/>
    <n v="2"/>
    <n v="3"/>
    <n v="2"/>
    <n v="2"/>
    <n v="2"/>
    <n v="3"/>
    <n v="3"/>
    <n v="4"/>
    <n v="2"/>
    <n v="1"/>
    <m/>
    <n v="1"/>
    <n v="1"/>
    <n v="1"/>
    <m/>
    <m/>
    <m/>
    <m/>
    <m/>
    <n v="2"/>
    <m/>
    <n v="1"/>
    <n v="2"/>
    <n v="1"/>
    <n v="2"/>
    <n v="1"/>
    <n v="2"/>
    <n v="2"/>
    <n v="1"/>
    <n v="2"/>
    <m/>
    <n v="3"/>
    <n v="7"/>
    <n v="1"/>
    <n v="1"/>
    <n v="2"/>
    <n v="2"/>
    <n v="2"/>
    <n v="3"/>
    <n v="3"/>
    <n v="2"/>
    <n v="3"/>
    <m/>
    <m/>
    <n v="2"/>
    <n v="1"/>
    <n v="1"/>
    <n v="1"/>
    <n v="2"/>
    <n v="2"/>
    <n v="2"/>
    <n v="2"/>
    <n v="4"/>
    <m/>
    <m/>
    <n v="2"/>
    <m/>
    <m/>
    <m/>
    <n v="5"/>
    <n v="4"/>
    <n v="3"/>
    <n v="2"/>
    <n v="1984"/>
    <n v="3"/>
    <m/>
    <n v="4"/>
    <m/>
    <n v="6"/>
    <m/>
    <n v="3"/>
    <m/>
    <n v="1"/>
    <n v="1"/>
    <n v="29"/>
    <x v="1"/>
    <n v="2"/>
    <n v="4"/>
    <n v="2"/>
  </r>
  <r>
    <x v="3"/>
    <n v="4"/>
    <n v="2"/>
    <n v="2"/>
    <n v="5"/>
    <n v="4"/>
    <n v="2"/>
    <n v="2"/>
    <n v="2"/>
    <n v="1"/>
    <n v="1"/>
    <n v="2"/>
    <n v="1"/>
    <n v="4"/>
    <n v="1"/>
    <n v="3"/>
    <n v="1"/>
    <n v="1"/>
    <n v="1"/>
    <n v="2"/>
    <n v="1"/>
    <m/>
    <n v="1"/>
    <m/>
    <m/>
    <n v="1"/>
    <n v="1"/>
    <m/>
    <m/>
    <n v="2"/>
    <m/>
    <n v="2"/>
    <n v="1"/>
    <n v="2"/>
    <n v="1"/>
    <n v="1"/>
    <n v="1"/>
    <n v="1"/>
    <n v="2"/>
    <n v="1"/>
    <n v="1"/>
    <n v="4"/>
    <n v="1"/>
    <n v="2"/>
    <n v="1"/>
    <n v="2"/>
    <n v="1"/>
    <n v="1"/>
    <n v="2"/>
    <n v="8"/>
    <n v="3"/>
    <n v="2"/>
    <m/>
    <m/>
    <n v="1"/>
    <n v="2"/>
    <n v="2"/>
    <n v="2"/>
    <n v="2"/>
    <n v="2"/>
    <n v="1"/>
    <n v="1"/>
    <n v="1"/>
    <n v="8"/>
    <m/>
    <n v="2"/>
    <m/>
    <m/>
    <m/>
    <n v="3"/>
    <n v="3"/>
    <n v="1"/>
    <n v="1"/>
    <n v="1989"/>
    <n v="2"/>
    <m/>
    <n v="7"/>
    <m/>
    <n v="4"/>
    <m/>
    <n v="2"/>
    <m/>
    <n v="2"/>
    <n v="1"/>
    <n v="24"/>
    <x v="1"/>
    <n v="2"/>
    <n v="2"/>
    <n v="2"/>
  </r>
  <r>
    <x v="1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990"/>
    <m/>
    <m/>
    <m/>
    <m/>
    <m/>
    <m/>
    <m/>
    <m/>
    <m/>
    <n v="1"/>
    <n v="23"/>
    <x v="1"/>
    <n v="2"/>
    <n v="4"/>
    <n v="3"/>
  </r>
  <r>
    <x v="4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987"/>
    <m/>
    <m/>
    <m/>
    <m/>
    <m/>
    <m/>
    <m/>
    <m/>
    <m/>
    <n v="1"/>
    <n v="26"/>
    <x v="1"/>
    <n v="2"/>
    <n v="4"/>
    <n v="3"/>
  </r>
  <r>
    <x v="1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990"/>
    <m/>
    <m/>
    <m/>
    <m/>
    <m/>
    <m/>
    <m/>
    <m/>
    <m/>
    <n v="1"/>
    <n v="23"/>
    <x v="1"/>
    <n v="2"/>
    <n v="3"/>
    <n v="3"/>
  </r>
  <r>
    <x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981"/>
    <m/>
    <m/>
    <m/>
    <m/>
    <m/>
    <m/>
    <m/>
    <m/>
    <m/>
    <n v="1"/>
    <n v="32"/>
    <x v="1"/>
    <n v="2"/>
    <n v="4"/>
    <n v="3"/>
  </r>
  <r>
    <x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970"/>
    <m/>
    <m/>
    <m/>
    <m/>
    <m/>
    <m/>
    <m/>
    <m/>
    <m/>
    <n v="1"/>
    <n v="43"/>
    <x v="2"/>
    <n v="2"/>
    <n v="4"/>
    <n v="3"/>
  </r>
  <r>
    <x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</pivotCacheRecords>
</file>

<file path=xl/pivotCache/pivotCacheRecords19.xml><?xml version="1.0" encoding="utf-8"?>
<pivotCacheRecords xmlns="http://schemas.openxmlformats.org/spreadsheetml/2006/main" xmlns:r="http://schemas.openxmlformats.org/officeDocument/2006/relationships" count="632">
  <r>
    <x v="0"/>
    <s v="Dites-nous à combien vous évaluez le risque d'être personnellement intimidé(e) ou agressé(e) dans votre quartier : Lorsque vous sortez seul(e) APRÈS LA TOMBÉE DU JOUR, ce risque est : "/>
    <s v="Dites-nous à combien vous évaluez le risque d'être personnellement intimidé(e) ou agressé(e) dans votre quartier : Lorsque vous attendez ou prenez le transport en commun, ce risque est …"/>
    <s v="Dites-nous à combien vous évaluez le risque que les jeunes de moins de 18 ans qui vivent avec vous (à temps plein ou à temps partiel) soient intimidés ou agressés lorqu'ils vont dehors dans votre quartier. Ce risque est …"/>
    <s v="Habituellement, combien de fois sortez-vous seul(e) dans votre quartier APRÈS LA TOMBÉE DU JOUR ? Est-ce ... "/>
    <s v="Dans votre quartier, les problèmes causés par des gens bruyants sont … ?"/>
    <s v="Dans votre quartier, les désordres liés à la consommation d'alcool dans les lieux publics sont … ?"/>
    <s v="Dans votre quartier, les désordres liés à la vente ou à la consommation de drogue sont … ?"/>
    <s v="Dans votre quartier, les problèmes liés à la criminalité sont … ?"/>
    <s v="Dans votre quartier, les problèmes causés par les gens qui traînent dans les lieux publics sont … ?"/>
    <s v="Dans votre quartier, les actes de vandalisme sont … ?"/>
    <s v="Dans votre quartier, les conflits entre les groupes d'origines ethniques différentes sont … ?"/>
    <s v="Dans votre quartier, les conflits entre d'autres groupes d'individus sont … ?"/>
    <s v="Dans votre quartier, les graffiti sont … ?"/>
    <s v="Dans votre quartier, les immeubles ou bâtiments abandonnés ou mal entretenus sont... ?"/>
    <s v="Dans votre quartier, le niveau d'entraide entre les personnes est... ?"/>
    <s v="Dans votre quartier, le niveau de confiance qui règne entre la plupart des personnes est... ?"/>
    <s v="Dans votre quartier, les comportements des jeunes ou des groupes de jeunes sont-ils pour vous une source de menace ou d'insécurité ?"/>
    <s v="Y a-t-il d'autres individus ou des groupes d'individus dont les comportements sont pour vous une source de menace ou d'insécurité ?"/>
    <s v="De quel type ou groupe d'individus s'agit-il ?  Toxicomanes ou revendeur de drogue"/>
    <s v="De quel type ou groupe d'individus s'agit-il ? Gangs de motards / milieu criminel"/>
    <s v="De quel type ou groupe d'individus s'agit-il ? Sollicitation (vendeurs, mouvements religieux, ex-détenus, etc.)"/>
    <s v="De quel type ou groupe d'individus s'agit-il ? Itinérants"/>
    <s v="De quel type ou groupe d'individus s'agit-il ? Individus ou groupes d'individus en état d'ébriété"/>
    <s v="De quel type ou groupe d'individus s'agit-il ? Personnes d'une communauté culturelle différente de la mienne"/>
    <s v="De quel type ou groupe d'individus s'agit-il ? Voisins"/>
    <s v="De quel type ou groupe d'individus s'agit-il ? Autre"/>
    <s v="De quel type ou groupe d'individus s'agit-il ? Autre, précisez"/>
    <s v="Y a-t-il dans votre quartier des endroits que vous évitez de fréquenter pour des raisons de sécurité ?"/>
    <s v="Lesquels ?"/>
    <s v="Veuillez répondre à chacun des énoncés suivants. Quand je me déplace dans mon quartier, j'apporte habituellement quelque chose pour assurer ma protection. "/>
    <s v="Veuillez répondre à chacun des énoncés suivants. Lorsque je suis dans mon quartier, je vérifie qu'aucun intrus ne se trouve à l'intérieur de ma voiture avant d'y monter."/>
    <s v="Veuillez répondre à chacun des énoncés suivants. À mon domicile, j'évite d'ouvrir la porte à des inconnus, pour des raisons de sécurité. "/>
    <s v="Veuillez répondre à chacun des énoncés suivants. Je garde les portes extérieures de mon domicile constamment verrouillées, même lorsque je suis chez moi. "/>
    <s v="Veuillez répondre à chacun des énoncés suivants. Spécialement par mesure de protection, il y a un chien à mon domicile. "/>
    <s v="Veuillez répondre à chacun des énoncés suivants. J'ai un système d'alarme que j'active régulièrement pour protéger mon domicile contre le vol."/>
    <s v="Veuillez répondre à chacun des énoncés suivants. Spécialement par mesure de protection, j'ai suivi un cours d'autodéfense. "/>
    <s v="Veuillez répondre à chacun des énoncés suivants. Spécialement par mesure de protection, il y a une arme à feu à mon domicile. "/>
    <s v="Est-ce qu'il y a à votre domicile au moins un détecteur de fumée fonctionnel par étage ? "/>
    <s v="Le bon fonctionnement de cet/ces appareil(s) a-t-il été vérifié, au cours des douze (12) derniers mois ?"/>
    <s v="Veuillez nous dire votre degré de satisfaction à l'égard : du déneigement et du déglaçage des rues et des trottoirs de votre quartier ? "/>
    <s v="Veuillez nous dire votre degré de satisfaction à l'égard :  de la propreté et de l'entretien des parcs et terrains de jeux de votre quartier ?"/>
    <s v="Veuillez nous dire votre degré de satisfaction à l'égard :  de la sécurité des équipements dans les parcs, aires de jeux ou centre récréatif ou sportif de votre quartier ? "/>
    <s v="Votre quartier est-il desservi par un service de police municipal, une régie intermunicipale ou par la Sûreté du Québec ?"/>
    <s v="Quel est votre niveau de satisfaction à l'égard de la présence des policiers dans votre quartier ?"/>
    <s v="Quel est votre niveau de satisfaction à l'égard du travail effectué par les policiers dans votre quartier ?"/>
    <s v="De façon plus spécifique, quel est votre niveau de satisfaction à l'égard du travail effectué par les policiers : auprès des jeunes de votre quartier"/>
    <s v="De façon plus spécifique, quel est votre niveau de satisfaction à l'égard du travail effectué par les policiers : pour assurer la sécurité routière dans votre quartier"/>
    <s v="De façon plus spécifique, quel est votre niveau de satisfaction à l'égard du travail effectué par les policiers : pour régler des problèmes de délinquance ou de désordres qui surviennent dans votre quartier"/>
    <s v="Au cours des deux dernières années, combien de fois avez-vous fait appel au service de police qui dessert votre quartier ?"/>
    <s v="En vous référant à l'événement le plus récent, quel est votre niveau de satisfaction à l'égard de la réponse que vous avez reçue ?"/>
    <s v="Pourquoi ? Peu"/>
    <s v="Pourquoi ? Pas"/>
    <s v="Au cours des deux dernières années, vous êtes vous IMPLIQUÉ SUR UNE BASE RÉGULIÈRE dans les activités suivantes de votre quartier : Dans un comité ou un organisme préoccupé par les problèmes de sécurité de votre quartier ?"/>
    <s v="Au cours des deux dernières années, vous êtes vous IMPLIQUÉ SUR UNE BASE RÉGULIÈRE dans les activités suivantes de votre quartier : Dans des assemblées du conseil municipal ?"/>
    <s v="Au cours des deux dernières années, vous êtes vous IMPLIQUÉ SUR UNE BASE RÉGULIÈRE dans les activités suivantes de votre quartier : Dans un conseil de quartier ou d'arrondissement ?"/>
    <s v="Au cours des deux dernières années, vous êtes vous IMPLIQUÉ SUR UNE BASE RÉGULIÈRE dans les activités suivantes de votre quartier : Dans un comité de citoyens ?"/>
    <s v="Au cours des deux dernières années, vous êtes vous IMPLIQUÉ SUR UNE BASE RÉGULIÈRE dans les activités suivantes de votre quartier : Dans des activités communautaires, d'entraide ou de bénévolat (cuisine communautaire, bazar)"/>
    <s v="Au cours des deux dernières années, vous êtes vous IMPLIQUÉ SUR UNE BASE RÉGULIÈRE dans les activités suivantes de votre quartier : Dans des activités sociales, culturelles ou sportives organisées par les gens de votre quartier ou de votre municipalité ?"/>
    <s v="Au cours des deux dernières années, avez-vous été victime de vol, de vandalisme ou de tout autre crime contre vos biens, chez vous ou dans votre quartier ?"/>
    <s v="Au cours des deux dernières années, avez-vous été victime d'une agression, d'intimidation ou de tout autre acte de violence, chez vous ou dans votre quartier ?"/>
    <s v="Au cours des deux dernières années avez-vous été victime dans votre quartier d'une quelconque forme de discrimination ?"/>
    <s v="À votre avis, le motif de cette discrimination était lié …"/>
    <s v="Autre, précisez :"/>
    <s v="Au cours des deux dernières années, avez-vous subi un accident qui vous a occasionné une blessure pour laquelle vous avez dû consulter un professionnel de la santé ou limiter vos activités ?"/>
    <s v="Combien de fois cela s'est-il produit ?"/>
    <s v="En se référant au dernier événement, était-ce … ?"/>
    <s v="Autre, précisez :"/>
    <s v="Maintenant, comparativement à d'autres personnes de votre âge, dirirez-vous que votre santé est en général …"/>
    <s v="Dans quel quartier habitez-vous ?"/>
    <s v="Combien de personne de moins de 18 ans habitent dans votre foyer ?"/>
    <x v="0"/>
    <s v="Quelle est votre année de naissance ?"/>
    <s v="Êtes-vous propriétaire ou locataire du logement que vous habitez ?"/>
    <s v="Autre, précisez : "/>
    <s v="Habitez-vous dans …"/>
    <s v="Autre, précisez : "/>
    <s v="Quel est votre état civil ?"/>
    <s v="Autre, précisez : "/>
    <s v="Où est situé votre lieu de travail habituel ?"/>
    <s v="Autre, précisez : "/>
    <s v="Quel est le plus haut niveau de scolarité que vous avez complété ?"/>
    <m/>
    <m/>
    <x v="0"/>
    <m/>
    <m/>
    <m/>
  </r>
  <r>
    <x v="1"/>
    <n v="3"/>
    <n v="4"/>
    <n v="1"/>
    <n v="1"/>
    <n v="2"/>
    <n v="1"/>
    <n v="4"/>
    <n v="3"/>
    <n v="3"/>
    <n v="2"/>
    <n v="1"/>
    <n v="2"/>
    <n v="2"/>
    <n v="4"/>
    <n v="3"/>
    <n v="1"/>
    <n v="1"/>
    <n v="1"/>
    <m/>
    <n v="1"/>
    <m/>
    <n v="1"/>
    <n v="1"/>
    <n v="1"/>
    <n v="1"/>
    <m/>
    <m/>
    <n v="1"/>
    <m/>
    <n v="2"/>
    <n v="2"/>
    <n v="1"/>
    <n v="1"/>
    <n v="1"/>
    <n v="2"/>
    <n v="1"/>
    <n v="2"/>
    <n v="2"/>
    <m/>
    <n v="1"/>
    <n v="7"/>
    <n v="4"/>
    <n v="8"/>
    <n v="1"/>
    <n v="4"/>
    <n v="8"/>
    <n v="2"/>
    <n v="2"/>
    <n v="1"/>
    <m/>
    <m/>
    <m/>
    <n v="1"/>
    <n v="2"/>
    <n v="1"/>
    <n v="2"/>
    <n v="2"/>
    <n v="1"/>
    <n v="1"/>
    <n v="2"/>
    <n v="1"/>
    <n v="2"/>
    <m/>
    <n v="1"/>
    <n v="4"/>
    <n v="5"/>
    <m/>
    <n v="2"/>
    <n v="4"/>
    <n v="5"/>
    <x v="1"/>
    <n v="1981"/>
    <n v="2"/>
    <m/>
    <n v="7"/>
    <m/>
    <n v="1"/>
    <m/>
    <n v="1"/>
    <m/>
    <n v="4"/>
    <n v="1"/>
    <n v="32"/>
    <x v="1"/>
    <n v="1"/>
    <n v="1"/>
    <n v="1"/>
  </r>
  <r>
    <x v="2"/>
    <n v="2"/>
    <n v="1"/>
    <n v="1"/>
    <n v="2"/>
    <n v="3"/>
    <n v="1"/>
    <n v="4"/>
    <n v="2"/>
    <n v="2"/>
    <n v="2"/>
    <n v="1"/>
    <n v="2"/>
    <n v="1"/>
    <n v="2"/>
    <n v="2"/>
    <n v="1"/>
    <n v="2"/>
    <n v="1"/>
    <m/>
    <m/>
    <n v="1"/>
    <m/>
    <n v="1"/>
    <m/>
    <n v="1"/>
    <m/>
    <m/>
    <n v="2"/>
    <m/>
    <n v="1"/>
    <n v="1"/>
    <n v="2"/>
    <n v="1"/>
    <n v="1"/>
    <n v="1"/>
    <n v="1"/>
    <n v="1"/>
    <n v="1"/>
    <n v="1"/>
    <n v="2"/>
    <n v="4"/>
    <n v="1"/>
    <n v="1"/>
    <n v="4"/>
    <n v="8"/>
    <n v="1"/>
    <n v="4"/>
    <n v="1"/>
    <n v="2"/>
    <n v="1"/>
    <m/>
    <m/>
    <n v="2"/>
    <n v="1"/>
    <n v="1"/>
    <n v="2"/>
    <n v="2"/>
    <n v="1"/>
    <n v="2"/>
    <n v="1"/>
    <n v="2"/>
    <n v="1"/>
    <m/>
    <n v="2"/>
    <m/>
    <m/>
    <m/>
    <n v="4"/>
    <n v="1"/>
    <n v="2"/>
    <x v="2"/>
    <n v="1970"/>
    <n v="1"/>
    <m/>
    <n v="5"/>
    <m/>
    <n v="2"/>
    <m/>
    <n v="2"/>
    <m/>
    <n v="1"/>
    <n v="1"/>
    <n v="43"/>
    <x v="2"/>
    <n v="2"/>
    <n v="3"/>
    <n v="2"/>
  </r>
  <r>
    <x v="2"/>
    <n v="1"/>
    <n v="2"/>
    <n v="2"/>
    <n v="4"/>
    <n v="3"/>
    <n v="1"/>
    <n v="4"/>
    <n v="2"/>
    <n v="1"/>
    <n v="2"/>
    <n v="1"/>
    <n v="3"/>
    <n v="2"/>
    <n v="3"/>
    <n v="1"/>
    <n v="2"/>
    <n v="1"/>
    <n v="2"/>
    <n v="1"/>
    <m/>
    <m/>
    <m/>
    <n v="1"/>
    <n v="1"/>
    <m/>
    <n v="1"/>
    <m/>
    <n v="2"/>
    <m/>
    <n v="1"/>
    <n v="1"/>
    <n v="2"/>
    <n v="1"/>
    <n v="1"/>
    <n v="1"/>
    <n v="2"/>
    <n v="1"/>
    <n v="1"/>
    <n v="2"/>
    <n v="3"/>
    <n v="1"/>
    <n v="2"/>
    <n v="3"/>
    <n v="2"/>
    <n v="1"/>
    <n v="2"/>
    <n v="3"/>
    <n v="4"/>
    <n v="3"/>
    <n v="3"/>
    <m/>
    <m/>
    <n v="2"/>
    <n v="1"/>
    <n v="2"/>
    <n v="2"/>
    <n v="2"/>
    <n v="2"/>
    <n v="2"/>
    <n v="1"/>
    <n v="3"/>
    <n v="3"/>
    <m/>
    <n v="1"/>
    <n v="2"/>
    <n v="8"/>
    <m/>
    <n v="5"/>
    <n v="4"/>
    <n v="4"/>
    <x v="2"/>
    <n v="1990"/>
    <n v="3"/>
    <m/>
    <n v="4"/>
    <m/>
    <n v="4"/>
    <m/>
    <n v="3"/>
    <m/>
    <n v="2"/>
    <n v="1"/>
    <n v="23"/>
    <x v="1"/>
    <n v="2"/>
    <n v="4"/>
    <n v="2"/>
  </r>
  <r>
    <x v="3"/>
    <n v="2"/>
    <n v="3"/>
    <n v="4"/>
    <n v="1"/>
    <n v="3"/>
    <n v="2"/>
    <n v="2"/>
    <n v="2"/>
    <n v="2"/>
    <n v="2"/>
    <n v="1"/>
    <n v="2"/>
    <n v="3"/>
    <n v="3"/>
    <n v="1"/>
    <n v="3"/>
    <n v="1"/>
    <n v="1"/>
    <n v="1"/>
    <n v="1"/>
    <m/>
    <n v="1"/>
    <n v="1"/>
    <n v="1"/>
    <n v="1"/>
    <m/>
    <m/>
    <n v="2"/>
    <m/>
    <n v="1"/>
    <n v="1"/>
    <n v="2"/>
    <n v="2"/>
    <n v="1"/>
    <n v="2"/>
    <n v="2"/>
    <n v="1"/>
    <n v="1"/>
    <n v="1"/>
    <n v="4"/>
    <n v="3"/>
    <n v="3"/>
    <n v="2"/>
    <n v="3"/>
    <n v="1"/>
    <n v="3"/>
    <n v="2"/>
    <n v="2"/>
    <n v="4"/>
    <n v="2"/>
    <m/>
    <m/>
    <n v="2"/>
    <n v="1"/>
    <n v="2"/>
    <n v="2"/>
    <n v="1"/>
    <n v="2"/>
    <n v="2"/>
    <n v="2"/>
    <n v="4"/>
    <m/>
    <m/>
    <n v="1"/>
    <n v="2"/>
    <n v="7"/>
    <m/>
    <n v="1"/>
    <n v="2"/>
    <n v="1"/>
    <x v="2"/>
    <n v="1983"/>
    <n v="1"/>
    <m/>
    <n v="1"/>
    <m/>
    <n v="1"/>
    <m/>
    <n v="4"/>
    <m/>
    <n v="3"/>
    <n v="1"/>
    <n v="30"/>
    <x v="1"/>
    <n v="2"/>
    <n v="3"/>
    <n v="2"/>
  </r>
  <r>
    <x v="4"/>
    <n v="7"/>
    <n v="2"/>
    <n v="2"/>
    <n v="5"/>
    <n v="2"/>
    <n v="4"/>
    <n v="1"/>
    <n v="1"/>
    <n v="2"/>
    <n v="1"/>
    <n v="2"/>
    <n v="2"/>
    <n v="3"/>
    <n v="2"/>
    <n v="1"/>
    <n v="2"/>
    <n v="2"/>
    <n v="1"/>
    <m/>
    <n v="1"/>
    <n v="1"/>
    <n v="1"/>
    <n v="1"/>
    <n v="1"/>
    <m/>
    <m/>
    <m/>
    <n v="2"/>
    <m/>
    <n v="1"/>
    <n v="1"/>
    <n v="1"/>
    <n v="2"/>
    <n v="2"/>
    <n v="2"/>
    <n v="1"/>
    <n v="2"/>
    <n v="2"/>
    <m/>
    <n v="7"/>
    <n v="3"/>
    <n v="3"/>
    <n v="1"/>
    <n v="2"/>
    <n v="3"/>
    <n v="2"/>
    <n v="1"/>
    <n v="3"/>
    <n v="2"/>
    <n v="4"/>
    <m/>
    <m/>
    <n v="1"/>
    <n v="2"/>
    <n v="2"/>
    <n v="1"/>
    <n v="1"/>
    <n v="2"/>
    <n v="2"/>
    <n v="1"/>
    <n v="1"/>
    <n v="6"/>
    <m/>
    <n v="2"/>
    <m/>
    <m/>
    <m/>
    <n v="3"/>
    <n v="3"/>
    <m/>
    <x v="2"/>
    <n v="1967"/>
    <n v="1"/>
    <m/>
    <n v="2"/>
    <m/>
    <n v="3"/>
    <m/>
    <n v="4"/>
    <m/>
    <n v="2"/>
    <n v="1"/>
    <n v="46"/>
    <x v="2"/>
    <n v="3"/>
    <n v="5"/>
    <n v="3"/>
  </r>
  <r>
    <x v="3"/>
    <n v="4"/>
    <n v="1"/>
    <n v="3"/>
    <n v="2"/>
    <n v="4"/>
    <n v="1"/>
    <n v="2"/>
    <n v="1"/>
    <n v="3"/>
    <n v="1"/>
    <n v="2"/>
    <n v="1"/>
    <n v="3"/>
    <n v="1"/>
    <n v="1"/>
    <n v="2"/>
    <n v="1"/>
    <n v="1"/>
    <m/>
    <n v="1"/>
    <m/>
    <m/>
    <m/>
    <n v="1"/>
    <m/>
    <m/>
    <m/>
    <n v="2"/>
    <m/>
    <n v="1"/>
    <n v="1"/>
    <n v="1"/>
    <n v="2"/>
    <n v="2"/>
    <n v="1"/>
    <n v="1"/>
    <n v="2"/>
    <n v="1"/>
    <n v="1"/>
    <n v="4"/>
    <n v="2"/>
    <n v="2"/>
    <n v="2"/>
    <n v="3"/>
    <n v="2"/>
    <n v="4"/>
    <n v="4"/>
    <n v="2"/>
    <n v="1"/>
    <m/>
    <m/>
    <m/>
    <n v="1"/>
    <n v="2"/>
    <n v="1"/>
    <n v="1"/>
    <n v="2"/>
    <n v="1"/>
    <n v="1"/>
    <n v="2"/>
    <n v="4"/>
    <m/>
    <m/>
    <n v="2"/>
    <m/>
    <m/>
    <m/>
    <n v="2"/>
    <n v="2"/>
    <n v="1"/>
    <x v="2"/>
    <n v="1962"/>
    <n v="2"/>
    <m/>
    <n v="3"/>
    <m/>
    <n v="3"/>
    <m/>
    <n v="1"/>
    <m/>
    <n v="1"/>
    <n v="1"/>
    <n v="51"/>
    <x v="2"/>
    <n v="2"/>
    <n v="2"/>
    <n v="2"/>
  </r>
  <r>
    <x v="5"/>
    <n v="7"/>
    <n v="7"/>
    <n v="5"/>
    <n v="3"/>
    <n v="1"/>
    <n v="2"/>
    <n v="3"/>
    <n v="2"/>
    <n v="2"/>
    <n v="2"/>
    <n v="3"/>
    <n v="4"/>
    <n v="2"/>
    <n v="2"/>
    <n v="4"/>
    <n v="1"/>
    <n v="1"/>
    <n v="2"/>
    <m/>
    <m/>
    <m/>
    <n v="1"/>
    <m/>
    <n v="1"/>
    <m/>
    <m/>
    <m/>
    <n v="2"/>
    <m/>
    <n v="2"/>
    <n v="2"/>
    <n v="1"/>
    <n v="2"/>
    <n v="2"/>
    <n v="1"/>
    <n v="2"/>
    <n v="2"/>
    <n v="2"/>
    <m/>
    <n v="2"/>
    <n v="1"/>
    <n v="1"/>
    <n v="1"/>
    <n v="3"/>
    <n v="3"/>
    <n v="1"/>
    <n v="8"/>
    <n v="1"/>
    <n v="3"/>
    <n v="2"/>
    <m/>
    <m/>
    <n v="1"/>
    <n v="2"/>
    <n v="1"/>
    <n v="1"/>
    <n v="1"/>
    <n v="1"/>
    <n v="1"/>
    <n v="1"/>
    <n v="1"/>
    <n v="7"/>
    <m/>
    <n v="1"/>
    <n v="2"/>
    <n v="6"/>
    <m/>
    <n v="1"/>
    <n v="3"/>
    <n v="3"/>
    <x v="2"/>
    <n v="1994"/>
    <n v="3"/>
    <m/>
    <n v="3"/>
    <m/>
    <n v="2"/>
    <m/>
    <n v="2"/>
    <m/>
    <n v="4"/>
    <n v="1"/>
    <n v="19"/>
    <x v="1"/>
    <n v="2"/>
    <n v="4"/>
    <n v="2"/>
  </r>
  <r>
    <x v="5"/>
    <n v="1"/>
    <n v="1"/>
    <n v="2"/>
    <n v="5"/>
    <n v="2"/>
    <n v="3"/>
    <n v="2"/>
    <n v="4"/>
    <n v="2"/>
    <n v="3"/>
    <n v="2"/>
    <n v="1"/>
    <n v="4"/>
    <n v="1"/>
    <n v="4"/>
    <n v="4"/>
    <n v="2"/>
    <n v="2"/>
    <m/>
    <m/>
    <n v="1"/>
    <n v="1"/>
    <m/>
    <m/>
    <n v="1"/>
    <m/>
    <m/>
    <n v="1"/>
    <m/>
    <n v="2"/>
    <n v="2"/>
    <n v="1"/>
    <n v="2"/>
    <n v="2"/>
    <n v="2"/>
    <n v="1"/>
    <n v="2"/>
    <n v="1"/>
    <n v="2"/>
    <n v="3"/>
    <n v="1"/>
    <n v="2"/>
    <n v="3"/>
    <n v="4"/>
    <n v="2"/>
    <n v="3"/>
    <n v="8"/>
    <n v="4"/>
    <n v="2"/>
    <n v="1"/>
    <m/>
    <m/>
    <n v="1"/>
    <n v="1"/>
    <n v="1"/>
    <n v="1"/>
    <n v="1"/>
    <n v="1"/>
    <n v="1"/>
    <n v="2"/>
    <n v="3"/>
    <n v="2"/>
    <m/>
    <n v="2"/>
    <m/>
    <m/>
    <m/>
    <n v="3"/>
    <n v="2"/>
    <n v="2"/>
    <x v="1"/>
    <n v="1983"/>
    <n v="2"/>
    <m/>
    <n v="2"/>
    <m/>
    <n v="1"/>
    <m/>
    <n v="3"/>
    <m/>
    <n v="1"/>
    <n v="1"/>
    <n v="30"/>
    <x v="1"/>
    <n v="2"/>
    <n v="4"/>
    <n v="2"/>
  </r>
  <r>
    <x v="3"/>
    <n v="2"/>
    <n v="2"/>
    <n v="5"/>
    <n v="2"/>
    <n v="1"/>
    <n v="3"/>
    <n v="3"/>
    <n v="1"/>
    <n v="4"/>
    <n v="2"/>
    <n v="3"/>
    <n v="2"/>
    <n v="4"/>
    <n v="4"/>
    <n v="3"/>
    <n v="1"/>
    <n v="2"/>
    <n v="2"/>
    <n v="1"/>
    <n v="1"/>
    <m/>
    <n v="1"/>
    <n v="1"/>
    <n v="1"/>
    <m/>
    <m/>
    <m/>
    <n v="1"/>
    <m/>
    <n v="2"/>
    <n v="2"/>
    <n v="1"/>
    <n v="2"/>
    <n v="2"/>
    <n v="1"/>
    <n v="2"/>
    <n v="2"/>
    <n v="2"/>
    <m/>
    <n v="1"/>
    <n v="4"/>
    <n v="3"/>
    <n v="2"/>
    <n v="1"/>
    <n v="3"/>
    <n v="2"/>
    <n v="8"/>
    <n v="2"/>
    <n v="1"/>
    <m/>
    <m/>
    <m/>
    <n v="2"/>
    <n v="1"/>
    <n v="2"/>
    <n v="2"/>
    <n v="1"/>
    <n v="2"/>
    <n v="1"/>
    <n v="1"/>
    <n v="2"/>
    <n v="2"/>
    <m/>
    <n v="1"/>
    <n v="1"/>
    <n v="1"/>
    <m/>
    <n v="8"/>
    <n v="3"/>
    <n v="5"/>
    <x v="1"/>
    <n v="1975"/>
    <n v="3"/>
    <m/>
    <n v="2"/>
    <m/>
    <n v="4"/>
    <m/>
    <n v="2"/>
    <m/>
    <n v="3"/>
    <n v="1"/>
    <n v="38"/>
    <x v="1"/>
    <n v="2"/>
    <n v="2"/>
    <n v="1"/>
  </r>
  <r>
    <x v="4"/>
    <n v="3"/>
    <n v="7"/>
    <n v="5"/>
    <n v="5"/>
    <n v="2"/>
    <n v="3"/>
    <n v="2"/>
    <n v="2"/>
    <n v="4"/>
    <n v="3"/>
    <n v="2"/>
    <n v="3"/>
    <n v="4"/>
    <n v="1"/>
    <n v="2"/>
    <n v="2"/>
    <n v="1"/>
    <n v="1"/>
    <m/>
    <m/>
    <n v="1"/>
    <m/>
    <m/>
    <n v="1"/>
    <m/>
    <n v="1"/>
    <m/>
    <n v="1"/>
    <m/>
    <n v="2"/>
    <n v="2"/>
    <n v="1"/>
    <n v="1"/>
    <n v="2"/>
    <n v="2"/>
    <n v="2"/>
    <n v="2"/>
    <n v="2"/>
    <m/>
    <n v="2"/>
    <n v="1"/>
    <n v="4"/>
    <n v="2"/>
    <n v="2"/>
    <n v="2"/>
    <n v="1"/>
    <n v="8"/>
    <n v="3"/>
    <n v="3"/>
    <n v="3"/>
    <m/>
    <m/>
    <n v="2"/>
    <n v="2"/>
    <n v="2"/>
    <n v="2"/>
    <n v="2"/>
    <n v="2"/>
    <n v="1"/>
    <n v="1"/>
    <n v="2"/>
    <n v="3"/>
    <m/>
    <n v="1"/>
    <n v="2"/>
    <n v="5"/>
    <m/>
    <n v="2"/>
    <n v="2"/>
    <n v="5"/>
    <x v="1"/>
    <n v="1979"/>
    <n v="3"/>
    <m/>
    <n v="1"/>
    <m/>
    <n v="1"/>
    <m/>
    <n v="1"/>
    <m/>
    <n v="2"/>
    <n v="1"/>
    <n v="34"/>
    <x v="1"/>
    <n v="1"/>
    <n v="1"/>
    <n v="1"/>
  </r>
  <r>
    <x v="2"/>
    <n v="1"/>
    <n v="1"/>
    <n v="1"/>
    <n v="3"/>
    <n v="3"/>
    <n v="3"/>
    <n v="3"/>
    <n v="2"/>
    <n v="2"/>
    <n v="2"/>
    <n v="4"/>
    <n v="2"/>
    <n v="1"/>
    <n v="4"/>
    <n v="2"/>
    <n v="3"/>
    <n v="1"/>
    <n v="2"/>
    <m/>
    <m/>
    <n v="1"/>
    <m/>
    <m/>
    <m/>
    <m/>
    <m/>
    <m/>
    <n v="1"/>
    <m/>
    <n v="2"/>
    <n v="2"/>
    <n v="2"/>
    <n v="1"/>
    <n v="2"/>
    <n v="1"/>
    <n v="1"/>
    <n v="1"/>
    <n v="2"/>
    <m/>
    <n v="3"/>
    <n v="2"/>
    <n v="1"/>
    <n v="2"/>
    <n v="4"/>
    <n v="4"/>
    <n v="4"/>
    <n v="3"/>
    <n v="8"/>
    <n v="1"/>
    <m/>
    <m/>
    <m/>
    <n v="2"/>
    <n v="2"/>
    <n v="2"/>
    <n v="2"/>
    <n v="2"/>
    <n v="2"/>
    <n v="2"/>
    <n v="2"/>
    <n v="3"/>
    <n v="5"/>
    <m/>
    <n v="2"/>
    <m/>
    <m/>
    <m/>
    <n v="1"/>
    <n v="1"/>
    <n v="5"/>
    <x v="1"/>
    <n v="1957"/>
    <n v="3"/>
    <m/>
    <n v="1"/>
    <m/>
    <n v="3"/>
    <m/>
    <n v="4"/>
    <m/>
    <n v="3"/>
    <n v="1"/>
    <n v="56"/>
    <x v="2"/>
    <n v="1"/>
    <n v="1"/>
    <n v="1"/>
  </r>
  <r>
    <x v="1"/>
    <n v="2"/>
    <n v="2"/>
    <n v="4"/>
    <n v="2"/>
    <n v="1"/>
    <n v="2"/>
    <n v="2"/>
    <n v="3"/>
    <n v="4"/>
    <n v="4"/>
    <n v="2"/>
    <n v="1"/>
    <n v="2"/>
    <n v="1"/>
    <n v="3"/>
    <n v="1"/>
    <n v="2"/>
    <n v="1"/>
    <n v="1"/>
    <n v="1"/>
    <n v="1"/>
    <m/>
    <m/>
    <m/>
    <n v="1"/>
    <m/>
    <m/>
    <n v="1"/>
    <m/>
    <n v="1"/>
    <n v="2"/>
    <n v="1"/>
    <n v="1"/>
    <n v="1"/>
    <n v="2"/>
    <n v="2"/>
    <n v="1"/>
    <n v="1"/>
    <n v="2"/>
    <n v="1"/>
    <n v="3"/>
    <n v="7"/>
    <n v="3"/>
    <n v="1"/>
    <n v="2"/>
    <n v="2"/>
    <n v="2"/>
    <n v="2"/>
    <n v="4"/>
    <n v="4"/>
    <m/>
    <m/>
    <n v="1"/>
    <n v="1"/>
    <n v="1"/>
    <n v="2"/>
    <n v="2"/>
    <n v="1"/>
    <n v="2"/>
    <n v="2"/>
    <n v="3"/>
    <n v="98"/>
    <m/>
    <n v="1"/>
    <n v="4"/>
    <n v="4"/>
    <m/>
    <n v="2"/>
    <n v="3"/>
    <m/>
    <x v="2"/>
    <n v="1946"/>
    <n v="2"/>
    <m/>
    <n v="5"/>
    <m/>
    <n v="2"/>
    <m/>
    <n v="2"/>
    <m/>
    <n v="2"/>
    <n v="1"/>
    <n v="67"/>
    <x v="3"/>
    <n v="2"/>
    <n v="4"/>
    <n v="3"/>
  </r>
  <r>
    <x v="3"/>
    <n v="4"/>
    <n v="3"/>
    <n v="2"/>
    <n v="5"/>
    <n v="2"/>
    <n v="2"/>
    <n v="3"/>
    <n v="2"/>
    <n v="3"/>
    <n v="2"/>
    <n v="3"/>
    <n v="1"/>
    <n v="3"/>
    <n v="2"/>
    <n v="2"/>
    <n v="2"/>
    <n v="2"/>
    <n v="2"/>
    <n v="1"/>
    <m/>
    <m/>
    <m/>
    <n v="1"/>
    <n v="1"/>
    <m/>
    <m/>
    <m/>
    <n v="1"/>
    <m/>
    <n v="1"/>
    <n v="2"/>
    <n v="2"/>
    <n v="2"/>
    <n v="1"/>
    <n v="1"/>
    <n v="1"/>
    <n v="1"/>
    <n v="2"/>
    <m/>
    <n v="2"/>
    <n v="1"/>
    <n v="4"/>
    <n v="3"/>
    <n v="3"/>
    <n v="3"/>
    <n v="3"/>
    <n v="1"/>
    <n v="1"/>
    <n v="1"/>
    <m/>
    <m/>
    <m/>
    <n v="1"/>
    <n v="2"/>
    <n v="1"/>
    <n v="1"/>
    <n v="1"/>
    <n v="1"/>
    <n v="1"/>
    <n v="1"/>
    <n v="2"/>
    <n v="1"/>
    <m/>
    <n v="1"/>
    <n v="2"/>
    <n v="98"/>
    <m/>
    <n v="3"/>
    <n v="2"/>
    <n v="1"/>
    <x v="1"/>
    <n v="1947"/>
    <n v="1"/>
    <m/>
    <n v="6"/>
    <m/>
    <n v="4"/>
    <m/>
    <n v="1"/>
    <m/>
    <n v="2"/>
    <n v="1"/>
    <n v="66"/>
    <x v="3"/>
    <n v="2"/>
    <n v="3"/>
    <n v="2"/>
  </r>
  <r>
    <x v="3"/>
    <n v="7"/>
    <n v="3"/>
    <n v="3"/>
    <n v="2"/>
    <n v="1"/>
    <n v="2"/>
    <n v="2"/>
    <n v="2"/>
    <n v="2"/>
    <n v="3"/>
    <n v="2"/>
    <n v="2"/>
    <n v="2"/>
    <n v="3"/>
    <n v="3"/>
    <n v="4"/>
    <n v="2"/>
    <n v="1"/>
    <m/>
    <n v="1"/>
    <n v="1"/>
    <n v="1"/>
    <m/>
    <m/>
    <m/>
    <m/>
    <m/>
    <n v="2"/>
    <m/>
    <n v="1"/>
    <n v="2"/>
    <n v="1"/>
    <n v="2"/>
    <n v="1"/>
    <n v="2"/>
    <n v="2"/>
    <n v="1"/>
    <n v="2"/>
    <m/>
    <n v="3"/>
    <n v="7"/>
    <n v="1"/>
    <n v="1"/>
    <n v="2"/>
    <n v="2"/>
    <n v="2"/>
    <n v="3"/>
    <n v="3"/>
    <n v="2"/>
    <n v="3"/>
    <m/>
    <m/>
    <n v="2"/>
    <n v="1"/>
    <n v="1"/>
    <n v="1"/>
    <n v="2"/>
    <n v="2"/>
    <n v="2"/>
    <n v="2"/>
    <n v="4"/>
    <m/>
    <m/>
    <n v="2"/>
    <m/>
    <m/>
    <m/>
    <n v="5"/>
    <n v="4"/>
    <n v="3"/>
    <x v="2"/>
    <n v="1984"/>
    <n v="3"/>
    <m/>
    <n v="4"/>
    <m/>
    <n v="6"/>
    <m/>
    <n v="3"/>
    <m/>
    <n v="1"/>
    <n v="1"/>
    <n v="29"/>
    <x v="1"/>
    <n v="2"/>
    <n v="4"/>
    <n v="2"/>
  </r>
  <r>
    <x v="2"/>
    <n v="2"/>
    <n v="2"/>
    <n v="5"/>
    <n v="4"/>
    <n v="2"/>
    <n v="2"/>
    <n v="2"/>
    <n v="1"/>
    <n v="1"/>
    <n v="2"/>
    <n v="1"/>
    <n v="4"/>
    <n v="1"/>
    <n v="3"/>
    <n v="1"/>
    <n v="1"/>
    <n v="1"/>
    <n v="2"/>
    <n v="1"/>
    <m/>
    <n v="1"/>
    <m/>
    <m/>
    <n v="1"/>
    <n v="1"/>
    <m/>
    <m/>
    <n v="2"/>
    <m/>
    <n v="2"/>
    <n v="1"/>
    <n v="2"/>
    <n v="1"/>
    <n v="1"/>
    <n v="1"/>
    <n v="1"/>
    <n v="2"/>
    <n v="1"/>
    <n v="1"/>
    <n v="4"/>
    <n v="1"/>
    <n v="2"/>
    <n v="1"/>
    <n v="2"/>
    <n v="1"/>
    <n v="1"/>
    <n v="2"/>
    <n v="8"/>
    <n v="3"/>
    <n v="2"/>
    <m/>
    <m/>
    <n v="1"/>
    <n v="2"/>
    <n v="2"/>
    <n v="2"/>
    <n v="2"/>
    <n v="2"/>
    <n v="1"/>
    <n v="1"/>
    <n v="1"/>
    <n v="8"/>
    <m/>
    <n v="2"/>
    <m/>
    <m/>
    <m/>
    <n v="3"/>
    <n v="3"/>
    <n v="1"/>
    <x v="1"/>
    <n v="1989"/>
    <n v="2"/>
    <m/>
    <n v="7"/>
    <m/>
    <n v="4"/>
    <m/>
    <n v="2"/>
    <m/>
    <n v="2"/>
    <n v="1"/>
    <n v="24"/>
    <x v="1"/>
    <n v="2"/>
    <n v="2"/>
    <n v="2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4"/>
    <n v="3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7"/>
    <m/>
    <m/>
    <m/>
    <m/>
    <m/>
    <m/>
    <m/>
    <m/>
    <m/>
    <n v="1"/>
    <n v="26"/>
    <x v="1"/>
    <n v="2"/>
    <n v="4"/>
    <n v="3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3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1"/>
    <m/>
    <m/>
    <m/>
    <m/>
    <m/>
    <m/>
    <m/>
    <m/>
    <m/>
    <n v="1"/>
    <n v="32"/>
    <x v="1"/>
    <n v="2"/>
    <n v="4"/>
    <n v="3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70"/>
    <m/>
    <m/>
    <m/>
    <m/>
    <m/>
    <m/>
    <m/>
    <m/>
    <m/>
    <n v="1"/>
    <n v="43"/>
    <x v="2"/>
    <n v="2"/>
    <n v="4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08">
  <r>
    <x v="0"/>
    <s v="À votre avis, le motif de cette discrimination était lié …"/>
    <s v="Autre, précisez :"/>
    <s v="Au cours des deux dernières années, avez-vous subi un accident qui vous a occasionné une blessure pour laquelle vous avez dû consulter un professionnel de la santé ou limiter vos activités ?"/>
    <s v="Combien de fois cela s'est-il produit ?"/>
    <s v="En se référant au dernier événement, était-ce … ?"/>
    <s v="Autre, précisez :"/>
    <s v="Maintenant, comparativement à d'autres personnes de votre âge, dirirez-vous que votre santé est en général …"/>
    <s v="Dans quel quartier habitez-vous ?"/>
    <s v="Combien de personne de moins de 18 ans habitent dans votre foyer ?"/>
    <x v="0"/>
    <s v="Quelle est votre année de naissance ?"/>
    <s v="Êtes-vous propriétaire ou locataire du logement que vous habitez ?"/>
    <s v="Autre, précisez : "/>
    <s v="Habitez-vous dans …"/>
    <s v="Autre, précisez : "/>
    <s v="Quel est votre état civil ?"/>
    <s v="Autre, précisez : "/>
    <s v="Où est situé votre lieu de travail habituel ?"/>
    <s v="Autre, précisez : "/>
    <s v="Quel est le plus haut niveau de scolarité que vous avez complété ?"/>
    <m/>
    <m/>
    <x v="0"/>
    <m/>
    <m/>
    <m/>
  </r>
  <r>
    <x v="1"/>
    <n v="2"/>
    <m/>
    <n v="1"/>
    <n v="4"/>
    <n v="5"/>
    <m/>
    <n v="2"/>
    <n v="4"/>
    <n v="5"/>
    <x v="1"/>
    <n v="1981"/>
    <n v="2"/>
    <m/>
    <n v="7"/>
    <m/>
    <n v="1"/>
    <m/>
    <n v="1"/>
    <m/>
    <n v="4"/>
    <n v="1"/>
    <n v="32"/>
    <x v="1"/>
    <n v="1"/>
    <n v="1"/>
    <n v="1"/>
  </r>
  <r>
    <x v="2"/>
    <n v="1"/>
    <m/>
    <n v="2"/>
    <m/>
    <m/>
    <m/>
    <n v="4"/>
    <n v="1"/>
    <n v="2"/>
    <x v="2"/>
    <n v="1970"/>
    <n v="1"/>
    <m/>
    <n v="5"/>
    <m/>
    <n v="2"/>
    <m/>
    <n v="2"/>
    <m/>
    <n v="1"/>
    <n v="1"/>
    <n v="43"/>
    <x v="2"/>
    <n v="2"/>
    <n v="3"/>
    <n v="2"/>
  </r>
  <r>
    <x v="3"/>
    <n v="3"/>
    <m/>
    <n v="1"/>
    <n v="2"/>
    <n v="8"/>
    <m/>
    <n v="5"/>
    <n v="4"/>
    <n v="4"/>
    <x v="2"/>
    <n v="1990"/>
    <n v="3"/>
    <m/>
    <n v="4"/>
    <m/>
    <n v="4"/>
    <m/>
    <n v="3"/>
    <m/>
    <n v="2"/>
    <n v="1"/>
    <n v="23"/>
    <x v="1"/>
    <n v="2"/>
    <n v="4"/>
    <n v="2"/>
  </r>
  <r>
    <x v="4"/>
    <m/>
    <m/>
    <n v="1"/>
    <n v="2"/>
    <n v="7"/>
    <m/>
    <n v="1"/>
    <n v="2"/>
    <n v="1"/>
    <x v="2"/>
    <n v="1983"/>
    <n v="1"/>
    <m/>
    <n v="1"/>
    <m/>
    <n v="1"/>
    <m/>
    <n v="4"/>
    <m/>
    <n v="3"/>
    <n v="1"/>
    <n v="30"/>
    <x v="1"/>
    <n v="2"/>
    <n v="3"/>
    <n v="2"/>
  </r>
  <r>
    <x v="1"/>
    <n v="6"/>
    <m/>
    <n v="2"/>
    <m/>
    <m/>
    <m/>
    <n v="3"/>
    <n v="3"/>
    <m/>
    <x v="2"/>
    <n v="1967"/>
    <n v="1"/>
    <m/>
    <n v="2"/>
    <m/>
    <n v="3"/>
    <m/>
    <n v="4"/>
    <m/>
    <n v="2"/>
    <n v="1"/>
    <n v="46"/>
    <x v="2"/>
    <n v="3"/>
    <n v="5"/>
    <n v="3"/>
  </r>
  <r>
    <x v="4"/>
    <m/>
    <m/>
    <n v="2"/>
    <m/>
    <m/>
    <m/>
    <n v="2"/>
    <n v="2"/>
    <n v="1"/>
    <x v="2"/>
    <n v="1962"/>
    <n v="2"/>
    <m/>
    <n v="3"/>
    <m/>
    <n v="3"/>
    <m/>
    <n v="1"/>
    <m/>
    <n v="1"/>
    <n v="1"/>
    <n v="51"/>
    <x v="2"/>
    <n v="2"/>
    <n v="2"/>
    <n v="2"/>
  </r>
  <r>
    <x v="1"/>
    <n v="7"/>
    <m/>
    <n v="1"/>
    <n v="2"/>
    <n v="6"/>
    <m/>
    <n v="1"/>
    <n v="3"/>
    <n v="3"/>
    <x v="2"/>
    <n v="1994"/>
    <n v="3"/>
    <m/>
    <n v="3"/>
    <m/>
    <n v="2"/>
    <m/>
    <n v="2"/>
    <m/>
    <n v="4"/>
    <n v="1"/>
    <n v="19"/>
    <x v="1"/>
    <n v="2"/>
    <n v="4"/>
    <n v="2"/>
  </r>
  <r>
    <x v="3"/>
    <n v="2"/>
    <m/>
    <n v="2"/>
    <m/>
    <m/>
    <m/>
    <n v="3"/>
    <n v="2"/>
    <n v="2"/>
    <x v="1"/>
    <n v="1983"/>
    <n v="2"/>
    <m/>
    <n v="2"/>
    <m/>
    <n v="1"/>
    <m/>
    <n v="3"/>
    <m/>
    <n v="1"/>
    <n v="1"/>
    <n v="30"/>
    <x v="1"/>
    <n v="2"/>
    <n v="4"/>
    <n v="2"/>
  </r>
  <r>
    <x v="2"/>
    <n v="2"/>
    <m/>
    <n v="1"/>
    <n v="1"/>
    <n v="1"/>
    <m/>
    <n v="8"/>
    <n v="3"/>
    <n v="5"/>
    <x v="1"/>
    <n v="1975"/>
    <n v="3"/>
    <m/>
    <n v="2"/>
    <m/>
    <n v="4"/>
    <m/>
    <n v="2"/>
    <m/>
    <n v="3"/>
    <n v="1"/>
    <n v="38"/>
    <x v="1"/>
    <n v="2"/>
    <n v="2"/>
    <n v="1"/>
  </r>
  <r>
    <x v="2"/>
    <n v="3"/>
    <m/>
    <n v="1"/>
    <n v="2"/>
    <n v="5"/>
    <m/>
    <n v="2"/>
    <n v="2"/>
    <n v="5"/>
    <x v="1"/>
    <n v="1979"/>
    <n v="3"/>
    <m/>
    <n v="1"/>
    <m/>
    <n v="1"/>
    <m/>
    <n v="1"/>
    <m/>
    <n v="2"/>
    <n v="1"/>
    <n v="34"/>
    <x v="1"/>
    <n v="1"/>
    <n v="1"/>
    <n v="1"/>
  </r>
  <r>
    <x v="3"/>
    <n v="5"/>
    <m/>
    <n v="2"/>
    <m/>
    <m/>
    <m/>
    <n v="1"/>
    <n v="1"/>
    <n v="5"/>
    <x v="1"/>
    <n v="1957"/>
    <n v="3"/>
    <m/>
    <n v="1"/>
    <m/>
    <n v="3"/>
    <m/>
    <n v="4"/>
    <m/>
    <n v="3"/>
    <n v="1"/>
    <n v="56"/>
    <x v="2"/>
    <n v="1"/>
    <n v="1"/>
    <n v="1"/>
  </r>
  <r>
    <x v="3"/>
    <n v="98"/>
    <m/>
    <n v="1"/>
    <n v="4"/>
    <n v="4"/>
    <m/>
    <n v="2"/>
    <n v="3"/>
    <m/>
    <x v="2"/>
    <n v="1946"/>
    <n v="2"/>
    <m/>
    <n v="5"/>
    <m/>
    <n v="2"/>
    <m/>
    <n v="2"/>
    <m/>
    <n v="2"/>
    <n v="1"/>
    <n v="67"/>
    <x v="3"/>
    <n v="2"/>
    <n v="4"/>
    <n v="3"/>
  </r>
  <r>
    <x v="2"/>
    <n v="1"/>
    <m/>
    <n v="1"/>
    <n v="2"/>
    <n v="98"/>
    <m/>
    <n v="3"/>
    <n v="2"/>
    <n v="1"/>
    <x v="1"/>
    <n v="1947"/>
    <n v="1"/>
    <m/>
    <n v="6"/>
    <m/>
    <n v="4"/>
    <m/>
    <n v="1"/>
    <m/>
    <n v="2"/>
    <n v="1"/>
    <n v="66"/>
    <x v="3"/>
    <n v="2"/>
    <n v="3"/>
    <n v="2"/>
  </r>
  <r>
    <x v="4"/>
    <m/>
    <m/>
    <n v="2"/>
    <m/>
    <m/>
    <m/>
    <n v="5"/>
    <n v="4"/>
    <n v="3"/>
    <x v="2"/>
    <n v="1984"/>
    <n v="3"/>
    <m/>
    <n v="4"/>
    <m/>
    <n v="6"/>
    <m/>
    <n v="3"/>
    <m/>
    <n v="1"/>
    <n v="1"/>
    <n v="29"/>
    <x v="1"/>
    <n v="2"/>
    <n v="4"/>
    <n v="2"/>
  </r>
  <r>
    <x v="1"/>
    <n v="8"/>
    <m/>
    <n v="2"/>
    <m/>
    <m/>
    <m/>
    <n v="3"/>
    <n v="3"/>
    <n v="1"/>
    <x v="1"/>
    <n v="1989"/>
    <n v="2"/>
    <m/>
    <n v="7"/>
    <m/>
    <n v="4"/>
    <m/>
    <n v="2"/>
    <m/>
    <n v="2"/>
    <n v="1"/>
    <n v="24"/>
    <x v="1"/>
    <n v="2"/>
    <n v="2"/>
    <n v="2"/>
  </r>
  <r>
    <x v="5"/>
    <m/>
    <m/>
    <m/>
    <m/>
    <m/>
    <m/>
    <m/>
    <m/>
    <m/>
    <x v="2"/>
    <n v="1990"/>
    <m/>
    <m/>
    <m/>
    <m/>
    <m/>
    <m/>
    <m/>
    <m/>
    <m/>
    <n v="1"/>
    <n v="23"/>
    <x v="1"/>
    <n v="2"/>
    <n v="4"/>
    <n v="3"/>
  </r>
  <r>
    <x v="5"/>
    <m/>
    <m/>
    <m/>
    <m/>
    <m/>
    <m/>
    <m/>
    <m/>
    <m/>
    <x v="2"/>
    <n v="1987"/>
    <m/>
    <m/>
    <m/>
    <m/>
    <m/>
    <m/>
    <m/>
    <m/>
    <m/>
    <n v="1"/>
    <n v="26"/>
    <x v="1"/>
    <n v="2"/>
    <n v="4"/>
    <n v="3"/>
  </r>
  <r>
    <x v="5"/>
    <m/>
    <m/>
    <m/>
    <m/>
    <m/>
    <m/>
    <m/>
    <m/>
    <m/>
    <x v="2"/>
    <n v="1990"/>
    <m/>
    <m/>
    <m/>
    <m/>
    <m/>
    <m/>
    <m/>
    <m/>
    <m/>
    <n v="1"/>
    <n v="23"/>
    <x v="1"/>
    <n v="2"/>
    <n v="3"/>
    <n v="3"/>
  </r>
  <r>
    <x v="5"/>
    <m/>
    <m/>
    <m/>
    <m/>
    <m/>
    <m/>
    <m/>
    <m/>
    <m/>
    <x v="2"/>
    <n v="1981"/>
    <m/>
    <m/>
    <m/>
    <m/>
    <m/>
    <m/>
    <m/>
    <m/>
    <m/>
    <n v="1"/>
    <n v="32"/>
    <x v="1"/>
    <n v="2"/>
    <n v="4"/>
    <n v="3"/>
  </r>
  <r>
    <x v="5"/>
    <m/>
    <m/>
    <m/>
    <m/>
    <m/>
    <m/>
    <m/>
    <m/>
    <m/>
    <x v="2"/>
    <n v="1970"/>
    <m/>
    <m/>
    <m/>
    <m/>
    <m/>
    <m/>
    <m/>
    <m/>
    <m/>
    <n v="1"/>
    <n v="43"/>
    <x v="2"/>
    <n v="2"/>
    <n v="4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2"/>
    <n v="4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x v="3"/>
    <m/>
    <m/>
    <m/>
    <m/>
    <m/>
    <m/>
    <m/>
    <m/>
    <m/>
    <m/>
    <m/>
    <m/>
    <x v="0"/>
    <m/>
    <m/>
    <m/>
  </r>
</pivotCacheRecords>
</file>

<file path=xl/pivotCache/pivotCacheRecords20.xml><?xml version="1.0" encoding="utf-8"?>
<pivotCacheRecords xmlns="http://schemas.openxmlformats.org/spreadsheetml/2006/main" xmlns:r="http://schemas.openxmlformats.org/officeDocument/2006/relationships" count="632">
  <r>
    <x v="0"/>
    <s v="Dites-nous à combien vous évaluez le risque d'être personnellement intimidé(e) ou agressé(e) dans votre quartier : Lorsque vous attendez ou prenez le transport en commun, ce risque est …"/>
    <s v="Dites-nous à combien vous évaluez le risque que les jeunes de moins de 18 ans qui vivent avec vous (à temps plein ou à temps partiel) soient intimidés ou agressés lorqu'ils vont dehors dans votre quartier. Ce risque est …"/>
    <s v="Habituellement, combien de fois sortez-vous seul(e) dans votre quartier APRÈS LA TOMBÉE DU JOUR ? Est-ce ... "/>
    <s v="Dans votre quartier, les problèmes causés par des gens bruyants sont … ?"/>
    <s v="Dans votre quartier, les désordres liés à la consommation d'alcool dans les lieux publics sont … ?"/>
    <s v="Dans votre quartier, les désordres liés à la vente ou à la consommation de drogue sont … ?"/>
    <s v="Dans votre quartier, les problèmes liés à la criminalité sont … ?"/>
    <s v="Dans votre quartier, les problèmes causés par les gens qui traînent dans les lieux publics sont … ?"/>
    <s v="Dans votre quartier, les actes de vandalisme sont … ?"/>
    <s v="Dans votre quartier, les conflits entre les groupes d'origines ethniques différentes sont … ?"/>
    <s v="Dans votre quartier, les conflits entre d'autres groupes d'individus sont … ?"/>
    <s v="Dans votre quartier, les graffiti sont … ?"/>
    <s v="Dans votre quartier, les immeubles ou bâtiments abandonnés ou mal entretenus sont... ?"/>
    <s v="Dans votre quartier, le niveau d'entraide entre les personnes est... ?"/>
    <s v="Dans votre quartier, le niveau de confiance qui règne entre la plupart des personnes est... ?"/>
    <s v="Dans votre quartier, les comportements des jeunes ou des groupes de jeunes sont-ils pour vous une source de menace ou d'insécurité ?"/>
    <s v="Y a-t-il d'autres individus ou des groupes d'individus dont les comportements sont pour vous une source de menace ou d'insécurité ?"/>
    <s v="De quel type ou groupe d'individus s'agit-il ?  Toxicomanes ou revendeur de drogue"/>
    <s v="De quel type ou groupe d'individus s'agit-il ? Gangs de motards / milieu criminel"/>
    <s v="De quel type ou groupe d'individus s'agit-il ? Sollicitation (vendeurs, mouvements religieux, ex-détenus, etc.)"/>
    <s v="De quel type ou groupe d'individus s'agit-il ? Itinérants"/>
    <s v="De quel type ou groupe d'individus s'agit-il ? Individus ou groupes d'individus en état d'ébriété"/>
    <s v="De quel type ou groupe d'individus s'agit-il ? Personnes d'une communauté culturelle différente de la mienne"/>
    <s v="De quel type ou groupe d'individus s'agit-il ? Voisins"/>
    <s v="De quel type ou groupe d'individus s'agit-il ? Autre"/>
    <s v="De quel type ou groupe d'individus s'agit-il ? Autre, précisez"/>
    <s v="Y a-t-il dans votre quartier des endroits que vous évitez de fréquenter pour des raisons de sécurité ?"/>
    <s v="Lesquels ?"/>
    <s v="Veuillez répondre à chacun des énoncés suivants. Quand je me déplace dans mon quartier, j'apporte habituellement quelque chose pour assurer ma protection. "/>
    <s v="Veuillez répondre à chacun des énoncés suivants. Lorsque je suis dans mon quartier, je vérifie qu'aucun intrus ne se trouve à l'intérieur de ma voiture avant d'y monter."/>
    <s v="Veuillez répondre à chacun des énoncés suivants. À mon domicile, j'évite d'ouvrir la porte à des inconnus, pour des raisons de sécurité. "/>
    <s v="Veuillez répondre à chacun des énoncés suivants. Je garde les portes extérieures de mon domicile constamment verrouillées, même lorsque je suis chez moi. "/>
    <s v="Veuillez répondre à chacun des énoncés suivants. Spécialement par mesure de protection, il y a un chien à mon domicile. "/>
    <s v="Veuillez répondre à chacun des énoncés suivants. J'ai un système d'alarme que j'active régulièrement pour protéger mon domicile contre le vol."/>
    <s v="Veuillez répondre à chacun des énoncés suivants. Spécialement par mesure de protection, j'ai suivi un cours d'autodéfense. "/>
    <s v="Veuillez répondre à chacun des énoncés suivants. Spécialement par mesure de protection, il y a une arme à feu à mon domicile. "/>
    <s v="Est-ce qu'il y a à votre domicile au moins un détecteur de fumée fonctionnel par étage ? "/>
    <s v="Le bon fonctionnement de cet/ces appareil(s) a-t-il été vérifié, au cours des douze (12) derniers mois ?"/>
    <s v="Veuillez nous dire votre degré de satisfaction à l'égard : du déneigement et du déglaçage des rues et des trottoirs de votre quartier ? "/>
    <s v="Veuillez nous dire votre degré de satisfaction à l'égard :  de la propreté et de l'entretien des parcs et terrains de jeux de votre quartier ?"/>
    <s v="Veuillez nous dire votre degré de satisfaction à l'égard :  de la sécurité des équipements dans les parcs, aires de jeux ou centre récréatif ou sportif de votre quartier ? "/>
    <s v="Votre quartier est-il desservi par un service de police municipal, une régie intermunicipale ou par la Sûreté du Québec ?"/>
    <s v="Quel est votre niveau de satisfaction à l'égard de la présence des policiers dans votre quartier ?"/>
    <s v="Quel est votre niveau de satisfaction à l'égard du travail effectué par les policiers dans votre quartier ?"/>
    <s v="De façon plus spécifique, quel est votre niveau de satisfaction à l'égard du travail effectué par les policiers : auprès des jeunes de votre quartier"/>
    <s v="De façon plus spécifique, quel est votre niveau de satisfaction à l'égard du travail effectué par les policiers : pour assurer la sécurité routière dans votre quartier"/>
    <s v="De façon plus spécifique, quel est votre niveau de satisfaction à l'égard du travail effectué par les policiers : pour régler des problèmes de délinquance ou de désordres qui surviennent dans votre quartier"/>
    <s v="Au cours des deux dernières années, combien de fois avez-vous fait appel au service de police qui dessert votre quartier ?"/>
    <s v="En vous référant à l'événement le plus récent, quel est votre niveau de satisfaction à l'égard de la réponse que vous avez reçue ?"/>
    <s v="Pourquoi ? Peu"/>
    <s v="Pourquoi ? Pas"/>
    <s v="Au cours des deux dernières années, vous êtes vous IMPLIQUÉ SUR UNE BASE RÉGULIÈRE dans les activités suivantes de votre quartier : Dans un comité ou un organisme préoccupé par les problèmes de sécurité de votre quartier ?"/>
    <s v="Au cours des deux dernières années, vous êtes vous IMPLIQUÉ SUR UNE BASE RÉGULIÈRE dans les activités suivantes de votre quartier : Dans des assemblées du conseil municipal ?"/>
    <s v="Au cours des deux dernières années, vous êtes vous IMPLIQUÉ SUR UNE BASE RÉGULIÈRE dans les activités suivantes de votre quartier : Dans un conseil de quartier ou d'arrondissement ?"/>
    <s v="Au cours des deux dernières années, vous êtes vous IMPLIQUÉ SUR UNE BASE RÉGULIÈRE dans les activités suivantes de votre quartier : Dans un comité de citoyens ?"/>
    <s v="Au cours des deux dernières années, vous êtes vous IMPLIQUÉ SUR UNE BASE RÉGULIÈRE dans les activités suivantes de votre quartier : Dans des activités communautaires, d'entraide ou de bénévolat (cuisine communautaire, bazar)"/>
    <s v="Au cours des deux dernières années, vous êtes vous IMPLIQUÉ SUR UNE BASE RÉGULIÈRE dans les activités suivantes de votre quartier : Dans des activités sociales, culturelles ou sportives organisées par les gens de votre quartier ou de votre municipalité ?"/>
    <s v="Au cours des deux dernières années, avez-vous été victime de vol, de vandalisme ou de tout autre crime contre vos biens, chez vous ou dans votre quartier ?"/>
    <s v="Au cours des deux dernières années, avez-vous été victime d'une agression, d'intimidation ou de tout autre acte de violence, chez vous ou dans votre quartier ?"/>
    <s v="Au cours des deux dernières années avez-vous été victime dans votre quartier d'une quelconque forme de discrimination ?"/>
    <s v="À votre avis, le motif de cette discrimination était lié …"/>
    <s v="Autre, précisez :"/>
    <s v="Au cours des deux dernières années, avez-vous subi un accident qui vous a occasionné une blessure pour laquelle vous avez dû consulter un professionnel de la santé ou limiter vos activités ?"/>
    <s v="Combien de fois cela s'est-il produit ?"/>
    <s v="En se référant au dernier événement, était-ce … ?"/>
    <s v="Autre, précisez :"/>
    <s v="Maintenant, comparativement à d'autres personnes de votre âge, dirirez-vous que votre santé est en général …"/>
    <s v="Dans quel quartier habitez-vous ?"/>
    <s v="Combien de personne de moins de 18 ans habitent dans votre foyer ?"/>
    <x v="0"/>
    <s v="Quelle est votre année de naissance ?"/>
    <s v="Êtes-vous propriétaire ou locataire du logement que vous habitez ?"/>
    <s v="Autre, précisez : "/>
    <s v="Habitez-vous dans …"/>
    <s v="Autre, précisez : "/>
    <s v="Quel est votre état civil ?"/>
    <s v="Autre, précisez : "/>
    <s v="Où est situé votre lieu de travail habituel ?"/>
    <s v="Autre, précisez : "/>
    <s v="Quel est le plus haut niveau de scolarité que vous avez complété ?"/>
    <m/>
    <m/>
    <x v="0"/>
    <m/>
    <m/>
    <m/>
  </r>
  <r>
    <x v="1"/>
    <n v="4"/>
    <n v="1"/>
    <n v="1"/>
    <n v="2"/>
    <n v="1"/>
    <n v="4"/>
    <n v="3"/>
    <n v="3"/>
    <n v="2"/>
    <n v="1"/>
    <n v="2"/>
    <n v="2"/>
    <n v="4"/>
    <n v="3"/>
    <n v="1"/>
    <n v="1"/>
    <n v="1"/>
    <m/>
    <n v="1"/>
    <m/>
    <n v="1"/>
    <n v="1"/>
    <n v="1"/>
    <n v="1"/>
    <m/>
    <m/>
    <n v="1"/>
    <m/>
    <n v="2"/>
    <n v="2"/>
    <n v="1"/>
    <n v="1"/>
    <n v="1"/>
    <n v="2"/>
    <n v="1"/>
    <n v="2"/>
    <n v="2"/>
    <m/>
    <n v="1"/>
    <n v="7"/>
    <n v="4"/>
    <n v="8"/>
    <n v="1"/>
    <n v="4"/>
    <n v="8"/>
    <n v="2"/>
    <n v="2"/>
    <n v="1"/>
    <m/>
    <m/>
    <m/>
    <n v="1"/>
    <n v="2"/>
    <n v="1"/>
    <n v="2"/>
    <n v="2"/>
    <n v="1"/>
    <n v="1"/>
    <n v="2"/>
    <n v="1"/>
    <n v="2"/>
    <m/>
    <n v="1"/>
    <n v="4"/>
    <n v="5"/>
    <m/>
    <n v="2"/>
    <n v="4"/>
    <n v="5"/>
    <x v="1"/>
    <n v="1981"/>
    <n v="2"/>
    <m/>
    <n v="7"/>
    <m/>
    <n v="1"/>
    <m/>
    <n v="1"/>
    <m/>
    <n v="4"/>
    <n v="1"/>
    <n v="32"/>
    <x v="1"/>
    <n v="1"/>
    <n v="1"/>
    <n v="1"/>
  </r>
  <r>
    <x v="2"/>
    <n v="1"/>
    <n v="1"/>
    <n v="2"/>
    <n v="3"/>
    <n v="1"/>
    <n v="4"/>
    <n v="2"/>
    <n v="2"/>
    <n v="2"/>
    <n v="1"/>
    <n v="2"/>
    <n v="1"/>
    <n v="2"/>
    <n v="2"/>
    <n v="1"/>
    <n v="2"/>
    <n v="1"/>
    <m/>
    <m/>
    <n v="1"/>
    <m/>
    <n v="1"/>
    <m/>
    <n v="1"/>
    <m/>
    <m/>
    <n v="2"/>
    <m/>
    <n v="1"/>
    <n v="1"/>
    <n v="2"/>
    <n v="1"/>
    <n v="1"/>
    <n v="1"/>
    <n v="1"/>
    <n v="1"/>
    <n v="1"/>
    <n v="1"/>
    <n v="2"/>
    <n v="4"/>
    <n v="1"/>
    <n v="1"/>
    <n v="4"/>
    <n v="8"/>
    <n v="1"/>
    <n v="4"/>
    <n v="1"/>
    <n v="2"/>
    <n v="1"/>
    <m/>
    <m/>
    <n v="2"/>
    <n v="1"/>
    <n v="1"/>
    <n v="2"/>
    <n v="2"/>
    <n v="1"/>
    <n v="2"/>
    <n v="1"/>
    <n v="2"/>
    <n v="1"/>
    <m/>
    <n v="2"/>
    <m/>
    <m/>
    <m/>
    <n v="4"/>
    <n v="1"/>
    <n v="2"/>
    <x v="2"/>
    <n v="1970"/>
    <n v="1"/>
    <m/>
    <n v="5"/>
    <m/>
    <n v="2"/>
    <m/>
    <n v="2"/>
    <m/>
    <n v="1"/>
    <n v="1"/>
    <n v="43"/>
    <x v="2"/>
    <n v="2"/>
    <n v="3"/>
    <n v="2"/>
  </r>
  <r>
    <x v="3"/>
    <n v="2"/>
    <n v="2"/>
    <n v="4"/>
    <n v="3"/>
    <n v="1"/>
    <n v="4"/>
    <n v="2"/>
    <n v="1"/>
    <n v="2"/>
    <n v="1"/>
    <n v="3"/>
    <n v="2"/>
    <n v="3"/>
    <n v="1"/>
    <n v="2"/>
    <n v="1"/>
    <n v="2"/>
    <n v="1"/>
    <m/>
    <m/>
    <m/>
    <n v="1"/>
    <n v="1"/>
    <m/>
    <n v="1"/>
    <m/>
    <n v="2"/>
    <m/>
    <n v="1"/>
    <n v="1"/>
    <n v="2"/>
    <n v="1"/>
    <n v="1"/>
    <n v="1"/>
    <n v="2"/>
    <n v="1"/>
    <n v="1"/>
    <n v="2"/>
    <n v="3"/>
    <n v="1"/>
    <n v="2"/>
    <n v="3"/>
    <n v="2"/>
    <n v="1"/>
    <n v="2"/>
    <n v="3"/>
    <n v="4"/>
    <n v="3"/>
    <n v="3"/>
    <m/>
    <m/>
    <n v="2"/>
    <n v="1"/>
    <n v="2"/>
    <n v="2"/>
    <n v="2"/>
    <n v="2"/>
    <n v="2"/>
    <n v="1"/>
    <n v="3"/>
    <n v="3"/>
    <m/>
    <n v="1"/>
    <n v="2"/>
    <n v="8"/>
    <m/>
    <n v="5"/>
    <n v="4"/>
    <n v="4"/>
    <x v="2"/>
    <n v="1990"/>
    <n v="3"/>
    <m/>
    <n v="4"/>
    <m/>
    <n v="4"/>
    <m/>
    <n v="3"/>
    <m/>
    <n v="2"/>
    <n v="1"/>
    <n v="23"/>
    <x v="1"/>
    <n v="2"/>
    <n v="4"/>
    <n v="2"/>
  </r>
  <r>
    <x v="2"/>
    <n v="3"/>
    <n v="4"/>
    <n v="1"/>
    <n v="3"/>
    <n v="2"/>
    <n v="2"/>
    <n v="2"/>
    <n v="2"/>
    <n v="2"/>
    <n v="1"/>
    <n v="2"/>
    <n v="3"/>
    <n v="3"/>
    <n v="1"/>
    <n v="3"/>
    <n v="1"/>
    <n v="1"/>
    <n v="1"/>
    <n v="1"/>
    <m/>
    <n v="1"/>
    <n v="1"/>
    <n v="1"/>
    <n v="1"/>
    <m/>
    <m/>
    <n v="2"/>
    <m/>
    <n v="1"/>
    <n v="1"/>
    <n v="2"/>
    <n v="2"/>
    <n v="1"/>
    <n v="2"/>
    <n v="2"/>
    <n v="1"/>
    <n v="1"/>
    <n v="1"/>
    <n v="4"/>
    <n v="3"/>
    <n v="3"/>
    <n v="2"/>
    <n v="3"/>
    <n v="1"/>
    <n v="3"/>
    <n v="2"/>
    <n v="2"/>
    <n v="4"/>
    <n v="2"/>
    <m/>
    <m/>
    <n v="2"/>
    <n v="1"/>
    <n v="2"/>
    <n v="2"/>
    <n v="1"/>
    <n v="2"/>
    <n v="2"/>
    <n v="2"/>
    <n v="4"/>
    <m/>
    <m/>
    <n v="1"/>
    <n v="2"/>
    <n v="7"/>
    <m/>
    <n v="1"/>
    <n v="2"/>
    <n v="1"/>
    <x v="2"/>
    <n v="1983"/>
    <n v="1"/>
    <m/>
    <n v="1"/>
    <m/>
    <n v="1"/>
    <m/>
    <n v="4"/>
    <m/>
    <n v="3"/>
    <n v="1"/>
    <n v="30"/>
    <x v="1"/>
    <n v="2"/>
    <n v="3"/>
    <n v="2"/>
  </r>
  <r>
    <x v="4"/>
    <n v="2"/>
    <n v="2"/>
    <n v="5"/>
    <n v="2"/>
    <n v="4"/>
    <n v="1"/>
    <n v="1"/>
    <n v="2"/>
    <n v="1"/>
    <n v="2"/>
    <n v="2"/>
    <n v="3"/>
    <n v="2"/>
    <n v="1"/>
    <n v="2"/>
    <n v="2"/>
    <n v="1"/>
    <m/>
    <n v="1"/>
    <n v="1"/>
    <n v="1"/>
    <n v="1"/>
    <n v="1"/>
    <m/>
    <m/>
    <m/>
    <n v="2"/>
    <m/>
    <n v="1"/>
    <n v="1"/>
    <n v="1"/>
    <n v="2"/>
    <n v="2"/>
    <n v="2"/>
    <n v="1"/>
    <n v="2"/>
    <n v="2"/>
    <m/>
    <n v="7"/>
    <n v="3"/>
    <n v="3"/>
    <n v="1"/>
    <n v="2"/>
    <n v="3"/>
    <n v="2"/>
    <n v="1"/>
    <n v="3"/>
    <n v="2"/>
    <n v="4"/>
    <m/>
    <m/>
    <n v="1"/>
    <n v="2"/>
    <n v="2"/>
    <n v="1"/>
    <n v="1"/>
    <n v="2"/>
    <n v="2"/>
    <n v="1"/>
    <n v="1"/>
    <n v="6"/>
    <m/>
    <n v="2"/>
    <m/>
    <m/>
    <m/>
    <n v="3"/>
    <n v="3"/>
    <m/>
    <x v="2"/>
    <n v="1967"/>
    <n v="1"/>
    <m/>
    <n v="2"/>
    <m/>
    <n v="3"/>
    <m/>
    <n v="4"/>
    <m/>
    <n v="2"/>
    <n v="1"/>
    <n v="46"/>
    <x v="2"/>
    <n v="3"/>
    <n v="5"/>
    <n v="3"/>
  </r>
  <r>
    <x v="5"/>
    <n v="1"/>
    <n v="3"/>
    <n v="2"/>
    <n v="4"/>
    <n v="1"/>
    <n v="2"/>
    <n v="1"/>
    <n v="3"/>
    <n v="1"/>
    <n v="2"/>
    <n v="1"/>
    <n v="3"/>
    <n v="1"/>
    <n v="1"/>
    <n v="2"/>
    <n v="1"/>
    <n v="1"/>
    <m/>
    <n v="1"/>
    <m/>
    <m/>
    <m/>
    <n v="1"/>
    <m/>
    <m/>
    <m/>
    <n v="2"/>
    <m/>
    <n v="1"/>
    <n v="1"/>
    <n v="1"/>
    <n v="2"/>
    <n v="2"/>
    <n v="1"/>
    <n v="1"/>
    <n v="2"/>
    <n v="1"/>
    <n v="1"/>
    <n v="4"/>
    <n v="2"/>
    <n v="2"/>
    <n v="2"/>
    <n v="3"/>
    <n v="2"/>
    <n v="4"/>
    <n v="4"/>
    <n v="2"/>
    <n v="1"/>
    <m/>
    <m/>
    <m/>
    <n v="1"/>
    <n v="2"/>
    <n v="1"/>
    <n v="1"/>
    <n v="2"/>
    <n v="1"/>
    <n v="1"/>
    <n v="2"/>
    <n v="4"/>
    <m/>
    <m/>
    <n v="2"/>
    <m/>
    <m/>
    <m/>
    <n v="2"/>
    <n v="2"/>
    <n v="1"/>
    <x v="2"/>
    <n v="1962"/>
    <n v="2"/>
    <m/>
    <n v="3"/>
    <m/>
    <n v="3"/>
    <m/>
    <n v="1"/>
    <m/>
    <n v="1"/>
    <n v="1"/>
    <n v="51"/>
    <x v="2"/>
    <n v="2"/>
    <n v="2"/>
    <n v="2"/>
  </r>
  <r>
    <x v="4"/>
    <n v="7"/>
    <n v="5"/>
    <n v="3"/>
    <n v="1"/>
    <n v="2"/>
    <n v="3"/>
    <n v="2"/>
    <n v="2"/>
    <n v="2"/>
    <n v="3"/>
    <n v="4"/>
    <n v="2"/>
    <n v="2"/>
    <n v="4"/>
    <n v="1"/>
    <n v="1"/>
    <n v="2"/>
    <m/>
    <m/>
    <m/>
    <n v="1"/>
    <m/>
    <n v="1"/>
    <m/>
    <m/>
    <m/>
    <n v="2"/>
    <m/>
    <n v="2"/>
    <n v="2"/>
    <n v="1"/>
    <n v="2"/>
    <n v="2"/>
    <n v="1"/>
    <n v="2"/>
    <n v="2"/>
    <n v="2"/>
    <m/>
    <n v="2"/>
    <n v="1"/>
    <n v="1"/>
    <n v="1"/>
    <n v="3"/>
    <n v="3"/>
    <n v="1"/>
    <n v="8"/>
    <n v="1"/>
    <n v="3"/>
    <n v="2"/>
    <m/>
    <m/>
    <n v="1"/>
    <n v="2"/>
    <n v="1"/>
    <n v="1"/>
    <n v="1"/>
    <n v="1"/>
    <n v="1"/>
    <n v="1"/>
    <n v="1"/>
    <n v="7"/>
    <m/>
    <n v="1"/>
    <n v="2"/>
    <n v="6"/>
    <m/>
    <n v="1"/>
    <n v="3"/>
    <n v="3"/>
    <x v="2"/>
    <n v="1994"/>
    <n v="3"/>
    <m/>
    <n v="3"/>
    <m/>
    <n v="2"/>
    <m/>
    <n v="2"/>
    <m/>
    <n v="4"/>
    <n v="1"/>
    <n v="19"/>
    <x v="1"/>
    <n v="2"/>
    <n v="4"/>
    <n v="2"/>
  </r>
  <r>
    <x v="3"/>
    <n v="1"/>
    <n v="2"/>
    <n v="5"/>
    <n v="2"/>
    <n v="3"/>
    <n v="2"/>
    <n v="4"/>
    <n v="2"/>
    <n v="3"/>
    <n v="2"/>
    <n v="1"/>
    <n v="4"/>
    <n v="1"/>
    <n v="4"/>
    <n v="4"/>
    <n v="2"/>
    <n v="2"/>
    <m/>
    <m/>
    <n v="1"/>
    <n v="1"/>
    <m/>
    <m/>
    <n v="1"/>
    <m/>
    <m/>
    <n v="1"/>
    <m/>
    <n v="2"/>
    <n v="2"/>
    <n v="1"/>
    <n v="2"/>
    <n v="2"/>
    <n v="2"/>
    <n v="1"/>
    <n v="2"/>
    <n v="1"/>
    <n v="2"/>
    <n v="3"/>
    <n v="1"/>
    <n v="2"/>
    <n v="3"/>
    <n v="4"/>
    <n v="2"/>
    <n v="3"/>
    <n v="8"/>
    <n v="4"/>
    <n v="2"/>
    <n v="1"/>
    <m/>
    <m/>
    <n v="1"/>
    <n v="1"/>
    <n v="1"/>
    <n v="1"/>
    <n v="1"/>
    <n v="1"/>
    <n v="1"/>
    <n v="2"/>
    <n v="3"/>
    <n v="2"/>
    <m/>
    <n v="2"/>
    <m/>
    <m/>
    <m/>
    <n v="3"/>
    <n v="2"/>
    <n v="2"/>
    <x v="1"/>
    <n v="1983"/>
    <n v="2"/>
    <m/>
    <n v="2"/>
    <m/>
    <n v="1"/>
    <m/>
    <n v="3"/>
    <m/>
    <n v="1"/>
    <n v="1"/>
    <n v="30"/>
    <x v="1"/>
    <n v="2"/>
    <n v="4"/>
    <n v="2"/>
  </r>
  <r>
    <x v="2"/>
    <n v="2"/>
    <n v="5"/>
    <n v="2"/>
    <n v="1"/>
    <n v="3"/>
    <n v="3"/>
    <n v="1"/>
    <n v="4"/>
    <n v="2"/>
    <n v="3"/>
    <n v="2"/>
    <n v="4"/>
    <n v="4"/>
    <n v="3"/>
    <n v="1"/>
    <n v="2"/>
    <n v="2"/>
    <n v="1"/>
    <n v="1"/>
    <m/>
    <n v="1"/>
    <n v="1"/>
    <n v="1"/>
    <m/>
    <m/>
    <m/>
    <n v="1"/>
    <m/>
    <n v="2"/>
    <n v="2"/>
    <n v="1"/>
    <n v="2"/>
    <n v="2"/>
    <n v="1"/>
    <n v="2"/>
    <n v="2"/>
    <n v="2"/>
    <m/>
    <n v="1"/>
    <n v="4"/>
    <n v="3"/>
    <n v="2"/>
    <n v="1"/>
    <n v="3"/>
    <n v="2"/>
    <n v="8"/>
    <n v="2"/>
    <n v="1"/>
    <m/>
    <m/>
    <m/>
    <n v="2"/>
    <n v="1"/>
    <n v="2"/>
    <n v="2"/>
    <n v="1"/>
    <n v="2"/>
    <n v="1"/>
    <n v="1"/>
    <n v="2"/>
    <n v="2"/>
    <m/>
    <n v="1"/>
    <n v="1"/>
    <n v="1"/>
    <m/>
    <n v="8"/>
    <n v="3"/>
    <n v="5"/>
    <x v="1"/>
    <n v="1975"/>
    <n v="3"/>
    <m/>
    <n v="2"/>
    <m/>
    <n v="4"/>
    <m/>
    <n v="2"/>
    <m/>
    <n v="3"/>
    <n v="1"/>
    <n v="38"/>
    <x v="1"/>
    <n v="2"/>
    <n v="2"/>
    <n v="1"/>
  </r>
  <r>
    <x v="1"/>
    <n v="7"/>
    <n v="5"/>
    <n v="5"/>
    <n v="2"/>
    <n v="3"/>
    <n v="2"/>
    <n v="2"/>
    <n v="4"/>
    <n v="3"/>
    <n v="2"/>
    <n v="3"/>
    <n v="4"/>
    <n v="1"/>
    <n v="2"/>
    <n v="2"/>
    <n v="1"/>
    <n v="1"/>
    <m/>
    <m/>
    <n v="1"/>
    <m/>
    <m/>
    <n v="1"/>
    <m/>
    <n v="1"/>
    <m/>
    <n v="1"/>
    <m/>
    <n v="2"/>
    <n v="2"/>
    <n v="1"/>
    <n v="1"/>
    <n v="2"/>
    <n v="2"/>
    <n v="2"/>
    <n v="2"/>
    <n v="2"/>
    <m/>
    <n v="2"/>
    <n v="1"/>
    <n v="4"/>
    <n v="2"/>
    <n v="2"/>
    <n v="2"/>
    <n v="1"/>
    <n v="8"/>
    <n v="3"/>
    <n v="3"/>
    <n v="3"/>
    <m/>
    <m/>
    <n v="2"/>
    <n v="2"/>
    <n v="2"/>
    <n v="2"/>
    <n v="2"/>
    <n v="2"/>
    <n v="1"/>
    <n v="1"/>
    <n v="2"/>
    <n v="3"/>
    <m/>
    <n v="1"/>
    <n v="2"/>
    <n v="5"/>
    <m/>
    <n v="2"/>
    <n v="2"/>
    <n v="5"/>
    <x v="1"/>
    <n v="1979"/>
    <n v="3"/>
    <m/>
    <n v="1"/>
    <m/>
    <n v="1"/>
    <m/>
    <n v="1"/>
    <m/>
    <n v="2"/>
    <n v="1"/>
    <n v="34"/>
    <x v="1"/>
    <n v="1"/>
    <n v="1"/>
    <n v="1"/>
  </r>
  <r>
    <x v="3"/>
    <n v="1"/>
    <n v="1"/>
    <n v="3"/>
    <n v="3"/>
    <n v="3"/>
    <n v="3"/>
    <n v="2"/>
    <n v="2"/>
    <n v="2"/>
    <n v="4"/>
    <n v="2"/>
    <n v="1"/>
    <n v="4"/>
    <n v="2"/>
    <n v="3"/>
    <n v="1"/>
    <n v="2"/>
    <m/>
    <m/>
    <n v="1"/>
    <m/>
    <m/>
    <m/>
    <m/>
    <m/>
    <m/>
    <n v="1"/>
    <m/>
    <n v="2"/>
    <n v="2"/>
    <n v="2"/>
    <n v="1"/>
    <n v="2"/>
    <n v="1"/>
    <n v="1"/>
    <n v="1"/>
    <n v="2"/>
    <m/>
    <n v="3"/>
    <n v="2"/>
    <n v="1"/>
    <n v="2"/>
    <n v="4"/>
    <n v="4"/>
    <n v="4"/>
    <n v="3"/>
    <n v="8"/>
    <n v="1"/>
    <m/>
    <m/>
    <m/>
    <n v="2"/>
    <n v="2"/>
    <n v="2"/>
    <n v="2"/>
    <n v="2"/>
    <n v="2"/>
    <n v="2"/>
    <n v="2"/>
    <n v="3"/>
    <n v="5"/>
    <m/>
    <n v="2"/>
    <m/>
    <m/>
    <m/>
    <n v="1"/>
    <n v="1"/>
    <n v="5"/>
    <x v="1"/>
    <n v="1957"/>
    <n v="3"/>
    <m/>
    <n v="1"/>
    <m/>
    <n v="3"/>
    <m/>
    <n v="4"/>
    <m/>
    <n v="3"/>
    <n v="1"/>
    <n v="56"/>
    <x v="2"/>
    <n v="1"/>
    <n v="1"/>
    <n v="1"/>
  </r>
  <r>
    <x v="2"/>
    <n v="2"/>
    <n v="4"/>
    <n v="2"/>
    <n v="1"/>
    <n v="2"/>
    <n v="2"/>
    <n v="3"/>
    <n v="4"/>
    <n v="4"/>
    <n v="2"/>
    <n v="1"/>
    <n v="2"/>
    <n v="1"/>
    <n v="3"/>
    <n v="1"/>
    <n v="2"/>
    <n v="1"/>
    <n v="1"/>
    <n v="1"/>
    <n v="1"/>
    <m/>
    <m/>
    <m/>
    <n v="1"/>
    <m/>
    <m/>
    <n v="1"/>
    <m/>
    <n v="1"/>
    <n v="2"/>
    <n v="1"/>
    <n v="1"/>
    <n v="1"/>
    <n v="2"/>
    <n v="2"/>
    <n v="1"/>
    <n v="1"/>
    <n v="2"/>
    <n v="1"/>
    <n v="3"/>
    <n v="7"/>
    <n v="3"/>
    <n v="1"/>
    <n v="2"/>
    <n v="2"/>
    <n v="2"/>
    <n v="2"/>
    <n v="4"/>
    <n v="4"/>
    <m/>
    <m/>
    <n v="1"/>
    <n v="1"/>
    <n v="1"/>
    <n v="2"/>
    <n v="2"/>
    <n v="1"/>
    <n v="2"/>
    <n v="2"/>
    <n v="3"/>
    <n v="98"/>
    <m/>
    <n v="1"/>
    <n v="4"/>
    <n v="4"/>
    <m/>
    <n v="2"/>
    <n v="3"/>
    <m/>
    <x v="2"/>
    <n v="1946"/>
    <n v="2"/>
    <m/>
    <n v="5"/>
    <m/>
    <n v="2"/>
    <m/>
    <n v="2"/>
    <m/>
    <n v="2"/>
    <n v="1"/>
    <n v="67"/>
    <x v="3"/>
    <n v="2"/>
    <n v="4"/>
    <n v="3"/>
  </r>
  <r>
    <x v="5"/>
    <n v="3"/>
    <n v="2"/>
    <n v="5"/>
    <n v="2"/>
    <n v="2"/>
    <n v="3"/>
    <n v="2"/>
    <n v="3"/>
    <n v="2"/>
    <n v="3"/>
    <n v="1"/>
    <n v="3"/>
    <n v="2"/>
    <n v="2"/>
    <n v="2"/>
    <n v="2"/>
    <n v="2"/>
    <n v="1"/>
    <m/>
    <m/>
    <m/>
    <n v="1"/>
    <n v="1"/>
    <m/>
    <m/>
    <m/>
    <n v="1"/>
    <m/>
    <n v="1"/>
    <n v="2"/>
    <n v="2"/>
    <n v="2"/>
    <n v="1"/>
    <n v="1"/>
    <n v="1"/>
    <n v="1"/>
    <n v="2"/>
    <m/>
    <n v="2"/>
    <n v="1"/>
    <n v="4"/>
    <n v="3"/>
    <n v="3"/>
    <n v="3"/>
    <n v="3"/>
    <n v="1"/>
    <n v="1"/>
    <n v="1"/>
    <m/>
    <m/>
    <m/>
    <n v="1"/>
    <n v="2"/>
    <n v="1"/>
    <n v="1"/>
    <n v="1"/>
    <n v="1"/>
    <n v="1"/>
    <n v="1"/>
    <n v="2"/>
    <n v="1"/>
    <m/>
    <n v="1"/>
    <n v="2"/>
    <n v="98"/>
    <m/>
    <n v="3"/>
    <n v="2"/>
    <n v="1"/>
    <x v="1"/>
    <n v="1947"/>
    <n v="1"/>
    <m/>
    <n v="6"/>
    <m/>
    <n v="4"/>
    <m/>
    <n v="1"/>
    <m/>
    <n v="2"/>
    <n v="1"/>
    <n v="66"/>
    <x v="3"/>
    <n v="2"/>
    <n v="3"/>
    <n v="2"/>
  </r>
  <r>
    <x v="4"/>
    <n v="3"/>
    <n v="3"/>
    <n v="2"/>
    <n v="1"/>
    <n v="2"/>
    <n v="2"/>
    <n v="2"/>
    <n v="2"/>
    <n v="3"/>
    <n v="2"/>
    <n v="2"/>
    <n v="2"/>
    <n v="3"/>
    <n v="3"/>
    <n v="4"/>
    <n v="2"/>
    <n v="1"/>
    <m/>
    <n v="1"/>
    <n v="1"/>
    <n v="1"/>
    <m/>
    <m/>
    <m/>
    <m/>
    <m/>
    <n v="2"/>
    <m/>
    <n v="1"/>
    <n v="2"/>
    <n v="1"/>
    <n v="2"/>
    <n v="1"/>
    <n v="2"/>
    <n v="2"/>
    <n v="1"/>
    <n v="2"/>
    <m/>
    <n v="3"/>
    <n v="7"/>
    <n v="1"/>
    <n v="1"/>
    <n v="2"/>
    <n v="2"/>
    <n v="2"/>
    <n v="3"/>
    <n v="3"/>
    <n v="2"/>
    <n v="3"/>
    <m/>
    <m/>
    <n v="2"/>
    <n v="1"/>
    <n v="1"/>
    <n v="1"/>
    <n v="2"/>
    <n v="2"/>
    <n v="2"/>
    <n v="2"/>
    <n v="4"/>
    <m/>
    <m/>
    <n v="2"/>
    <m/>
    <m/>
    <m/>
    <n v="5"/>
    <n v="4"/>
    <n v="3"/>
    <x v="2"/>
    <n v="1984"/>
    <n v="3"/>
    <m/>
    <n v="4"/>
    <m/>
    <n v="6"/>
    <m/>
    <n v="3"/>
    <m/>
    <n v="1"/>
    <n v="1"/>
    <n v="29"/>
    <x v="1"/>
    <n v="2"/>
    <n v="4"/>
    <n v="2"/>
  </r>
  <r>
    <x v="2"/>
    <n v="2"/>
    <n v="5"/>
    <n v="4"/>
    <n v="2"/>
    <n v="2"/>
    <n v="2"/>
    <n v="1"/>
    <n v="1"/>
    <n v="2"/>
    <n v="1"/>
    <n v="4"/>
    <n v="1"/>
    <n v="3"/>
    <n v="1"/>
    <n v="1"/>
    <n v="1"/>
    <n v="2"/>
    <n v="1"/>
    <m/>
    <n v="1"/>
    <m/>
    <m/>
    <n v="1"/>
    <n v="1"/>
    <m/>
    <m/>
    <n v="2"/>
    <m/>
    <n v="2"/>
    <n v="1"/>
    <n v="2"/>
    <n v="1"/>
    <n v="1"/>
    <n v="1"/>
    <n v="1"/>
    <n v="2"/>
    <n v="1"/>
    <n v="1"/>
    <n v="4"/>
    <n v="1"/>
    <n v="2"/>
    <n v="1"/>
    <n v="2"/>
    <n v="1"/>
    <n v="1"/>
    <n v="2"/>
    <n v="8"/>
    <n v="3"/>
    <n v="2"/>
    <m/>
    <m/>
    <n v="1"/>
    <n v="2"/>
    <n v="2"/>
    <n v="2"/>
    <n v="2"/>
    <n v="2"/>
    <n v="1"/>
    <n v="1"/>
    <n v="1"/>
    <n v="8"/>
    <m/>
    <n v="2"/>
    <m/>
    <m/>
    <m/>
    <n v="3"/>
    <n v="3"/>
    <n v="1"/>
    <x v="1"/>
    <n v="1989"/>
    <n v="2"/>
    <m/>
    <n v="7"/>
    <m/>
    <n v="4"/>
    <m/>
    <n v="2"/>
    <m/>
    <n v="2"/>
    <n v="1"/>
    <n v="24"/>
    <x v="1"/>
    <n v="2"/>
    <n v="2"/>
    <n v="2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7"/>
    <m/>
    <m/>
    <m/>
    <m/>
    <m/>
    <m/>
    <m/>
    <m/>
    <m/>
    <n v="1"/>
    <n v="26"/>
    <x v="1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3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1"/>
    <m/>
    <m/>
    <m/>
    <m/>
    <m/>
    <m/>
    <m/>
    <m/>
    <m/>
    <n v="1"/>
    <n v="32"/>
    <x v="1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70"/>
    <m/>
    <m/>
    <m/>
    <m/>
    <m/>
    <m/>
    <m/>
    <m/>
    <m/>
    <n v="1"/>
    <n v="43"/>
    <x v="2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</pivotCacheRecords>
</file>

<file path=xl/pivotCache/pivotCacheRecords21.xml><?xml version="1.0" encoding="utf-8"?>
<pivotCacheRecords xmlns="http://schemas.openxmlformats.org/spreadsheetml/2006/main" xmlns:r="http://schemas.openxmlformats.org/officeDocument/2006/relationships" count="632">
  <r>
    <x v="0"/>
    <s v="Dites-nous à combien vous évaluez le risque que les jeunes de moins de 18 ans qui vivent avec vous (à temps plein ou à temps partiel) soient intimidés ou agressés lorqu'ils vont dehors dans votre quartier. Ce risque est …"/>
    <s v="Habituellement, combien de fois sortez-vous seul(e) dans votre quartier APRÈS LA TOMBÉE DU JOUR ? Est-ce ... "/>
    <s v="Dans votre quartier, les problèmes causés par des gens bruyants sont … ?"/>
    <s v="Dans votre quartier, les désordres liés à la consommation d'alcool dans les lieux publics sont … ?"/>
    <s v="Dans votre quartier, les désordres liés à la vente ou à la consommation de drogue sont … ?"/>
    <s v="Dans votre quartier, les problèmes liés à la criminalité sont … ?"/>
    <s v="Dans votre quartier, les problèmes causés par les gens qui traînent dans les lieux publics sont … ?"/>
    <s v="Dans votre quartier, les actes de vandalisme sont … ?"/>
    <s v="Dans votre quartier, les conflits entre les groupes d'origines ethniques différentes sont … ?"/>
    <s v="Dans votre quartier, les conflits entre d'autres groupes d'individus sont … ?"/>
    <s v="Dans votre quartier, les graffiti sont … ?"/>
    <s v="Dans votre quartier, les immeubles ou bâtiments abandonnés ou mal entretenus sont... ?"/>
    <s v="Dans votre quartier, le niveau d'entraide entre les personnes est... ?"/>
    <s v="Dans votre quartier, le niveau de confiance qui règne entre la plupart des personnes est... ?"/>
    <s v="Dans votre quartier, les comportements des jeunes ou des groupes de jeunes sont-ils pour vous une source de menace ou d'insécurité ?"/>
    <s v="Y a-t-il d'autres individus ou des groupes d'individus dont les comportements sont pour vous une source de menace ou d'insécurité ?"/>
    <s v="De quel type ou groupe d'individus s'agit-il ?  Toxicomanes ou revendeur de drogue"/>
    <s v="De quel type ou groupe d'individus s'agit-il ? Gangs de motards / milieu criminel"/>
    <s v="De quel type ou groupe d'individus s'agit-il ? Sollicitation (vendeurs, mouvements religieux, ex-détenus, etc.)"/>
    <s v="De quel type ou groupe d'individus s'agit-il ? Itinérants"/>
    <s v="De quel type ou groupe d'individus s'agit-il ? Individus ou groupes d'individus en état d'ébriété"/>
    <s v="De quel type ou groupe d'individus s'agit-il ? Personnes d'une communauté culturelle différente de la mienne"/>
    <s v="De quel type ou groupe d'individus s'agit-il ? Voisins"/>
    <s v="De quel type ou groupe d'individus s'agit-il ? Autre"/>
    <s v="De quel type ou groupe d'individus s'agit-il ? Autre, précisez"/>
    <s v="Y a-t-il dans votre quartier des endroits que vous évitez de fréquenter pour des raisons de sécurité ?"/>
    <s v="Lesquels ?"/>
    <s v="Veuillez répondre à chacun des énoncés suivants. Quand je me déplace dans mon quartier, j'apporte habituellement quelque chose pour assurer ma protection. "/>
    <s v="Veuillez répondre à chacun des énoncés suivants. Lorsque je suis dans mon quartier, je vérifie qu'aucun intrus ne se trouve à l'intérieur de ma voiture avant d'y monter."/>
    <s v="Veuillez répondre à chacun des énoncés suivants. À mon domicile, j'évite d'ouvrir la porte à des inconnus, pour des raisons de sécurité. "/>
    <s v="Veuillez répondre à chacun des énoncés suivants. Je garde les portes extérieures de mon domicile constamment verrouillées, même lorsque je suis chez moi. "/>
    <s v="Veuillez répondre à chacun des énoncés suivants. Spécialement par mesure de protection, il y a un chien à mon domicile. "/>
    <s v="Veuillez répondre à chacun des énoncés suivants. J'ai un système d'alarme que j'active régulièrement pour protéger mon domicile contre le vol."/>
    <s v="Veuillez répondre à chacun des énoncés suivants. Spécialement par mesure de protection, j'ai suivi un cours d'autodéfense. "/>
    <s v="Veuillez répondre à chacun des énoncés suivants. Spécialement par mesure de protection, il y a une arme à feu à mon domicile. "/>
    <s v="Est-ce qu'il y a à votre domicile au moins un détecteur de fumée fonctionnel par étage ? "/>
    <s v="Le bon fonctionnement de cet/ces appareil(s) a-t-il été vérifié, au cours des douze (12) derniers mois ?"/>
    <s v="Veuillez nous dire votre degré de satisfaction à l'égard : du déneigement et du déglaçage des rues et des trottoirs de votre quartier ? "/>
    <s v="Veuillez nous dire votre degré de satisfaction à l'égard :  de la propreté et de l'entretien des parcs et terrains de jeux de votre quartier ?"/>
    <s v="Veuillez nous dire votre degré de satisfaction à l'égard :  de la sécurité des équipements dans les parcs, aires de jeux ou centre récréatif ou sportif de votre quartier ? "/>
    <s v="Votre quartier est-il desservi par un service de police municipal, une régie intermunicipale ou par la Sûreté du Québec ?"/>
    <s v="Quel est votre niveau de satisfaction à l'égard de la présence des policiers dans votre quartier ?"/>
    <s v="Quel est votre niveau de satisfaction à l'égard du travail effectué par les policiers dans votre quartier ?"/>
    <s v="De façon plus spécifique, quel est votre niveau de satisfaction à l'égard du travail effectué par les policiers : auprès des jeunes de votre quartier"/>
    <s v="De façon plus spécifique, quel est votre niveau de satisfaction à l'égard du travail effectué par les policiers : pour assurer la sécurité routière dans votre quartier"/>
    <s v="De façon plus spécifique, quel est votre niveau de satisfaction à l'égard du travail effectué par les policiers : pour régler des problèmes de délinquance ou de désordres qui surviennent dans votre quartier"/>
    <s v="Au cours des deux dernières années, combien de fois avez-vous fait appel au service de police qui dessert votre quartier ?"/>
    <s v="En vous référant à l'événement le plus récent, quel est votre niveau de satisfaction à l'égard de la réponse que vous avez reçue ?"/>
    <s v="Pourquoi ? Peu"/>
    <s v="Pourquoi ? Pas"/>
    <s v="Au cours des deux dernières années, vous êtes vous IMPLIQUÉ SUR UNE BASE RÉGULIÈRE dans les activités suivantes de votre quartier : Dans un comité ou un organisme préoccupé par les problèmes de sécurité de votre quartier ?"/>
    <s v="Au cours des deux dernières années, vous êtes vous IMPLIQUÉ SUR UNE BASE RÉGULIÈRE dans les activités suivantes de votre quartier : Dans des assemblées du conseil municipal ?"/>
    <s v="Au cours des deux dernières années, vous êtes vous IMPLIQUÉ SUR UNE BASE RÉGULIÈRE dans les activités suivantes de votre quartier : Dans un conseil de quartier ou d'arrondissement ?"/>
    <s v="Au cours des deux dernières années, vous êtes vous IMPLIQUÉ SUR UNE BASE RÉGULIÈRE dans les activités suivantes de votre quartier : Dans un comité de citoyens ?"/>
    <s v="Au cours des deux dernières années, vous êtes vous IMPLIQUÉ SUR UNE BASE RÉGULIÈRE dans les activités suivantes de votre quartier : Dans des activités communautaires, d'entraide ou de bénévolat (cuisine communautaire, bazar)"/>
    <s v="Au cours des deux dernières années, vous êtes vous IMPLIQUÉ SUR UNE BASE RÉGULIÈRE dans les activités suivantes de votre quartier : Dans des activités sociales, culturelles ou sportives organisées par les gens de votre quartier ou de votre municipalité ?"/>
    <s v="Au cours des deux dernières années, avez-vous été victime de vol, de vandalisme ou de tout autre crime contre vos biens, chez vous ou dans votre quartier ?"/>
    <s v="Au cours des deux dernières années, avez-vous été victime d'une agression, d'intimidation ou de tout autre acte de violence, chez vous ou dans votre quartier ?"/>
    <s v="Au cours des deux dernières années avez-vous été victime dans votre quartier d'une quelconque forme de discrimination ?"/>
    <s v="À votre avis, le motif de cette discrimination était lié …"/>
    <s v="Autre, précisez :"/>
    <s v="Au cours des deux dernières années, avez-vous subi un accident qui vous a occasionné une blessure pour laquelle vous avez dû consulter un professionnel de la santé ou limiter vos activités ?"/>
    <s v="Combien de fois cela s'est-il produit ?"/>
    <s v="En se référant au dernier événement, était-ce … ?"/>
    <s v="Autre, précisez :"/>
    <s v="Maintenant, comparativement à d'autres personnes de votre âge, dirirez-vous que votre santé est en général …"/>
    <s v="Dans quel quartier habitez-vous ?"/>
    <s v="Combien de personne de moins de 18 ans habitent dans votre foyer ?"/>
    <x v="0"/>
    <s v="Quelle est votre année de naissance ?"/>
    <s v="Êtes-vous propriétaire ou locataire du logement que vous habitez ?"/>
    <s v="Autre, précisez : "/>
    <s v="Habitez-vous dans …"/>
    <s v="Autre, précisez : "/>
    <s v="Quel est votre état civil ?"/>
    <s v="Autre, précisez : "/>
    <s v="Où est situé votre lieu de travail habituel ?"/>
    <s v="Autre, précisez : "/>
    <s v="Quel est le plus haut niveau de scolarité que vous avez complété ?"/>
    <m/>
    <m/>
    <x v="0"/>
    <m/>
    <m/>
    <m/>
  </r>
  <r>
    <x v="1"/>
    <n v="1"/>
    <n v="1"/>
    <n v="2"/>
    <n v="1"/>
    <n v="4"/>
    <n v="3"/>
    <n v="3"/>
    <n v="2"/>
    <n v="1"/>
    <n v="2"/>
    <n v="2"/>
    <n v="4"/>
    <n v="3"/>
    <n v="1"/>
    <n v="1"/>
    <n v="1"/>
    <m/>
    <n v="1"/>
    <m/>
    <n v="1"/>
    <n v="1"/>
    <n v="1"/>
    <n v="1"/>
    <m/>
    <m/>
    <n v="1"/>
    <m/>
    <n v="2"/>
    <n v="2"/>
    <n v="1"/>
    <n v="1"/>
    <n v="1"/>
    <n v="2"/>
    <n v="1"/>
    <n v="2"/>
    <n v="2"/>
    <m/>
    <n v="1"/>
    <n v="7"/>
    <n v="4"/>
    <n v="8"/>
    <n v="1"/>
    <n v="4"/>
    <n v="8"/>
    <n v="2"/>
    <n v="2"/>
    <n v="1"/>
    <m/>
    <m/>
    <m/>
    <n v="1"/>
    <n v="2"/>
    <n v="1"/>
    <n v="2"/>
    <n v="2"/>
    <n v="1"/>
    <n v="1"/>
    <n v="2"/>
    <n v="1"/>
    <n v="2"/>
    <m/>
    <n v="1"/>
    <n v="4"/>
    <n v="5"/>
    <m/>
    <n v="2"/>
    <n v="4"/>
    <n v="5"/>
    <x v="1"/>
    <n v="1981"/>
    <n v="2"/>
    <m/>
    <n v="7"/>
    <m/>
    <n v="1"/>
    <m/>
    <n v="1"/>
    <m/>
    <n v="4"/>
    <n v="1"/>
    <n v="32"/>
    <x v="1"/>
    <n v="1"/>
    <n v="1"/>
    <n v="1"/>
  </r>
  <r>
    <x v="2"/>
    <n v="1"/>
    <n v="2"/>
    <n v="3"/>
    <n v="1"/>
    <n v="4"/>
    <n v="2"/>
    <n v="2"/>
    <n v="2"/>
    <n v="1"/>
    <n v="2"/>
    <n v="1"/>
    <n v="2"/>
    <n v="2"/>
    <n v="1"/>
    <n v="2"/>
    <n v="1"/>
    <m/>
    <m/>
    <n v="1"/>
    <m/>
    <n v="1"/>
    <m/>
    <n v="1"/>
    <m/>
    <m/>
    <n v="2"/>
    <m/>
    <n v="1"/>
    <n v="1"/>
    <n v="2"/>
    <n v="1"/>
    <n v="1"/>
    <n v="1"/>
    <n v="1"/>
    <n v="1"/>
    <n v="1"/>
    <n v="1"/>
    <n v="2"/>
    <n v="4"/>
    <n v="1"/>
    <n v="1"/>
    <n v="4"/>
    <n v="8"/>
    <n v="1"/>
    <n v="4"/>
    <n v="1"/>
    <n v="2"/>
    <n v="1"/>
    <m/>
    <m/>
    <n v="2"/>
    <n v="1"/>
    <n v="1"/>
    <n v="2"/>
    <n v="2"/>
    <n v="1"/>
    <n v="2"/>
    <n v="1"/>
    <n v="2"/>
    <n v="1"/>
    <m/>
    <n v="2"/>
    <m/>
    <m/>
    <m/>
    <n v="4"/>
    <n v="1"/>
    <n v="2"/>
    <x v="2"/>
    <n v="1970"/>
    <n v="1"/>
    <m/>
    <n v="5"/>
    <m/>
    <n v="2"/>
    <m/>
    <n v="2"/>
    <m/>
    <n v="1"/>
    <n v="1"/>
    <n v="43"/>
    <x v="2"/>
    <n v="2"/>
    <n v="3"/>
    <n v="2"/>
  </r>
  <r>
    <x v="3"/>
    <n v="2"/>
    <n v="4"/>
    <n v="3"/>
    <n v="1"/>
    <n v="4"/>
    <n v="2"/>
    <n v="1"/>
    <n v="2"/>
    <n v="1"/>
    <n v="3"/>
    <n v="2"/>
    <n v="3"/>
    <n v="1"/>
    <n v="2"/>
    <n v="1"/>
    <n v="2"/>
    <n v="1"/>
    <m/>
    <m/>
    <m/>
    <n v="1"/>
    <n v="1"/>
    <m/>
    <n v="1"/>
    <m/>
    <n v="2"/>
    <m/>
    <n v="1"/>
    <n v="1"/>
    <n v="2"/>
    <n v="1"/>
    <n v="1"/>
    <n v="1"/>
    <n v="2"/>
    <n v="1"/>
    <n v="1"/>
    <n v="2"/>
    <n v="3"/>
    <n v="1"/>
    <n v="2"/>
    <n v="3"/>
    <n v="2"/>
    <n v="1"/>
    <n v="2"/>
    <n v="3"/>
    <n v="4"/>
    <n v="3"/>
    <n v="3"/>
    <m/>
    <m/>
    <n v="2"/>
    <n v="1"/>
    <n v="2"/>
    <n v="2"/>
    <n v="2"/>
    <n v="2"/>
    <n v="2"/>
    <n v="1"/>
    <n v="3"/>
    <n v="3"/>
    <m/>
    <n v="1"/>
    <n v="2"/>
    <n v="8"/>
    <m/>
    <n v="5"/>
    <n v="4"/>
    <n v="4"/>
    <x v="2"/>
    <n v="1990"/>
    <n v="3"/>
    <m/>
    <n v="4"/>
    <m/>
    <n v="4"/>
    <m/>
    <n v="3"/>
    <m/>
    <n v="2"/>
    <n v="1"/>
    <n v="23"/>
    <x v="1"/>
    <n v="2"/>
    <n v="4"/>
    <n v="2"/>
  </r>
  <r>
    <x v="4"/>
    <n v="4"/>
    <n v="1"/>
    <n v="3"/>
    <n v="2"/>
    <n v="2"/>
    <n v="2"/>
    <n v="2"/>
    <n v="2"/>
    <n v="1"/>
    <n v="2"/>
    <n v="3"/>
    <n v="3"/>
    <n v="1"/>
    <n v="3"/>
    <n v="1"/>
    <n v="1"/>
    <n v="1"/>
    <n v="1"/>
    <m/>
    <n v="1"/>
    <n v="1"/>
    <n v="1"/>
    <n v="1"/>
    <m/>
    <m/>
    <n v="2"/>
    <m/>
    <n v="1"/>
    <n v="1"/>
    <n v="2"/>
    <n v="2"/>
    <n v="1"/>
    <n v="2"/>
    <n v="2"/>
    <n v="1"/>
    <n v="1"/>
    <n v="1"/>
    <n v="4"/>
    <n v="3"/>
    <n v="3"/>
    <n v="2"/>
    <n v="3"/>
    <n v="1"/>
    <n v="3"/>
    <n v="2"/>
    <n v="2"/>
    <n v="4"/>
    <n v="2"/>
    <m/>
    <m/>
    <n v="2"/>
    <n v="1"/>
    <n v="2"/>
    <n v="2"/>
    <n v="1"/>
    <n v="2"/>
    <n v="2"/>
    <n v="2"/>
    <n v="4"/>
    <m/>
    <m/>
    <n v="1"/>
    <n v="2"/>
    <n v="7"/>
    <m/>
    <n v="1"/>
    <n v="2"/>
    <n v="1"/>
    <x v="2"/>
    <n v="1983"/>
    <n v="1"/>
    <m/>
    <n v="1"/>
    <m/>
    <n v="1"/>
    <m/>
    <n v="4"/>
    <m/>
    <n v="3"/>
    <n v="1"/>
    <n v="30"/>
    <x v="1"/>
    <n v="2"/>
    <n v="3"/>
    <n v="2"/>
  </r>
  <r>
    <x v="3"/>
    <n v="2"/>
    <n v="5"/>
    <n v="2"/>
    <n v="4"/>
    <n v="1"/>
    <n v="1"/>
    <n v="2"/>
    <n v="1"/>
    <n v="2"/>
    <n v="2"/>
    <n v="3"/>
    <n v="2"/>
    <n v="1"/>
    <n v="2"/>
    <n v="2"/>
    <n v="1"/>
    <m/>
    <n v="1"/>
    <n v="1"/>
    <n v="1"/>
    <n v="1"/>
    <n v="1"/>
    <m/>
    <m/>
    <m/>
    <n v="2"/>
    <m/>
    <n v="1"/>
    <n v="1"/>
    <n v="1"/>
    <n v="2"/>
    <n v="2"/>
    <n v="2"/>
    <n v="1"/>
    <n v="2"/>
    <n v="2"/>
    <m/>
    <n v="7"/>
    <n v="3"/>
    <n v="3"/>
    <n v="1"/>
    <n v="2"/>
    <n v="3"/>
    <n v="2"/>
    <n v="1"/>
    <n v="3"/>
    <n v="2"/>
    <n v="4"/>
    <m/>
    <m/>
    <n v="1"/>
    <n v="2"/>
    <n v="2"/>
    <n v="1"/>
    <n v="1"/>
    <n v="2"/>
    <n v="2"/>
    <n v="1"/>
    <n v="1"/>
    <n v="6"/>
    <m/>
    <n v="2"/>
    <m/>
    <m/>
    <m/>
    <n v="3"/>
    <n v="3"/>
    <m/>
    <x v="2"/>
    <n v="1967"/>
    <n v="1"/>
    <m/>
    <n v="2"/>
    <m/>
    <n v="3"/>
    <m/>
    <n v="4"/>
    <m/>
    <n v="2"/>
    <n v="1"/>
    <n v="46"/>
    <x v="2"/>
    <n v="3"/>
    <n v="5"/>
    <n v="3"/>
  </r>
  <r>
    <x v="2"/>
    <n v="3"/>
    <n v="2"/>
    <n v="4"/>
    <n v="1"/>
    <n v="2"/>
    <n v="1"/>
    <n v="3"/>
    <n v="1"/>
    <n v="2"/>
    <n v="1"/>
    <n v="3"/>
    <n v="1"/>
    <n v="1"/>
    <n v="2"/>
    <n v="1"/>
    <n v="1"/>
    <m/>
    <n v="1"/>
    <m/>
    <m/>
    <m/>
    <n v="1"/>
    <m/>
    <m/>
    <m/>
    <n v="2"/>
    <m/>
    <n v="1"/>
    <n v="1"/>
    <n v="1"/>
    <n v="2"/>
    <n v="2"/>
    <n v="1"/>
    <n v="1"/>
    <n v="2"/>
    <n v="1"/>
    <n v="1"/>
    <n v="4"/>
    <n v="2"/>
    <n v="2"/>
    <n v="2"/>
    <n v="3"/>
    <n v="2"/>
    <n v="4"/>
    <n v="4"/>
    <n v="2"/>
    <n v="1"/>
    <m/>
    <m/>
    <m/>
    <n v="1"/>
    <n v="2"/>
    <n v="1"/>
    <n v="1"/>
    <n v="2"/>
    <n v="1"/>
    <n v="1"/>
    <n v="2"/>
    <n v="4"/>
    <m/>
    <m/>
    <n v="2"/>
    <m/>
    <m/>
    <m/>
    <n v="2"/>
    <n v="2"/>
    <n v="1"/>
    <x v="2"/>
    <n v="1962"/>
    <n v="2"/>
    <m/>
    <n v="3"/>
    <m/>
    <n v="3"/>
    <m/>
    <n v="1"/>
    <m/>
    <n v="1"/>
    <n v="1"/>
    <n v="51"/>
    <x v="2"/>
    <n v="2"/>
    <n v="2"/>
    <n v="2"/>
  </r>
  <r>
    <x v="5"/>
    <n v="5"/>
    <n v="3"/>
    <n v="1"/>
    <n v="2"/>
    <n v="3"/>
    <n v="2"/>
    <n v="2"/>
    <n v="2"/>
    <n v="3"/>
    <n v="4"/>
    <n v="2"/>
    <n v="2"/>
    <n v="4"/>
    <n v="1"/>
    <n v="1"/>
    <n v="2"/>
    <m/>
    <m/>
    <m/>
    <n v="1"/>
    <m/>
    <n v="1"/>
    <m/>
    <m/>
    <m/>
    <n v="2"/>
    <m/>
    <n v="2"/>
    <n v="2"/>
    <n v="1"/>
    <n v="2"/>
    <n v="2"/>
    <n v="1"/>
    <n v="2"/>
    <n v="2"/>
    <n v="2"/>
    <m/>
    <n v="2"/>
    <n v="1"/>
    <n v="1"/>
    <n v="1"/>
    <n v="3"/>
    <n v="3"/>
    <n v="1"/>
    <n v="8"/>
    <n v="1"/>
    <n v="3"/>
    <n v="2"/>
    <m/>
    <m/>
    <n v="1"/>
    <n v="2"/>
    <n v="1"/>
    <n v="1"/>
    <n v="1"/>
    <n v="1"/>
    <n v="1"/>
    <n v="1"/>
    <n v="1"/>
    <n v="7"/>
    <m/>
    <n v="1"/>
    <n v="2"/>
    <n v="6"/>
    <m/>
    <n v="1"/>
    <n v="3"/>
    <n v="3"/>
    <x v="2"/>
    <n v="1994"/>
    <n v="3"/>
    <m/>
    <n v="3"/>
    <m/>
    <n v="2"/>
    <m/>
    <n v="2"/>
    <m/>
    <n v="4"/>
    <n v="1"/>
    <n v="19"/>
    <x v="1"/>
    <n v="2"/>
    <n v="4"/>
    <n v="2"/>
  </r>
  <r>
    <x v="2"/>
    <n v="2"/>
    <n v="5"/>
    <n v="2"/>
    <n v="3"/>
    <n v="2"/>
    <n v="4"/>
    <n v="2"/>
    <n v="3"/>
    <n v="2"/>
    <n v="1"/>
    <n v="4"/>
    <n v="1"/>
    <n v="4"/>
    <n v="4"/>
    <n v="2"/>
    <n v="2"/>
    <m/>
    <m/>
    <n v="1"/>
    <n v="1"/>
    <m/>
    <m/>
    <n v="1"/>
    <m/>
    <m/>
    <n v="1"/>
    <m/>
    <n v="2"/>
    <n v="2"/>
    <n v="1"/>
    <n v="2"/>
    <n v="2"/>
    <n v="2"/>
    <n v="1"/>
    <n v="2"/>
    <n v="1"/>
    <n v="2"/>
    <n v="3"/>
    <n v="1"/>
    <n v="2"/>
    <n v="3"/>
    <n v="4"/>
    <n v="2"/>
    <n v="3"/>
    <n v="8"/>
    <n v="4"/>
    <n v="2"/>
    <n v="1"/>
    <m/>
    <m/>
    <n v="1"/>
    <n v="1"/>
    <n v="1"/>
    <n v="1"/>
    <n v="1"/>
    <n v="1"/>
    <n v="1"/>
    <n v="2"/>
    <n v="3"/>
    <n v="2"/>
    <m/>
    <n v="2"/>
    <m/>
    <m/>
    <m/>
    <n v="3"/>
    <n v="2"/>
    <n v="2"/>
    <x v="1"/>
    <n v="1983"/>
    <n v="2"/>
    <m/>
    <n v="2"/>
    <m/>
    <n v="1"/>
    <m/>
    <n v="3"/>
    <m/>
    <n v="1"/>
    <n v="1"/>
    <n v="30"/>
    <x v="1"/>
    <n v="2"/>
    <n v="4"/>
    <n v="2"/>
  </r>
  <r>
    <x v="3"/>
    <n v="5"/>
    <n v="2"/>
    <n v="1"/>
    <n v="3"/>
    <n v="3"/>
    <n v="1"/>
    <n v="4"/>
    <n v="2"/>
    <n v="3"/>
    <n v="2"/>
    <n v="4"/>
    <n v="4"/>
    <n v="3"/>
    <n v="1"/>
    <n v="2"/>
    <n v="2"/>
    <n v="1"/>
    <n v="1"/>
    <m/>
    <n v="1"/>
    <n v="1"/>
    <n v="1"/>
    <m/>
    <m/>
    <m/>
    <n v="1"/>
    <m/>
    <n v="2"/>
    <n v="2"/>
    <n v="1"/>
    <n v="2"/>
    <n v="2"/>
    <n v="1"/>
    <n v="2"/>
    <n v="2"/>
    <n v="2"/>
    <m/>
    <n v="1"/>
    <n v="4"/>
    <n v="3"/>
    <n v="2"/>
    <n v="1"/>
    <n v="3"/>
    <n v="2"/>
    <n v="8"/>
    <n v="2"/>
    <n v="1"/>
    <m/>
    <m/>
    <m/>
    <n v="2"/>
    <n v="1"/>
    <n v="2"/>
    <n v="2"/>
    <n v="1"/>
    <n v="2"/>
    <n v="1"/>
    <n v="1"/>
    <n v="2"/>
    <n v="2"/>
    <m/>
    <n v="1"/>
    <n v="1"/>
    <n v="1"/>
    <m/>
    <n v="8"/>
    <n v="3"/>
    <n v="5"/>
    <x v="1"/>
    <n v="1975"/>
    <n v="3"/>
    <m/>
    <n v="2"/>
    <m/>
    <n v="4"/>
    <m/>
    <n v="2"/>
    <m/>
    <n v="3"/>
    <n v="1"/>
    <n v="38"/>
    <x v="1"/>
    <n v="2"/>
    <n v="2"/>
    <n v="1"/>
  </r>
  <r>
    <x v="5"/>
    <n v="5"/>
    <n v="5"/>
    <n v="2"/>
    <n v="3"/>
    <n v="2"/>
    <n v="2"/>
    <n v="4"/>
    <n v="3"/>
    <n v="2"/>
    <n v="3"/>
    <n v="4"/>
    <n v="1"/>
    <n v="2"/>
    <n v="2"/>
    <n v="1"/>
    <n v="1"/>
    <m/>
    <m/>
    <n v="1"/>
    <m/>
    <m/>
    <n v="1"/>
    <m/>
    <n v="1"/>
    <m/>
    <n v="1"/>
    <m/>
    <n v="2"/>
    <n v="2"/>
    <n v="1"/>
    <n v="1"/>
    <n v="2"/>
    <n v="2"/>
    <n v="2"/>
    <n v="2"/>
    <n v="2"/>
    <m/>
    <n v="2"/>
    <n v="1"/>
    <n v="4"/>
    <n v="2"/>
    <n v="2"/>
    <n v="2"/>
    <n v="1"/>
    <n v="8"/>
    <n v="3"/>
    <n v="3"/>
    <n v="3"/>
    <m/>
    <m/>
    <n v="2"/>
    <n v="2"/>
    <n v="2"/>
    <n v="2"/>
    <n v="2"/>
    <n v="2"/>
    <n v="1"/>
    <n v="1"/>
    <n v="2"/>
    <n v="3"/>
    <m/>
    <n v="1"/>
    <n v="2"/>
    <n v="5"/>
    <m/>
    <n v="2"/>
    <n v="2"/>
    <n v="5"/>
    <x v="1"/>
    <n v="1979"/>
    <n v="3"/>
    <m/>
    <n v="1"/>
    <m/>
    <n v="1"/>
    <m/>
    <n v="1"/>
    <m/>
    <n v="2"/>
    <n v="1"/>
    <n v="34"/>
    <x v="1"/>
    <n v="1"/>
    <n v="1"/>
    <n v="1"/>
  </r>
  <r>
    <x v="2"/>
    <n v="1"/>
    <n v="3"/>
    <n v="3"/>
    <n v="3"/>
    <n v="3"/>
    <n v="2"/>
    <n v="2"/>
    <n v="2"/>
    <n v="4"/>
    <n v="2"/>
    <n v="1"/>
    <n v="4"/>
    <n v="2"/>
    <n v="3"/>
    <n v="1"/>
    <n v="2"/>
    <m/>
    <m/>
    <n v="1"/>
    <m/>
    <m/>
    <m/>
    <m/>
    <m/>
    <m/>
    <n v="1"/>
    <m/>
    <n v="2"/>
    <n v="2"/>
    <n v="2"/>
    <n v="1"/>
    <n v="2"/>
    <n v="1"/>
    <n v="1"/>
    <n v="1"/>
    <n v="2"/>
    <m/>
    <n v="3"/>
    <n v="2"/>
    <n v="1"/>
    <n v="2"/>
    <n v="4"/>
    <n v="4"/>
    <n v="4"/>
    <n v="3"/>
    <n v="8"/>
    <n v="1"/>
    <m/>
    <m/>
    <m/>
    <n v="2"/>
    <n v="2"/>
    <n v="2"/>
    <n v="2"/>
    <n v="2"/>
    <n v="2"/>
    <n v="2"/>
    <n v="2"/>
    <n v="3"/>
    <n v="5"/>
    <m/>
    <n v="2"/>
    <m/>
    <m/>
    <m/>
    <n v="1"/>
    <n v="1"/>
    <n v="5"/>
    <x v="1"/>
    <n v="1957"/>
    <n v="3"/>
    <m/>
    <n v="1"/>
    <m/>
    <n v="3"/>
    <m/>
    <n v="4"/>
    <m/>
    <n v="3"/>
    <n v="1"/>
    <n v="56"/>
    <x v="2"/>
    <n v="1"/>
    <n v="1"/>
    <n v="1"/>
  </r>
  <r>
    <x v="3"/>
    <n v="4"/>
    <n v="2"/>
    <n v="1"/>
    <n v="2"/>
    <n v="2"/>
    <n v="3"/>
    <n v="4"/>
    <n v="4"/>
    <n v="2"/>
    <n v="1"/>
    <n v="2"/>
    <n v="1"/>
    <n v="3"/>
    <n v="1"/>
    <n v="2"/>
    <n v="1"/>
    <n v="1"/>
    <n v="1"/>
    <n v="1"/>
    <m/>
    <m/>
    <m/>
    <n v="1"/>
    <m/>
    <m/>
    <n v="1"/>
    <m/>
    <n v="1"/>
    <n v="2"/>
    <n v="1"/>
    <n v="1"/>
    <n v="1"/>
    <n v="2"/>
    <n v="2"/>
    <n v="1"/>
    <n v="1"/>
    <n v="2"/>
    <n v="1"/>
    <n v="3"/>
    <n v="7"/>
    <n v="3"/>
    <n v="1"/>
    <n v="2"/>
    <n v="2"/>
    <n v="2"/>
    <n v="2"/>
    <n v="4"/>
    <n v="4"/>
    <m/>
    <m/>
    <n v="1"/>
    <n v="1"/>
    <n v="1"/>
    <n v="2"/>
    <n v="2"/>
    <n v="1"/>
    <n v="2"/>
    <n v="2"/>
    <n v="3"/>
    <n v="98"/>
    <m/>
    <n v="1"/>
    <n v="4"/>
    <n v="4"/>
    <m/>
    <n v="2"/>
    <n v="3"/>
    <m/>
    <x v="2"/>
    <n v="1946"/>
    <n v="2"/>
    <m/>
    <n v="5"/>
    <m/>
    <n v="2"/>
    <m/>
    <n v="2"/>
    <m/>
    <n v="2"/>
    <n v="1"/>
    <n v="67"/>
    <x v="3"/>
    <n v="2"/>
    <n v="4"/>
    <n v="3"/>
  </r>
  <r>
    <x v="4"/>
    <n v="2"/>
    <n v="5"/>
    <n v="2"/>
    <n v="2"/>
    <n v="3"/>
    <n v="2"/>
    <n v="3"/>
    <n v="2"/>
    <n v="3"/>
    <n v="1"/>
    <n v="3"/>
    <n v="2"/>
    <n v="2"/>
    <n v="2"/>
    <n v="2"/>
    <n v="2"/>
    <n v="1"/>
    <m/>
    <m/>
    <m/>
    <n v="1"/>
    <n v="1"/>
    <m/>
    <m/>
    <m/>
    <n v="1"/>
    <m/>
    <n v="1"/>
    <n v="2"/>
    <n v="2"/>
    <n v="2"/>
    <n v="1"/>
    <n v="1"/>
    <n v="1"/>
    <n v="1"/>
    <n v="2"/>
    <m/>
    <n v="2"/>
    <n v="1"/>
    <n v="4"/>
    <n v="3"/>
    <n v="3"/>
    <n v="3"/>
    <n v="3"/>
    <n v="1"/>
    <n v="1"/>
    <n v="1"/>
    <m/>
    <m/>
    <m/>
    <n v="1"/>
    <n v="2"/>
    <n v="1"/>
    <n v="1"/>
    <n v="1"/>
    <n v="1"/>
    <n v="1"/>
    <n v="1"/>
    <n v="2"/>
    <n v="1"/>
    <m/>
    <n v="1"/>
    <n v="2"/>
    <n v="98"/>
    <m/>
    <n v="3"/>
    <n v="2"/>
    <n v="1"/>
    <x v="1"/>
    <n v="1947"/>
    <n v="1"/>
    <m/>
    <n v="6"/>
    <m/>
    <n v="4"/>
    <m/>
    <n v="1"/>
    <m/>
    <n v="2"/>
    <n v="1"/>
    <n v="66"/>
    <x v="3"/>
    <n v="2"/>
    <n v="3"/>
    <n v="2"/>
  </r>
  <r>
    <x v="4"/>
    <n v="3"/>
    <n v="2"/>
    <n v="1"/>
    <n v="2"/>
    <n v="2"/>
    <n v="2"/>
    <n v="2"/>
    <n v="3"/>
    <n v="2"/>
    <n v="2"/>
    <n v="2"/>
    <n v="3"/>
    <n v="3"/>
    <n v="4"/>
    <n v="2"/>
    <n v="1"/>
    <m/>
    <n v="1"/>
    <n v="1"/>
    <n v="1"/>
    <m/>
    <m/>
    <m/>
    <m/>
    <m/>
    <n v="2"/>
    <m/>
    <n v="1"/>
    <n v="2"/>
    <n v="1"/>
    <n v="2"/>
    <n v="1"/>
    <n v="2"/>
    <n v="2"/>
    <n v="1"/>
    <n v="2"/>
    <m/>
    <n v="3"/>
    <n v="7"/>
    <n v="1"/>
    <n v="1"/>
    <n v="2"/>
    <n v="2"/>
    <n v="2"/>
    <n v="3"/>
    <n v="3"/>
    <n v="2"/>
    <n v="3"/>
    <m/>
    <m/>
    <n v="2"/>
    <n v="1"/>
    <n v="1"/>
    <n v="1"/>
    <n v="2"/>
    <n v="2"/>
    <n v="2"/>
    <n v="2"/>
    <n v="4"/>
    <m/>
    <m/>
    <n v="2"/>
    <m/>
    <m/>
    <m/>
    <n v="5"/>
    <n v="4"/>
    <n v="3"/>
    <x v="2"/>
    <n v="1984"/>
    <n v="3"/>
    <m/>
    <n v="4"/>
    <m/>
    <n v="6"/>
    <m/>
    <n v="3"/>
    <m/>
    <n v="1"/>
    <n v="1"/>
    <n v="29"/>
    <x v="1"/>
    <n v="2"/>
    <n v="4"/>
    <n v="2"/>
  </r>
  <r>
    <x v="3"/>
    <n v="5"/>
    <n v="4"/>
    <n v="2"/>
    <n v="2"/>
    <n v="2"/>
    <n v="1"/>
    <n v="1"/>
    <n v="2"/>
    <n v="1"/>
    <n v="4"/>
    <n v="1"/>
    <n v="3"/>
    <n v="1"/>
    <n v="1"/>
    <n v="1"/>
    <n v="2"/>
    <n v="1"/>
    <m/>
    <n v="1"/>
    <m/>
    <m/>
    <n v="1"/>
    <n v="1"/>
    <m/>
    <m/>
    <n v="2"/>
    <m/>
    <n v="2"/>
    <n v="1"/>
    <n v="2"/>
    <n v="1"/>
    <n v="1"/>
    <n v="1"/>
    <n v="1"/>
    <n v="2"/>
    <n v="1"/>
    <n v="1"/>
    <n v="4"/>
    <n v="1"/>
    <n v="2"/>
    <n v="1"/>
    <n v="2"/>
    <n v="1"/>
    <n v="1"/>
    <n v="2"/>
    <n v="8"/>
    <n v="3"/>
    <n v="2"/>
    <m/>
    <m/>
    <n v="1"/>
    <n v="2"/>
    <n v="2"/>
    <n v="2"/>
    <n v="2"/>
    <n v="2"/>
    <n v="1"/>
    <n v="1"/>
    <n v="1"/>
    <n v="8"/>
    <m/>
    <n v="2"/>
    <m/>
    <m/>
    <m/>
    <n v="3"/>
    <n v="3"/>
    <n v="1"/>
    <x v="1"/>
    <n v="1989"/>
    <n v="2"/>
    <m/>
    <n v="7"/>
    <m/>
    <n v="4"/>
    <m/>
    <n v="2"/>
    <m/>
    <n v="2"/>
    <n v="1"/>
    <n v="24"/>
    <x v="1"/>
    <n v="2"/>
    <n v="2"/>
    <n v="2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7"/>
    <m/>
    <m/>
    <m/>
    <m/>
    <m/>
    <m/>
    <m/>
    <m/>
    <m/>
    <n v="1"/>
    <n v="26"/>
    <x v="1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3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1"/>
    <m/>
    <m/>
    <m/>
    <m/>
    <m/>
    <m/>
    <m/>
    <m/>
    <m/>
    <n v="1"/>
    <n v="32"/>
    <x v="1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70"/>
    <m/>
    <m/>
    <m/>
    <m/>
    <m/>
    <m/>
    <m/>
    <m/>
    <m/>
    <n v="1"/>
    <n v="43"/>
    <x v="2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</pivotCacheRecords>
</file>

<file path=xl/pivotCache/pivotCacheRecords22.xml><?xml version="1.0" encoding="utf-8"?>
<pivotCacheRecords xmlns="http://schemas.openxmlformats.org/spreadsheetml/2006/main" xmlns:r="http://schemas.openxmlformats.org/officeDocument/2006/relationships" count="632">
  <r>
    <x v="0"/>
    <s v="Habituellement, combien de fois sortez-vous seul(e) dans votre quartier APRÈS LA TOMBÉE DU JOUR ? Est-ce ... "/>
    <s v="Dans votre quartier, les problèmes causés par des gens bruyants sont … ?"/>
    <s v="Dans votre quartier, les désordres liés à la consommation d'alcool dans les lieux publics sont … ?"/>
    <s v="Dans votre quartier, les désordres liés à la vente ou à la consommation de drogue sont … ?"/>
    <s v="Dans votre quartier, les problèmes liés à la criminalité sont … ?"/>
    <s v="Dans votre quartier, les problèmes causés par les gens qui traînent dans les lieux publics sont … ?"/>
    <s v="Dans votre quartier, les actes de vandalisme sont … ?"/>
    <s v="Dans votre quartier, les conflits entre les groupes d'origines ethniques différentes sont … ?"/>
    <s v="Dans votre quartier, les conflits entre d'autres groupes d'individus sont … ?"/>
    <s v="Dans votre quartier, les graffiti sont … ?"/>
    <s v="Dans votre quartier, les immeubles ou bâtiments abandonnés ou mal entretenus sont... ?"/>
    <s v="Dans votre quartier, le niveau d'entraide entre les personnes est... ?"/>
    <s v="Dans votre quartier, le niveau de confiance qui règne entre la plupart des personnes est... ?"/>
    <s v="Dans votre quartier, les comportements des jeunes ou des groupes de jeunes sont-ils pour vous une source de menace ou d'insécurité ?"/>
    <s v="Y a-t-il d'autres individus ou des groupes d'individus dont les comportements sont pour vous une source de menace ou d'insécurité ?"/>
    <s v="De quel type ou groupe d'individus s'agit-il ?  Toxicomanes ou revendeur de drogue"/>
    <s v="De quel type ou groupe d'individus s'agit-il ? Gangs de motards / milieu criminel"/>
    <s v="De quel type ou groupe d'individus s'agit-il ? Sollicitation (vendeurs, mouvements religieux, ex-détenus, etc.)"/>
    <s v="De quel type ou groupe d'individus s'agit-il ? Itinérants"/>
    <s v="De quel type ou groupe d'individus s'agit-il ? Individus ou groupes d'individus en état d'ébriété"/>
    <s v="De quel type ou groupe d'individus s'agit-il ? Personnes d'une communauté culturelle différente de la mienne"/>
    <s v="De quel type ou groupe d'individus s'agit-il ? Voisins"/>
    <s v="De quel type ou groupe d'individus s'agit-il ? Autre"/>
    <s v="De quel type ou groupe d'individus s'agit-il ? Autre, précisez"/>
    <s v="Y a-t-il dans votre quartier des endroits que vous évitez de fréquenter pour des raisons de sécurité ?"/>
    <s v="Lesquels ?"/>
    <s v="Veuillez répondre à chacun des énoncés suivants. Quand je me déplace dans mon quartier, j'apporte habituellement quelque chose pour assurer ma protection. "/>
    <s v="Veuillez répondre à chacun des énoncés suivants. Lorsque je suis dans mon quartier, je vérifie qu'aucun intrus ne se trouve à l'intérieur de ma voiture avant d'y monter."/>
    <s v="Veuillez répondre à chacun des énoncés suivants. À mon domicile, j'évite d'ouvrir la porte à des inconnus, pour des raisons de sécurité. "/>
    <s v="Veuillez répondre à chacun des énoncés suivants. Je garde les portes extérieures de mon domicile constamment verrouillées, même lorsque je suis chez moi. "/>
    <s v="Veuillez répondre à chacun des énoncés suivants. Spécialement par mesure de protection, il y a un chien à mon domicile. "/>
    <s v="Veuillez répondre à chacun des énoncés suivants. J'ai un système d'alarme que j'active régulièrement pour protéger mon domicile contre le vol."/>
    <s v="Veuillez répondre à chacun des énoncés suivants. Spécialement par mesure de protection, j'ai suivi un cours d'autodéfense. "/>
    <s v="Veuillez répondre à chacun des énoncés suivants. Spécialement par mesure de protection, il y a une arme à feu à mon domicile. "/>
    <s v="Est-ce qu'il y a à votre domicile au moins un détecteur de fumée fonctionnel par étage ? "/>
    <s v="Le bon fonctionnement de cet/ces appareil(s) a-t-il été vérifié, au cours des douze (12) derniers mois ?"/>
    <s v="Veuillez nous dire votre degré de satisfaction à l'égard : du déneigement et du déglaçage des rues et des trottoirs de votre quartier ? "/>
    <s v="Veuillez nous dire votre degré de satisfaction à l'égard :  de la propreté et de l'entretien des parcs et terrains de jeux de votre quartier ?"/>
    <s v="Veuillez nous dire votre degré de satisfaction à l'égard :  de la sécurité des équipements dans les parcs, aires de jeux ou centre récréatif ou sportif de votre quartier ? "/>
    <s v="Votre quartier est-il desservi par un service de police municipal, une régie intermunicipale ou par la Sûreté du Québec ?"/>
    <s v="Quel est votre niveau de satisfaction à l'égard de la présence des policiers dans votre quartier ?"/>
    <s v="Quel est votre niveau de satisfaction à l'égard du travail effectué par les policiers dans votre quartier ?"/>
    <s v="De façon plus spécifique, quel est votre niveau de satisfaction à l'égard du travail effectué par les policiers : auprès des jeunes de votre quartier"/>
    <s v="De façon plus spécifique, quel est votre niveau de satisfaction à l'égard du travail effectué par les policiers : pour assurer la sécurité routière dans votre quartier"/>
    <s v="De façon plus spécifique, quel est votre niveau de satisfaction à l'égard du travail effectué par les policiers : pour régler des problèmes de délinquance ou de désordres qui surviennent dans votre quartier"/>
    <s v="Au cours des deux dernières années, combien de fois avez-vous fait appel au service de police qui dessert votre quartier ?"/>
    <s v="En vous référant à l'événement le plus récent, quel est votre niveau de satisfaction à l'égard de la réponse que vous avez reçue ?"/>
    <s v="Pourquoi ? Peu"/>
    <s v="Pourquoi ? Pas"/>
    <s v="Au cours des deux dernières années, vous êtes vous IMPLIQUÉ SUR UNE BASE RÉGULIÈRE dans les activités suivantes de votre quartier : Dans un comité ou un organisme préoccupé par les problèmes de sécurité de votre quartier ?"/>
    <s v="Au cours des deux dernières années, vous êtes vous IMPLIQUÉ SUR UNE BASE RÉGULIÈRE dans les activités suivantes de votre quartier : Dans des assemblées du conseil municipal ?"/>
    <s v="Au cours des deux dernières années, vous êtes vous IMPLIQUÉ SUR UNE BASE RÉGULIÈRE dans les activités suivantes de votre quartier : Dans un conseil de quartier ou d'arrondissement ?"/>
    <s v="Au cours des deux dernières années, vous êtes vous IMPLIQUÉ SUR UNE BASE RÉGULIÈRE dans les activités suivantes de votre quartier : Dans un comité de citoyens ?"/>
    <s v="Au cours des deux dernières années, vous êtes vous IMPLIQUÉ SUR UNE BASE RÉGULIÈRE dans les activités suivantes de votre quartier : Dans des activités communautaires, d'entraide ou de bénévolat (cuisine communautaire, bazar)"/>
    <s v="Au cours des deux dernières années, vous êtes vous IMPLIQUÉ SUR UNE BASE RÉGULIÈRE dans les activités suivantes de votre quartier : Dans des activités sociales, culturelles ou sportives organisées par les gens de votre quartier ou de votre municipalité ?"/>
    <s v="Au cours des deux dernières années, avez-vous été victime de vol, de vandalisme ou de tout autre crime contre vos biens, chez vous ou dans votre quartier ?"/>
    <s v="Au cours des deux dernières années, avez-vous été victime d'une agression, d'intimidation ou de tout autre acte de violence, chez vous ou dans votre quartier ?"/>
    <s v="Au cours des deux dernières années avez-vous été victime dans votre quartier d'une quelconque forme de discrimination ?"/>
    <s v="À votre avis, le motif de cette discrimination était lié …"/>
    <s v="Autre, précisez :"/>
    <s v="Au cours des deux dernières années, avez-vous subi un accident qui vous a occasionné une blessure pour laquelle vous avez dû consulter un professionnel de la santé ou limiter vos activités ?"/>
    <s v="Combien de fois cela s'est-il produit ?"/>
    <s v="En se référant au dernier événement, était-ce … ?"/>
    <s v="Autre, précisez :"/>
    <s v="Maintenant, comparativement à d'autres personnes de votre âge, dirirez-vous que votre santé est en général …"/>
    <s v="Dans quel quartier habitez-vous ?"/>
    <s v="Combien de personne de moins de 18 ans habitent dans votre foyer ?"/>
    <x v="0"/>
    <s v="Quelle est votre année de naissance ?"/>
    <s v="Êtes-vous propriétaire ou locataire du logement que vous habitez ?"/>
    <s v="Autre, précisez : "/>
    <s v="Habitez-vous dans …"/>
    <s v="Autre, précisez : "/>
    <s v="Quel est votre état civil ?"/>
    <s v="Autre, précisez : "/>
    <s v="Où est situé votre lieu de travail habituel ?"/>
    <s v="Autre, précisez : "/>
    <s v="Quel est le plus haut niveau de scolarité que vous avez complété ?"/>
    <m/>
    <m/>
    <x v="0"/>
    <m/>
    <m/>
    <m/>
  </r>
  <r>
    <x v="1"/>
    <n v="1"/>
    <n v="2"/>
    <n v="1"/>
    <n v="4"/>
    <n v="3"/>
    <n v="3"/>
    <n v="2"/>
    <n v="1"/>
    <n v="2"/>
    <n v="2"/>
    <n v="4"/>
    <n v="3"/>
    <n v="1"/>
    <n v="1"/>
    <n v="1"/>
    <m/>
    <n v="1"/>
    <m/>
    <n v="1"/>
    <n v="1"/>
    <n v="1"/>
    <n v="1"/>
    <m/>
    <m/>
    <n v="1"/>
    <m/>
    <n v="2"/>
    <n v="2"/>
    <n v="1"/>
    <n v="1"/>
    <n v="1"/>
    <n v="2"/>
    <n v="1"/>
    <n v="2"/>
    <n v="2"/>
    <m/>
    <n v="1"/>
    <n v="7"/>
    <n v="4"/>
    <n v="8"/>
    <n v="1"/>
    <n v="4"/>
    <n v="8"/>
    <n v="2"/>
    <n v="2"/>
    <n v="1"/>
    <m/>
    <m/>
    <m/>
    <n v="1"/>
    <n v="2"/>
    <n v="1"/>
    <n v="2"/>
    <n v="2"/>
    <n v="1"/>
    <n v="1"/>
    <n v="2"/>
    <n v="1"/>
    <n v="2"/>
    <m/>
    <n v="1"/>
    <n v="4"/>
    <n v="5"/>
    <m/>
    <n v="2"/>
    <n v="4"/>
    <n v="5"/>
    <x v="1"/>
    <n v="1981"/>
    <n v="2"/>
    <m/>
    <n v="7"/>
    <m/>
    <n v="1"/>
    <m/>
    <n v="1"/>
    <m/>
    <n v="4"/>
    <n v="1"/>
    <n v="32"/>
    <x v="1"/>
    <n v="1"/>
    <n v="1"/>
    <n v="1"/>
  </r>
  <r>
    <x v="1"/>
    <n v="2"/>
    <n v="3"/>
    <n v="1"/>
    <n v="4"/>
    <n v="2"/>
    <n v="2"/>
    <n v="2"/>
    <n v="1"/>
    <n v="2"/>
    <n v="1"/>
    <n v="2"/>
    <n v="2"/>
    <n v="1"/>
    <n v="2"/>
    <n v="1"/>
    <m/>
    <m/>
    <n v="1"/>
    <m/>
    <n v="1"/>
    <m/>
    <n v="1"/>
    <m/>
    <m/>
    <n v="2"/>
    <m/>
    <n v="1"/>
    <n v="1"/>
    <n v="2"/>
    <n v="1"/>
    <n v="1"/>
    <n v="1"/>
    <n v="1"/>
    <n v="1"/>
    <n v="1"/>
    <n v="1"/>
    <n v="2"/>
    <n v="4"/>
    <n v="1"/>
    <n v="1"/>
    <n v="4"/>
    <n v="8"/>
    <n v="1"/>
    <n v="4"/>
    <n v="1"/>
    <n v="2"/>
    <n v="1"/>
    <m/>
    <m/>
    <n v="2"/>
    <n v="1"/>
    <n v="1"/>
    <n v="2"/>
    <n v="2"/>
    <n v="1"/>
    <n v="2"/>
    <n v="1"/>
    <n v="2"/>
    <n v="1"/>
    <m/>
    <n v="2"/>
    <m/>
    <m/>
    <m/>
    <n v="4"/>
    <n v="1"/>
    <n v="2"/>
    <x v="2"/>
    <n v="1970"/>
    <n v="1"/>
    <m/>
    <n v="5"/>
    <m/>
    <n v="2"/>
    <m/>
    <n v="2"/>
    <m/>
    <n v="1"/>
    <n v="1"/>
    <n v="43"/>
    <x v="2"/>
    <n v="2"/>
    <n v="3"/>
    <n v="2"/>
  </r>
  <r>
    <x v="2"/>
    <n v="4"/>
    <n v="3"/>
    <n v="1"/>
    <n v="4"/>
    <n v="2"/>
    <n v="1"/>
    <n v="2"/>
    <n v="1"/>
    <n v="3"/>
    <n v="2"/>
    <n v="3"/>
    <n v="1"/>
    <n v="2"/>
    <n v="1"/>
    <n v="2"/>
    <n v="1"/>
    <m/>
    <m/>
    <m/>
    <n v="1"/>
    <n v="1"/>
    <m/>
    <n v="1"/>
    <m/>
    <n v="2"/>
    <m/>
    <n v="1"/>
    <n v="1"/>
    <n v="2"/>
    <n v="1"/>
    <n v="1"/>
    <n v="1"/>
    <n v="2"/>
    <n v="1"/>
    <n v="1"/>
    <n v="2"/>
    <n v="3"/>
    <n v="1"/>
    <n v="2"/>
    <n v="3"/>
    <n v="2"/>
    <n v="1"/>
    <n v="2"/>
    <n v="3"/>
    <n v="4"/>
    <n v="3"/>
    <n v="3"/>
    <m/>
    <m/>
    <n v="2"/>
    <n v="1"/>
    <n v="2"/>
    <n v="2"/>
    <n v="2"/>
    <n v="2"/>
    <n v="2"/>
    <n v="1"/>
    <n v="3"/>
    <n v="3"/>
    <m/>
    <n v="1"/>
    <n v="2"/>
    <n v="8"/>
    <m/>
    <n v="5"/>
    <n v="4"/>
    <n v="4"/>
    <x v="2"/>
    <n v="1990"/>
    <n v="3"/>
    <m/>
    <n v="4"/>
    <m/>
    <n v="4"/>
    <m/>
    <n v="3"/>
    <m/>
    <n v="2"/>
    <n v="1"/>
    <n v="23"/>
    <x v="1"/>
    <n v="2"/>
    <n v="4"/>
    <n v="2"/>
  </r>
  <r>
    <x v="3"/>
    <n v="1"/>
    <n v="3"/>
    <n v="2"/>
    <n v="2"/>
    <n v="2"/>
    <n v="2"/>
    <n v="2"/>
    <n v="1"/>
    <n v="2"/>
    <n v="3"/>
    <n v="3"/>
    <n v="1"/>
    <n v="3"/>
    <n v="1"/>
    <n v="1"/>
    <n v="1"/>
    <n v="1"/>
    <m/>
    <n v="1"/>
    <n v="1"/>
    <n v="1"/>
    <n v="1"/>
    <m/>
    <m/>
    <n v="2"/>
    <m/>
    <n v="1"/>
    <n v="1"/>
    <n v="2"/>
    <n v="2"/>
    <n v="1"/>
    <n v="2"/>
    <n v="2"/>
    <n v="1"/>
    <n v="1"/>
    <n v="1"/>
    <n v="4"/>
    <n v="3"/>
    <n v="3"/>
    <n v="2"/>
    <n v="3"/>
    <n v="1"/>
    <n v="3"/>
    <n v="2"/>
    <n v="2"/>
    <n v="4"/>
    <n v="2"/>
    <m/>
    <m/>
    <n v="2"/>
    <n v="1"/>
    <n v="2"/>
    <n v="2"/>
    <n v="1"/>
    <n v="2"/>
    <n v="2"/>
    <n v="2"/>
    <n v="4"/>
    <m/>
    <m/>
    <n v="1"/>
    <n v="2"/>
    <n v="7"/>
    <m/>
    <n v="1"/>
    <n v="2"/>
    <n v="1"/>
    <x v="2"/>
    <n v="1983"/>
    <n v="1"/>
    <m/>
    <n v="1"/>
    <m/>
    <n v="1"/>
    <m/>
    <n v="4"/>
    <m/>
    <n v="3"/>
    <n v="1"/>
    <n v="30"/>
    <x v="1"/>
    <n v="2"/>
    <n v="3"/>
    <n v="2"/>
  </r>
  <r>
    <x v="2"/>
    <n v="5"/>
    <n v="2"/>
    <n v="4"/>
    <n v="1"/>
    <n v="1"/>
    <n v="2"/>
    <n v="1"/>
    <n v="2"/>
    <n v="2"/>
    <n v="3"/>
    <n v="2"/>
    <n v="1"/>
    <n v="2"/>
    <n v="2"/>
    <n v="1"/>
    <m/>
    <n v="1"/>
    <n v="1"/>
    <n v="1"/>
    <n v="1"/>
    <n v="1"/>
    <m/>
    <m/>
    <m/>
    <n v="2"/>
    <m/>
    <n v="1"/>
    <n v="1"/>
    <n v="1"/>
    <n v="2"/>
    <n v="2"/>
    <n v="2"/>
    <n v="1"/>
    <n v="2"/>
    <n v="2"/>
    <m/>
    <n v="7"/>
    <n v="3"/>
    <n v="3"/>
    <n v="1"/>
    <n v="2"/>
    <n v="3"/>
    <n v="2"/>
    <n v="1"/>
    <n v="3"/>
    <n v="2"/>
    <n v="4"/>
    <m/>
    <m/>
    <n v="1"/>
    <n v="2"/>
    <n v="2"/>
    <n v="1"/>
    <n v="1"/>
    <n v="2"/>
    <n v="2"/>
    <n v="1"/>
    <n v="1"/>
    <n v="6"/>
    <m/>
    <n v="2"/>
    <m/>
    <m/>
    <m/>
    <n v="3"/>
    <n v="3"/>
    <m/>
    <x v="2"/>
    <n v="1967"/>
    <n v="1"/>
    <m/>
    <n v="2"/>
    <m/>
    <n v="3"/>
    <m/>
    <n v="4"/>
    <m/>
    <n v="2"/>
    <n v="1"/>
    <n v="46"/>
    <x v="2"/>
    <n v="3"/>
    <n v="5"/>
    <n v="3"/>
  </r>
  <r>
    <x v="4"/>
    <n v="2"/>
    <n v="4"/>
    <n v="1"/>
    <n v="2"/>
    <n v="1"/>
    <n v="3"/>
    <n v="1"/>
    <n v="2"/>
    <n v="1"/>
    <n v="3"/>
    <n v="1"/>
    <n v="1"/>
    <n v="2"/>
    <n v="1"/>
    <n v="1"/>
    <m/>
    <n v="1"/>
    <m/>
    <m/>
    <m/>
    <n v="1"/>
    <m/>
    <m/>
    <m/>
    <n v="2"/>
    <m/>
    <n v="1"/>
    <n v="1"/>
    <n v="1"/>
    <n v="2"/>
    <n v="2"/>
    <n v="1"/>
    <n v="1"/>
    <n v="2"/>
    <n v="1"/>
    <n v="1"/>
    <n v="4"/>
    <n v="2"/>
    <n v="2"/>
    <n v="2"/>
    <n v="3"/>
    <n v="2"/>
    <n v="4"/>
    <n v="4"/>
    <n v="2"/>
    <n v="1"/>
    <m/>
    <m/>
    <m/>
    <n v="1"/>
    <n v="2"/>
    <n v="1"/>
    <n v="1"/>
    <n v="2"/>
    <n v="1"/>
    <n v="1"/>
    <n v="2"/>
    <n v="4"/>
    <m/>
    <m/>
    <n v="2"/>
    <m/>
    <m/>
    <m/>
    <n v="2"/>
    <n v="2"/>
    <n v="1"/>
    <x v="2"/>
    <n v="1962"/>
    <n v="2"/>
    <m/>
    <n v="3"/>
    <m/>
    <n v="3"/>
    <m/>
    <n v="1"/>
    <m/>
    <n v="1"/>
    <n v="1"/>
    <n v="51"/>
    <x v="2"/>
    <n v="2"/>
    <n v="2"/>
    <n v="2"/>
  </r>
  <r>
    <x v="5"/>
    <n v="3"/>
    <n v="1"/>
    <n v="2"/>
    <n v="3"/>
    <n v="2"/>
    <n v="2"/>
    <n v="2"/>
    <n v="3"/>
    <n v="4"/>
    <n v="2"/>
    <n v="2"/>
    <n v="4"/>
    <n v="1"/>
    <n v="1"/>
    <n v="2"/>
    <m/>
    <m/>
    <m/>
    <n v="1"/>
    <m/>
    <n v="1"/>
    <m/>
    <m/>
    <m/>
    <n v="2"/>
    <m/>
    <n v="2"/>
    <n v="2"/>
    <n v="1"/>
    <n v="2"/>
    <n v="2"/>
    <n v="1"/>
    <n v="2"/>
    <n v="2"/>
    <n v="2"/>
    <m/>
    <n v="2"/>
    <n v="1"/>
    <n v="1"/>
    <n v="1"/>
    <n v="3"/>
    <n v="3"/>
    <n v="1"/>
    <n v="8"/>
    <n v="1"/>
    <n v="3"/>
    <n v="2"/>
    <m/>
    <m/>
    <n v="1"/>
    <n v="2"/>
    <n v="1"/>
    <n v="1"/>
    <n v="1"/>
    <n v="1"/>
    <n v="1"/>
    <n v="1"/>
    <n v="1"/>
    <n v="7"/>
    <m/>
    <n v="1"/>
    <n v="2"/>
    <n v="6"/>
    <m/>
    <n v="1"/>
    <n v="3"/>
    <n v="3"/>
    <x v="2"/>
    <n v="1994"/>
    <n v="3"/>
    <m/>
    <n v="3"/>
    <m/>
    <n v="2"/>
    <m/>
    <n v="2"/>
    <m/>
    <n v="4"/>
    <n v="1"/>
    <n v="19"/>
    <x v="1"/>
    <n v="2"/>
    <n v="4"/>
    <n v="2"/>
  </r>
  <r>
    <x v="2"/>
    <n v="5"/>
    <n v="2"/>
    <n v="3"/>
    <n v="2"/>
    <n v="4"/>
    <n v="2"/>
    <n v="3"/>
    <n v="2"/>
    <n v="1"/>
    <n v="4"/>
    <n v="1"/>
    <n v="4"/>
    <n v="4"/>
    <n v="2"/>
    <n v="2"/>
    <m/>
    <m/>
    <n v="1"/>
    <n v="1"/>
    <m/>
    <m/>
    <n v="1"/>
    <m/>
    <m/>
    <n v="1"/>
    <m/>
    <n v="2"/>
    <n v="2"/>
    <n v="1"/>
    <n v="2"/>
    <n v="2"/>
    <n v="2"/>
    <n v="1"/>
    <n v="2"/>
    <n v="1"/>
    <n v="2"/>
    <n v="3"/>
    <n v="1"/>
    <n v="2"/>
    <n v="3"/>
    <n v="4"/>
    <n v="2"/>
    <n v="3"/>
    <n v="8"/>
    <n v="4"/>
    <n v="2"/>
    <n v="1"/>
    <m/>
    <m/>
    <n v="1"/>
    <n v="1"/>
    <n v="1"/>
    <n v="1"/>
    <n v="1"/>
    <n v="1"/>
    <n v="1"/>
    <n v="2"/>
    <n v="3"/>
    <n v="2"/>
    <m/>
    <n v="2"/>
    <m/>
    <m/>
    <m/>
    <n v="3"/>
    <n v="2"/>
    <n v="2"/>
    <x v="1"/>
    <n v="1983"/>
    <n v="2"/>
    <m/>
    <n v="2"/>
    <m/>
    <n v="1"/>
    <m/>
    <n v="3"/>
    <m/>
    <n v="1"/>
    <n v="1"/>
    <n v="30"/>
    <x v="1"/>
    <n v="2"/>
    <n v="4"/>
    <n v="2"/>
  </r>
  <r>
    <x v="5"/>
    <n v="2"/>
    <n v="1"/>
    <n v="3"/>
    <n v="3"/>
    <n v="1"/>
    <n v="4"/>
    <n v="2"/>
    <n v="3"/>
    <n v="2"/>
    <n v="4"/>
    <n v="4"/>
    <n v="3"/>
    <n v="1"/>
    <n v="2"/>
    <n v="2"/>
    <n v="1"/>
    <n v="1"/>
    <m/>
    <n v="1"/>
    <n v="1"/>
    <n v="1"/>
    <m/>
    <m/>
    <m/>
    <n v="1"/>
    <m/>
    <n v="2"/>
    <n v="2"/>
    <n v="1"/>
    <n v="2"/>
    <n v="2"/>
    <n v="1"/>
    <n v="2"/>
    <n v="2"/>
    <n v="2"/>
    <m/>
    <n v="1"/>
    <n v="4"/>
    <n v="3"/>
    <n v="2"/>
    <n v="1"/>
    <n v="3"/>
    <n v="2"/>
    <n v="8"/>
    <n v="2"/>
    <n v="1"/>
    <m/>
    <m/>
    <m/>
    <n v="2"/>
    <n v="1"/>
    <n v="2"/>
    <n v="2"/>
    <n v="1"/>
    <n v="2"/>
    <n v="1"/>
    <n v="1"/>
    <n v="2"/>
    <n v="2"/>
    <m/>
    <n v="1"/>
    <n v="1"/>
    <n v="1"/>
    <m/>
    <n v="8"/>
    <n v="3"/>
    <n v="5"/>
    <x v="1"/>
    <n v="1975"/>
    <n v="3"/>
    <m/>
    <n v="2"/>
    <m/>
    <n v="4"/>
    <m/>
    <n v="2"/>
    <m/>
    <n v="3"/>
    <n v="1"/>
    <n v="38"/>
    <x v="1"/>
    <n v="2"/>
    <n v="2"/>
    <n v="1"/>
  </r>
  <r>
    <x v="5"/>
    <n v="5"/>
    <n v="2"/>
    <n v="3"/>
    <n v="2"/>
    <n v="2"/>
    <n v="4"/>
    <n v="3"/>
    <n v="2"/>
    <n v="3"/>
    <n v="4"/>
    <n v="1"/>
    <n v="2"/>
    <n v="2"/>
    <n v="1"/>
    <n v="1"/>
    <m/>
    <m/>
    <n v="1"/>
    <m/>
    <m/>
    <n v="1"/>
    <m/>
    <n v="1"/>
    <m/>
    <n v="1"/>
    <m/>
    <n v="2"/>
    <n v="2"/>
    <n v="1"/>
    <n v="1"/>
    <n v="2"/>
    <n v="2"/>
    <n v="2"/>
    <n v="2"/>
    <n v="2"/>
    <m/>
    <n v="2"/>
    <n v="1"/>
    <n v="4"/>
    <n v="2"/>
    <n v="2"/>
    <n v="2"/>
    <n v="1"/>
    <n v="8"/>
    <n v="3"/>
    <n v="3"/>
    <n v="3"/>
    <m/>
    <m/>
    <n v="2"/>
    <n v="2"/>
    <n v="2"/>
    <n v="2"/>
    <n v="2"/>
    <n v="2"/>
    <n v="1"/>
    <n v="1"/>
    <n v="2"/>
    <n v="3"/>
    <m/>
    <n v="1"/>
    <n v="2"/>
    <n v="5"/>
    <m/>
    <n v="2"/>
    <n v="2"/>
    <n v="5"/>
    <x v="1"/>
    <n v="1979"/>
    <n v="3"/>
    <m/>
    <n v="1"/>
    <m/>
    <n v="1"/>
    <m/>
    <n v="1"/>
    <m/>
    <n v="2"/>
    <n v="1"/>
    <n v="34"/>
    <x v="1"/>
    <n v="1"/>
    <n v="1"/>
    <n v="1"/>
  </r>
  <r>
    <x v="1"/>
    <n v="3"/>
    <n v="3"/>
    <n v="3"/>
    <n v="3"/>
    <n v="2"/>
    <n v="2"/>
    <n v="2"/>
    <n v="4"/>
    <n v="2"/>
    <n v="1"/>
    <n v="4"/>
    <n v="2"/>
    <n v="3"/>
    <n v="1"/>
    <n v="2"/>
    <m/>
    <m/>
    <n v="1"/>
    <m/>
    <m/>
    <m/>
    <m/>
    <m/>
    <m/>
    <n v="1"/>
    <m/>
    <n v="2"/>
    <n v="2"/>
    <n v="2"/>
    <n v="1"/>
    <n v="2"/>
    <n v="1"/>
    <n v="1"/>
    <n v="1"/>
    <n v="2"/>
    <m/>
    <n v="3"/>
    <n v="2"/>
    <n v="1"/>
    <n v="2"/>
    <n v="4"/>
    <n v="4"/>
    <n v="4"/>
    <n v="3"/>
    <n v="8"/>
    <n v="1"/>
    <m/>
    <m/>
    <m/>
    <n v="2"/>
    <n v="2"/>
    <n v="2"/>
    <n v="2"/>
    <n v="2"/>
    <n v="2"/>
    <n v="2"/>
    <n v="2"/>
    <n v="3"/>
    <n v="5"/>
    <m/>
    <n v="2"/>
    <m/>
    <m/>
    <m/>
    <n v="1"/>
    <n v="1"/>
    <n v="5"/>
    <x v="1"/>
    <n v="1957"/>
    <n v="3"/>
    <m/>
    <n v="1"/>
    <m/>
    <n v="3"/>
    <m/>
    <n v="4"/>
    <m/>
    <n v="3"/>
    <n v="1"/>
    <n v="56"/>
    <x v="2"/>
    <n v="1"/>
    <n v="1"/>
    <n v="1"/>
  </r>
  <r>
    <x v="3"/>
    <n v="2"/>
    <n v="1"/>
    <n v="2"/>
    <n v="2"/>
    <n v="3"/>
    <n v="4"/>
    <n v="4"/>
    <n v="2"/>
    <n v="1"/>
    <n v="2"/>
    <n v="1"/>
    <n v="3"/>
    <n v="1"/>
    <n v="2"/>
    <n v="1"/>
    <n v="1"/>
    <n v="1"/>
    <n v="1"/>
    <m/>
    <m/>
    <m/>
    <n v="1"/>
    <m/>
    <m/>
    <n v="1"/>
    <m/>
    <n v="1"/>
    <n v="2"/>
    <n v="1"/>
    <n v="1"/>
    <n v="1"/>
    <n v="2"/>
    <n v="2"/>
    <n v="1"/>
    <n v="1"/>
    <n v="2"/>
    <n v="1"/>
    <n v="3"/>
    <n v="7"/>
    <n v="3"/>
    <n v="1"/>
    <n v="2"/>
    <n v="2"/>
    <n v="2"/>
    <n v="2"/>
    <n v="4"/>
    <n v="4"/>
    <m/>
    <m/>
    <n v="1"/>
    <n v="1"/>
    <n v="1"/>
    <n v="2"/>
    <n v="2"/>
    <n v="1"/>
    <n v="2"/>
    <n v="2"/>
    <n v="3"/>
    <n v="98"/>
    <m/>
    <n v="1"/>
    <n v="4"/>
    <n v="4"/>
    <m/>
    <n v="2"/>
    <n v="3"/>
    <m/>
    <x v="2"/>
    <n v="1946"/>
    <n v="2"/>
    <m/>
    <n v="5"/>
    <m/>
    <n v="2"/>
    <m/>
    <n v="2"/>
    <m/>
    <n v="2"/>
    <n v="1"/>
    <n v="67"/>
    <x v="3"/>
    <n v="2"/>
    <n v="4"/>
    <n v="3"/>
  </r>
  <r>
    <x v="2"/>
    <n v="5"/>
    <n v="2"/>
    <n v="2"/>
    <n v="3"/>
    <n v="2"/>
    <n v="3"/>
    <n v="2"/>
    <n v="3"/>
    <n v="1"/>
    <n v="3"/>
    <n v="2"/>
    <n v="2"/>
    <n v="2"/>
    <n v="2"/>
    <n v="2"/>
    <n v="1"/>
    <m/>
    <m/>
    <m/>
    <n v="1"/>
    <n v="1"/>
    <m/>
    <m/>
    <m/>
    <n v="1"/>
    <m/>
    <n v="1"/>
    <n v="2"/>
    <n v="2"/>
    <n v="2"/>
    <n v="1"/>
    <n v="1"/>
    <n v="1"/>
    <n v="1"/>
    <n v="2"/>
    <m/>
    <n v="2"/>
    <n v="1"/>
    <n v="4"/>
    <n v="3"/>
    <n v="3"/>
    <n v="3"/>
    <n v="3"/>
    <n v="1"/>
    <n v="1"/>
    <n v="1"/>
    <m/>
    <m/>
    <m/>
    <n v="1"/>
    <n v="2"/>
    <n v="1"/>
    <n v="1"/>
    <n v="1"/>
    <n v="1"/>
    <n v="1"/>
    <n v="1"/>
    <n v="2"/>
    <n v="1"/>
    <m/>
    <n v="1"/>
    <n v="2"/>
    <n v="98"/>
    <m/>
    <n v="3"/>
    <n v="2"/>
    <n v="1"/>
    <x v="1"/>
    <n v="1947"/>
    <n v="1"/>
    <m/>
    <n v="6"/>
    <m/>
    <n v="4"/>
    <m/>
    <n v="1"/>
    <m/>
    <n v="2"/>
    <n v="1"/>
    <n v="66"/>
    <x v="3"/>
    <n v="2"/>
    <n v="3"/>
    <n v="2"/>
  </r>
  <r>
    <x v="4"/>
    <n v="2"/>
    <n v="1"/>
    <n v="2"/>
    <n v="2"/>
    <n v="2"/>
    <n v="2"/>
    <n v="3"/>
    <n v="2"/>
    <n v="2"/>
    <n v="2"/>
    <n v="3"/>
    <n v="3"/>
    <n v="4"/>
    <n v="2"/>
    <n v="1"/>
    <m/>
    <n v="1"/>
    <n v="1"/>
    <n v="1"/>
    <m/>
    <m/>
    <m/>
    <m/>
    <m/>
    <n v="2"/>
    <m/>
    <n v="1"/>
    <n v="2"/>
    <n v="1"/>
    <n v="2"/>
    <n v="1"/>
    <n v="2"/>
    <n v="2"/>
    <n v="1"/>
    <n v="2"/>
    <m/>
    <n v="3"/>
    <n v="7"/>
    <n v="1"/>
    <n v="1"/>
    <n v="2"/>
    <n v="2"/>
    <n v="2"/>
    <n v="3"/>
    <n v="3"/>
    <n v="2"/>
    <n v="3"/>
    <m/>
    <m/>
    <n v="2"/>
    <n v="1"/>
    <n v="1"/>
    <n v="1"/>
    <n v="2"/>
    <n v="2"/>
    <n v="2"/>
    <n v="2"/>
    <n v="4"/>
    <m/>
    <m/>
    <n v="2"/>
    <m/>
    <m/>
    <m/>
    <n v="5"/>
    <n v="4"/>
    <n v="3"/>
    <x v="2"/>
    <n v="1984"/>
    <n v="3"/>
    <m/>
    <n v="4"/>
    <m/>
    <n v="6"/>
    <m/>
    <n v="3"/>
    <m/>
    <n v="1"/>
    <n v="1"/>
    <n v="29"/>
    <x v="1"/>
    <n v="2"/>
    <n v="4"/>
    <n v="2"/>
  </r>
  <r>
    <x v="5"/>
    <n v="4"/>
    <n v="2"/>
    <n v="2"/>
    <n v="2"/>
    <n v="1"/>
    <n v="1"/>
    <n v="2"/>
    <n v="1"/>
    <n v="4"/>
    <n v="1"/>
    <n v="3"/>
    <n v="1"/>
    <n v="1"/>
    <n v="1"/>
    <n v="2"/>
    <n v="1"/>
    <m/>
    <n v="1"/>
    <m/>
    <m/>
    <n v="1"/>
    <n v="1"/>
    <m/>
    <m/>
    <n v="2"/>
    <m/>
    <n v="2"/>
    <n v="1"/>
    <n v="2"/>
    <n v="1"/>
    <n v="1"/>
    <n v="1"/>
    <n v="1"/>
    <n v="2"/>
    <n v="1"/>
    <n v="1"/>
    <n v="4"/>
    <n v="1"/>
    <n v="2"/>
    <n v="1"/>
    <n v="2"/>
    <n v="1"/>
    <n v="1"/>
    <n v="2"/>
    <n v="8"/>
    <n v="3"/>
    <n v="2"/>
    <m/>
    <m/>
    <n v="1"/>
    <n v="2"/>
    <n v="2"/>
    <n v="2"/>
    <n v="2"/>
    <n v="2"/>
    <n v="1"/>
    <n v="1"/>
    <n v="1"/>
    <n v="8"/>
    <m/>
    <n v="2"/>
    <m/>
    <m/>
    <m/>
    <n v="3"/>
    <n v="3"/>
    <n v="1"/>
    <x v="1"/>
    <n v="1989"/>
    <n v="2"/>
    <m/>
    <n v="7"/>
    <m/>
    <n v="4"/>
    <m/>
    <n v="2"/>
    <m/>
    <n v="2"/>
    <n v="1"/>
    <n v="24"/>
    <x v="1"/>
    <n v="2"/>
    <n v="2"/>
    <n v="2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7"/>
    <m/>
    <m/>
    <m/>
    <m/>
    <m/>
    <m/>
    <m/>
    <m/>
    <m/>
    <n v="1"/>
    <n v="26"/>
    <x v="1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3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1"/>
    <m/>
    <m/>
    <m/>
    <m/>
    <m/>
    <m/>
    <m/>
    <m/>
    <m/>
    <n v="1"/>
    <n v="32"/>
    <x v="1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70"/>
    <m/>
    <m/>
    <m/>
    <m/>
    <m/>
    <m/>
    <m/>
    <m/>
    <m/>
    <n v="1"/>
    <n v="43"/>
    <x v="2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</pivotCacheRecords>
</file>

<file path=xl/pivotCache/pivotCacheRecords23.xml><?xml version="1.0" encoding="utf-8"?>
<pivotCacheRecords xmlns="http://schemas.openxmlformats.org/spreadsheetml/2006/main" xmlns:r="http://schemas.openxmlformats.org/officeDocument/2006/relationships" count="632">
  <r>
    <x v="0"/>
    <s v="Dans votre quartier, les problèmes causés par des gens bruyants sont … ?"/>
    <s v="Dans votre quartier, les désordres liés à la consommation d'alcool dans les lieux publics sont … ?"/>
    <s v="Dans votre quartier, les désordres liés à la vente ou à la consommation de drogue sont … ?"/>
    <s v="Dans votre quartier, les problèmes liés à la criminalité sont … ?"/>
    <s v="Dans votre quartier, les problèmes causés par les gens qui traînent dans les lieux publics sont … ?"/>
    <s v="Dans votre quartier, les actes de vandalisme sont … ?"/>
    <s v="Dans votre quartier, les conflits entre les groupes d'origines ethniques différentes sont … ?"/>
    <s v="Dans votre quartier, les conflits entre d'autres groupes d'individus sont … ?"/>
    <s v="Dans votre quartier, les graffiti sont … ?"/>
    <s v="Dans votre quartier, les immeubles ou bâtiments abandonnés ou mal entretenus sont... ?"/>
    <s v="Dans votre quartier, le niveau d'entraide entre les personnes est... ?"/>
    <s v="Dans votre quartier, le niveau de confiance qui règne entre la plupart des personnes est... ?"/>
    <s v="Dans votre quartier, les comportements des jeunes ou des groupes de jeunes sont-ils pour vous une source de menace ou d'insécurité ?"/>
    <s v="Y a-t-il d'autres individus ou des groupes d'individus dont les comportements sont pour vous une source de menace ou d'insécurité ?"/>
    <s v="De quel type ou groupe d'individus s'agit-il ?  Toxicomanes ou revendeur de drogue"/>
    <s v="De quel type ou groupe d'individus s'agit-il ? Gangs de motards / milieu criminel"/>
    <s v="De quel type ou groupe d'individus s'agit-il ? Sollicitation (vendeurs, mouvements religieux, ex-détenus, etc.)"/>
    <s v="De quel type ou groupe d'individus s'agit-il ? Itinérants"/>
    <s v="De quel type ou groupe d'individus s'agit-il ? Individus ou groupes d'individus en état d'ébriété"/>
    <s v="De quel type ou groupe d'individus s'agit-il ? Personnes d'une communauté culturelle différente de la mienne"/>
    <s v="De quel type ou groupe d'individus s'agit-il ? Voisins"/>
    <s v="De quel type ou groupe d'individus s'agit-il ? Autre"/>
    <s v="De quel type ou groupe d'individus s'agit-il ? Autre, précisez"/>
    <s v="Y a-t-il dans votre quartier des endroits que vous évitez de fréquenter pour des raisons de sécurité ?"/>
    <s v="Lesquels ?"/>
    <s v="Veuillez répondre à chacun des énoncés suivants. Quand je me déplace dans mon quartier, j'apporte habituellement quelque chose pour assurer ma protection. "/>
    <s v="Veuillez répondre à chacun des énoncés suivants. Lorsque je suis dans mon quartier, je vérifie qu'aucun intrus ne se trouve à l'intérieur de ma voiture avant d'y monter."/>
    <s v="Veuillez répondre à chacun des énoncés suivants. À mon domicile, j'évite d'ouvrir la porte à des inconnus, pour des raisons de sécurité. "/>
    <s v="Veuillez répondre à chacun des énoncés suivants. Je garde les portes extérieures de mon domicile constamment verrouillées, même lorsque je suis chez moi. "/>
    <s v="Veuillez répondre à chacun des énoncés suivants. Spécialement par mesure de protection, il y a un chien à mon domicile. "/>
    <s v="Veuillez répondre à chacun des énoncés suivants. J'ai un système d'alarme que j'active régulièrement pour protéger mon domicile contre le vol."/>
    <s v="Veuillez répondre à chacun des énoncés suivants. Spécialement par mesure de protection, j'ai suivi un cours d'autodéfense. "/>
    <s v="Veuillez répondre à chacun des énoncés suivants. Spécialement par mesure de protection, il y a une arme à feu à mon domicile. "/>
    <s v="Est-ce qu'il y a à votre domicile au moins un détecteur de fumée fonctionnel par étage ? "/>
    <s v="Le bon fonctionnement de cet/ces appareil(s) a-t-il été vérifié, au cours des douze (12) derniers mois ?"/>
    <s v="Veuillez nous dire votre degré de satisfaction à l'égard : du déneigement et du déglaçage des rues et des trottoirs de votre quartier ? "/>
    <s v="Veuillez nous dire votre degré de satisfaction à l'égard :  de la propreté et de l'entretien des parcs et terrains de jeux de votre quartier ?"/>
    <s v="Veuillez nous dire votre degré de satisfaction à l'égard :  de la sécurité des équipements dans les parcs, aires de jeux ou centre récréatif ou sportif de votre quartier ? "/>
    <s v="Votre quartier est-il desservi par un service de police municipal, une régie intermunicipale ou par la Sûreté du Québec ?"/>
    <s v="Quel est votre niveau de satisfaction à l'égard de la présence des policiers dans votre quartier ?"/>
    <s v="Quel est votre niveau de satisfaction à l'égard du travail effectué par les policiers dans votre quartier ?"/>
    <s v="De façon plus spécifique, quel est votre niveau de satisfaction à l'égard du travail effectué par les policiers : auprès des jeunes de votre quartier"/>
    <s v="De façon plus spécifique, quel est votre niveau de satisfaction à l'égard du travail effectué par les policiers : pour assurer la sécurité routière dans votre quartier"/>
    <s v="De façon plus spécifique, quel est votre niveau de satisfaction à l'égard du travail effectué par les policiers : pour régler des problèmes de délinquance ou de désordres qui surviennent dans votre quartier"/>
    <s v="Au cours des deux dernières années, combien de fois avez-vous fait appel au service de police qui dessert votre quartier ?"/>
    <s v="En vous référant à l'événement le plus récent, quel est votre niveau de satisfaction à l'égard de la réponse que vous avez reçue ?"/>
    <s v="Pourquoi ? Peu"/>
    <s v="Pourquoi ? Pas"/>
    <s v="Au cours des deux dernières années, vous êtes vous IMPLIQUÉ SUR UNE BASE RÉGULIÈRE dans les activités suivantes de votre quartier : Dans un comité ou un organisme préoccupé par les problèmes de sécurité de votre quartier ?"/>
    <s v="Au cours des deux dernières années, vous êtes vous IMPLIQUÉ SUR UNE BASE RÉGULIÈRE dans les activités suivantes de votre quartier : Dans des assemblées du conseil municipal ?"/>
    <s v="Au cours des deux dernières années, vous êtes vous IMPLIQUÉ SUR UNE BASE RÉGULIÈRE dans les activités suivantes de votre quartier : Dans un conseil de quartier ou d'arrondissement ?"/>
    <s v="Au cours des deux dernières années, vous êtes vous IMPLIQUÉ SUR UNE BASE RÉGULIÈRE dans les activités suivantes de votre quartier : Dans un comité de citoyens ?"/>
    <s v="Au cours des deux dernières années, vous êtes vous IMPLIQUÉ SUR UNE BASE RÉGULIÈRE dans les activités suivantes de votre quartier : Dans des activités communautaires, d'entraide ou de bénévolat (cuisine communautaire, bazar)"/>
    <s v="Au cours des deux dernières années, vous êtes vous IMPLIQUÉ SUR UNE BASE RÉGULIÈRE dans les activités suivantes de votre quartier : Dans des activités sociales, culturelles ou sportives organisées par les gens de votre quartier ou de votre municipalité ?"/>
    <s v="Au cours des deux dernières années, avez-vous été victime de vol, de vandalisme ou de tout autre crime contre vos biens, chez vous ou dans votre quartier ?"/>
    <s v="Au cours des deux dernières années, avez-vous été victime d'une agression, d'intimidation ou de tout autre acte de violence, chez vous ou dans votre quartier ?"/>
    <s v="Au cours des deux dernières années avez-vous été victime dans votre quartier d'une quelconque forme de discrimination ?"/>
    <s v="À votre avis, le motif de cette discrimination était lié …"/>
    <s v="Autre, précisez :"/>
    <s v="Au cours des deux dernières années, avez-vous subi un accident qui vous a occasionné une blessure pour laquelle vous avez dû consulter un professionnel de la santé ou limiter vos activités ?"/>
    <s v="Combien de fois cela s'est-il produit ?"/>
    <s v="En se référant au dernier événement, était-ce … ?"/>
    <s v="Autre, précisez :"/>
    <s v="Maintenant, comparativement à d'autres personnes de votre âge, dirirez-vous que votre santé est en général …"/>
    <s v="Dans quel quartier habitez-vous ?"/>
    <s v="Combien de personne de moins de 18 ans habitent dans votre foyer ?"/>
    <x v="0"/>
    <s v="Quelle est votre année de naissance ?"/>
    <s v="Êtes-vous propriétaire ou locataire du logement que vous habitez ?"/>
    <s v="Autre, précisez : "/>
    <s v="Habitez-vous dans …"/>
    <s v="Autre, précisez : "/>
    <s v="Quel est votre état civil ?"/>
    <s v="Autre, précisez : "/>
    <s v="Où est situé votre lieu de travail habituel ?"/>
    <s v="Autre, précisez : "/>
    <s v="Quel est le plus haut niveau de scolarité que vous avez complété ?"/>
    <m/>
    <m/>
    <x v="0"/>
    <m/>
    <m/>
    <m/>
  </r>
  <r>
    <x v="1"/>
    <n v="2"/>
    <n v="1"/>
    <n v="4"/>
    <n v="3"/>
    <n v="3"/>
    <n v="2"/>
    <n v="1"/>
    <n v="2"/>
    <n v="2"/>
    <n v="4"/>
    <n v="3"/>
    <n v="1"/>
    <n v="1"/>
    <n v="1"/>
    <m/>
    <n v="1"/>
    <m/>
    <n v="1"/>
    <n v="1"/>
    <n v="1"/>
    <n v="1"/>
    <m/>
    <m/>
    <n v="1"/>
    <m/>
    <n v="2"/>
    <n v="2"/>
    <n v="1"/>
    <n v="1"/>
    <n v="1"/>
    <n v="2"/>
    <n v="1"/>
    <n v="2"/>
    <n v="2"/>
    <m/>
    <n v="1"/>
    <n v="7"/>
    <n v="4"/>
    <n v="8"/>
    <n v="1"/>
    <n v="4"/>
    <n v="8"/>
    <n v="2"/>
    <n v="2"/>
    <n v="1"/>
    <m/>
    <m/>
    <m/>
    <n v="1"/>
    <n v="2"/>
    <n v="1"/>
    <n v="2"/>
    <n v="2"/>
    <n v="1"/>
    <n v="1"/>
    <n v="2"/>
    <n v="1"/>
    <n v="2"/>
    <m/>
    <n v="1"/>
    <n v="4"/>
    <n v="5"/>
    <m/>
    <n v="2"/>
    <n v="4"/>
    <n v="5"/>
    <x v="1"/>
    <n v="1981"/>
    <n v="2"/>
    <m/>
    <n v="7"/>
    <m/>
    <n v="1"/>
    <m/>
    <n v="1"/>
    <m/>
    <n v="4"/>
    <n v="1"/>
    <n v="32"/>
    <x v="1"/>
    <n v="1"/>
    <n v="1"/>
    <n v="1"/>
  </r>
  <r>
    <x v="2"/>
    <n v="3"/>
    <n v="1"/>
    <n v="4"/>
    <n v="2"/>
    <n v="2"/>
    <n v="2"/>
    <n v="1"/>
    <n v="2"/>
    <n v="1"/>
    <n v="2"/>
    <n v="2"/>
    <n v="1"/>
    <n v="2"/>
    <n v="1"/>
    <m/>
    <m/>
    <n v="1"/>
    <m/>
    <n v="1"/>
    <m/>
    <n v="1"/>
    <m/>
    <m/>
    <n v="2"/>
    <m/>
    <n v="1"/>
    <n v="1"/>
    <n v="2"/>
    <n v="1"/>
    <n v="1"/>
    <n v="1"/>
    <n v="1"/>
    <n v="1"/>
    <n v="1"/>
    <n v="1"/>
    <n v="2"/>
    <n v="4"/>
    <n v="1"/>
    <n v="1"/>
    <n v="4"/>
    <n v="8"/>
    <n v="1"/>
    <n v="4"/>
    <n v="1"/>
    <n v="2"/>
    <n v="1"/>
    <m/>
    <m/>
    <n v="2"/>
    <n v="1"/>
    <n v="1"/>
    <n v="2"/>
    <n v="2"/>
    <n v="1"/>
    <n v="2"/>
    <n v="1"/>
    <n v="2"/>
    <n v="1"/>
    <m/>
    <n v="2"/>
    <m/>
    <m/>
    <m/>
    <n v="4"/>
    <n v="1"/>
    <n v="2"/>
    <x v="2"/>
    <n v="1970"/>
    <n v="1"/>
    <m/>
    <n v="5"/>
    <m/>
    <n v="2"/>
    <m/>
    <n v="2"/>
    <m/>
    <n v="1"/>
    <n v="1"/>
    <n v="43"/>
    <x v="2"/>
    <n v="2"/>
    <n v="3"/>
    <n v="2"/>
  </r>
  <r>
    <x v="3"/>
    <n v="3"/>
    <n v="1"/>
    <n v="4"/>
    <n v="2"/>
    <n v="1"/>
    <n v="2"/>
    <n v="1"/>
    <n v="3"/>
    <n v="2"/>
    <n v="3"/>
    <n v="1"/>
    <n v="2"/>
    <n v="1"/>
    <n v="2"/>
    <n v="1"/>
    <m/>
    <m/>
    <m/>
    <n v="1"/>
    <n v="1"/>
    <m/>
    <n v="1"/>
    <m/>
    <n v="2"/>
    <m/>
    <n v="1"/>
    <n v="1"/>
    <n v="2"/>
    <n v="1"/>
    <n v="1"/>
    <n v="1"/>
    <n v="2"/>
    <n v="1"/>
    <n v="1"/>
    <n v="2"/>
    <n v="3"/>
    <n v="1"/>
    <n v="2"/>
    <n v="3"/>
    <n v="2"/>
    <n v="1"/>
    <n v="2"/>
    <n v="3"/>
    <n v="4"/>
    <n v="3"/>
    <n v="3"/>
    <m/>
    <m/>
    <n v="2"/>
    <n v="1"/>
    <n v="2"/>
    <n v="2"/>
    <n v="2"/>
    <n v="2"/>
    <n v="2"/>
    <n v="1"/>
    <n v="3"/>
    <n v="3"/>
    <m/>
    <n v="1"/>
    <n v="2"/>
    <n v="8"/>
    <m/>
    <n v="5"/>
    <n v="4"/>
    <n v="4"/>
    <x v="2"/>
    <n v="1990"/>
    <n v="3"/>
    <m/>
    <n v="4"/>
    <m/>
    <n v="4"/>
    <m/>
    <n v="3"/>
    <m/>
    <n v="2"/>
    <n v="1"/>
    <n v="23"/>
    <x v="1"/>
    <n v="2"/>
    <n v="4"/>
    <n v="2"/>
  </r>
  <r>
    <x v="1"/>
    <n v="3"/>
    <n v="2"/>
    <n v="2"/>
    <n v="2"/>
    <n v="2"/>
    <n v="2"/>
    <n v="1"/>
    <n v="2"/>
    <n v="3"/>
    <n v="3"/>
    <n v="1"/>
    <n v="3"/>
    <n v="1"/>
    <n v="1"/>
    <n v="1"/>
    <n v="1"/>
    <m/>
    <n v="1"/>
    <n v="1"/>
    <n v="1"/>
    <n v="1"/>
    <m/>
    <m/>
    <n v="2"/>
    <m/>
    <n v="1"/>
    <n v="1"/>
    <n v="2"/>
    <n v="2"/>
    <n v="1"/>
    <n v="2"/>
    <n v="2"/>
    <n v="1"/>
    <n v="1"/>
    <n v="1"/>
    <n v="4"/>
    <n v="3"/>
    <n v="3"/>
    <n v="2"/>
    <n v="3"/>
    <n v="1"/>
    <n v="3"/>
    <n v="2"/>
    <n v="2"/>
    <n v="4"/>
    <n v="2"/>
    <m/>
    <m/>
    <n v="2"/>
    <n v="1"/>
    <n v="2"/>
    <n v="2"/>
    <n v="1"/>
    <n v="2"/>
    <n v="2"/>
    <n v="2"/>
    <n v="4"/>
    <m/>
    <m/>
    <n v="1"/>
    <n v="2"/>
    <n v="7"/>
    <m/>
    <n v="1"/>
    <n v="2"/>
    <n v="1"/>
    <x v="2"/>
    <n v="1983"/>
    <n v="1"/>
    <m/>
    <n v="1"/>
    <m/>
    <n v="1"/>
    <m/>
    <n v="4"/>
    <m/>
    <n v="3"/>
    <n v="1"/>
    <n v="30"/>
    <x v="1"/>
    <n v="2"/>
    <n v="3"/>
    <n v="2"/>
  </r>
  <r>
    <x v="4"/>
    <n v="2"/>
    <n v="4"/>
    <n v="1"/>
    <n v="1"/>
    <n v="2"/>
    <n v="1"/>
    <n v="2"/>
    <n v="2"/>
    <n v="3"/>
    <n v="2"/>
    <n v="1"/>
    <n v="2"/>
    <n v="2"/>
    <n v="1"/>
    <m/>
    <n v="1"/>
    <n v="1"/>
    <n v="1"/>
    <n v="1"/>
    <n v="1"/>
    <m/>
    <m/>
    <m/>
    <n v="2"/>
    <m/>
    <n v="1"/>
    <n v="1"/>
    <n v="1"/>
    <n v="2"/>
    <n v="2"/>
    <n v="2"/>
    <n v="1"/>
    <n v="2"/>
    <n v="2"/>
    <m/>
    <n v="7"/>
    <n v="3"/>
    <n v="3"/>
    <n v="1"/>
    <n v="2"/>
    <n v="3"/>
    <n v="2"/>
    <n v="1"/>
    <n v="3"/>
    <n v="2"/>
    <n v="4"/>
    <m/>
    <m/>
    <n v="1"/>
    <n v="2"/>
    <n v="2"/>
    <n v="1"/>
    <n v="1"/>
    <n v="2"/>
    <n v="2"/>
    <n v="1"/>
    <n v="1"/>
    <n v="6"/>
    <m/>
    <n v="2"/>
    <m/>
    <m/>
    <m/>
    <n v="3"/>
    <n v="3"/>
    <m/>
    <x v="2"/>
    <n v="1967"/>
    <n v="1"/>
    <m/>
    <n v="2"/>
    <m/>
    <n v="3"/>
    <m/>
    <n v="4"/>
    <m/>
    <n v="2"/>
    <n v="1"/>
    <n v="46"/>
    <x v="2"/>
    <n v="3"/>
    <n v="5"/>
    <n v="3"/>
  </r>
  <r>
    <x v="2"/>
    <n v="4"/>
    <n v="1"/>
    <n v="2"/>
    <n v="1"/>
    <n v="3"/>
    <n v="1"/>
    <n v="2"/>
    <n v="1"/>
    <n v="3"/>
    <n v="1"/>
    <n v="1"/>
    <n v="2"/>
    <n v="1"/>
    <n v="1"/>
    <m/>
    <n v="1"/>
    <m/>
    <m/>
    <m/>
    <n v="1"/>
    <m/>
    <m/>
    <m/>
    <n v="2"/>
    <m/>
    <n v="1"/>
    <n v="1"/>
    <n v="1"/>
    <n v="2"/>
    <n v="2"/>
    <n v="1"/>
    <n v="1"/>
    <n v="2"/>
    <n v="1"/>
    <n v="1"/>
    <n v="4"/>
    <n v="2"/>
    <n v="2"/>
    <n v="2"/>
    <n v="3"/>
    <n v="2"/>
    <n v="4"/>
    <n v="4"/>
    <n v="2"/>
    <n v="1"/>
    <m/>
    <m/>
    <m/>
    <n v="1"/>
    <n v="2"/>
    <n v="1"/>
    <n v="1"/>
    <n v="2"/>
    <n v="1"/>
    <n v="1"/>
    <n v="2"/>
    <n v="4"/>
    <m/>
    <m/>
    <n v="2"/>
    <m/>
    <m/>
    <m/>
    <n v="2"/>
    <n v="2"/>
    <n v="1"/>
    <x v="2"/>
    <n v="1962"/>
    <n v="2"/>
    <m/>
    <n v="3"/>
    <m/>
    <n v="3"/>
    <m/>
    <n v="1"/>
    <m/>
    <n v="1"/>
    <n v="1"/>
    <n v="51"/>
    <x v="2"/>
    <n v="2"/>
    <n v="2"/>
    <n v="2"/>
  </r>
  <r>
    <x v="5"/>
    <n v="1"/>
    <n v="2"/>
    <n v="3"/>
    <n v="2"/>
    <n v="2"/>
    <n v="2"/>
    <n v="3"/>
    <n v="4"/>
    <n v="2"/>
    <n v="2"/>
    <n v="4"/>
    <n v="1"/>
    <n v="1"/>
    <n v="2"/>
    <m/>
    <m/>
    <m/>
    <n v="1"/>
    <m/>
    <n v="1"/>
    <m/>
    <m/>
    <m/>
    <n v="2"/>
    <m/>
    <n v="2"/>
    <n v="2"/>
    <n v="1"/>
    <n v="2"/>
    <n v="2"/>
    <n v="1"/>
    <n v="2"/>
    <n v="2"/>
    <n v="2"/>
    <m/>
    <n v="2"/>
    <n v="1"/>
    <n v="1"/>
    <n v="1"/>
    <n v="3"/>
    <n v="3"/>
    <n v="1"/>
    <n v="8"/>
    <n v="1"/>
    <n v="3"/>
    <n v="2"/>
    <m/>
    <m/>
    <n v="1"/>
    <n v="2"/>
    <n v="1"/>
    <n v="1"/>
    <n v="1"/>
    <n v="1"/>
    <n v="1"/>
    <n v="1"/>
    <n v="1"/>
    <n v="7"/>
    <m/>
    <n v="1"/>
    <n v="2"/>
    <n v="6"/>
    <m/>
    <n v="1"/>
    <n v="3"/>
    <n v="3"/>
    <x v="2"/>
    <n v="1994"/>
    <n v="3"/>
    <m/>
    <n v="3"/>
    <m/>
    <n v="2"/>
    <m/>
    <n v="2"/>
    <m/>
    <n v="4"/>
    <n v="1"/>
    <n v="19"/>
    <x v="1"/>
    <n v="2"/>
    <n v="4"/>
    <n v="2"/>
  </r>
  <r>
    <x v="4"/>
    <n v="2"/>
    <n v="3"/>
    <n v="2"/>
    <n v="4"/>
    <n v="2"/>
    <n v="3"/>
    <n v="2"/>
    <n v="1"/>
    <n v="4"/>
    <n v="1"/>
    <n v="4"/>
    <n v="4"/>
    <n v="2"/>
    <n v="2"/>
    <m/>
    <m/>
    <n v="1"/>
    <n v="1"/>
    <m/>
    <m/>
    <n v="1"/>
    <m/>
    <m/>
    <n v="1"/>
    <m/>
    <n v="2"/>
    <n v="2"/>
    <n v="1"/>
    <n v="2"/>
    <n v="2"/>
    <n v="2"/>
    <n v="1"/>
    <n v="2"/>
    <n v="1"/>
    <n v="2"/>
    <n v="3"/>
    <n v="1"/>
    <n v="2"/>
    <n v="3"/>
    <n v="4"/>
    <n v="2"/>
    <n v="3"/>
    <n v="8"/>
    <n v="4"/>
    <n v="2"/>
    <n v="1"/>
    <m/>
    <m/>
    <n v="1"/>
    <n v="1"/>
    <n v="1"/>
    <n v="1"/>
    <n v="1"/>
    <n v="1"/>
    <n v="1"/>
    <n v="2"/>
    <n v="3"/>
    <n v="2"/>
    <m/>
    <n v="2"/>
    <m/>
    <m/>
    <m/>
    <n v="3"/>
    <n v="2"/>
    <n v="2"/>
    <x v="1"/>
    <n v="1983"/>
    <n v="2"/>
    <m/>
    <n v="2"/>
    <m/>
    <n v="1"/>
    <m/>
    <n v="3"/>
    <m/>
    <n v="1"/>
    <n v="1"/>
    <n v="30"/>
    <x v="1"/>
    <n v="2"/>
    <n v="4"/>
    <n v="2"/>
  </r>
  <r>
    <x v="2"/>
    <n v="1"/>
    <n v="3"/>
    <n v="3"/>
    <n v="1"/>
    <n v="4"/>
    <n v="2"/>
    <n v="3"/>
    <n v="2"/>
    <n v="4"/>
    <n v="4"/>
    <n v="3"/>
    <n v="1"/>
    <n v="2"/>
    <n v="2"/>
    <n v="1"/>
    <n v="1"/>
    <m/>
    <n v="1"/>
    <n v="1"/>
    <n v="1"/>
    <m/>
    <m/>
    <m/>
    <n v="1"/>
    <m/>
    <n v="2"/>
    <n v="2"/>
    <n v="1"/>
    <n v="2"/>
    <n v="2"/>
    <n v="1"/>
    <n v="2"/>
    <n v="2"/>
    <n v="2"/>
    <m/>
    <n v="1"/>
    <n v="4"/>
    <n v="3"/>
    <n v="2"/>
    <n v="1"/>
    <n v="3"/>
    <n v="2"/>
    <n v="8"/>
    <n v="2"/>
    <n v="1"/>
    <m/>
    <m/>
    <m/>
    <n v="2"/>
    <n v="1"/>
    <n v="2"/>
    <n v="2"/>
    <n v="1"/>
    <n v="2"/>
    <n v="1"/>
    <n v="1"/>
    <n v="2"/>
    <n v="2"/>
    <m/>
    <n v="1"/>
    <n v="1"/>
    <n v="1"/>
    <m/>
    <n v="8"/>
    <n v="3"/>
    <n v="5"/>
    <x v="1"/>
    <n v="1975"/>
    <n v="3"/>
    <m/>
    <n v="2"/>
    <m/>
    <n v="4"/>
    <m/>
    <n v="2"/>
    <m/>
    <n v="3"/>
    <n v="1"/>
    <n v="38"/>
    <x v="1"/>
    <n v="2"/>
    <n v="2"/>
    <n v="1"/>
  </r>
  <r>
    <x v="4"/>
    <n v="2"/>
    <n v="3"/>
    <n v="2"/>
    <n v="2"/>
    <n v="4"/>
    <n v="3"/>
    <n v="2"/>
    <n v="3"/>
    <n v="4"/>
    <n v="1"/>
    <n v="2"/>
    <n v="2"/>
    <n v="1"/>
    <n v="1"/>
    <m/>
    <m/>
    <n v="1"/>
    <m/>
    <m/>
    <n v="1"/>
    <m/>
    <n v="1"/>
    <m/>
    <n v="1"/>
    <m/>
    <n v="2"/>
    <n v="2"/>
    <n v="1"/>
    <n v="1"/>
    <n v="2"/>
    <n v="2"/>
    <n v="2"/>
    <n v="2"/>
    <n v="2"/>
    <m/>
    <n v="2"/>
    <n v="1"/>
    <n v="4"/>
    <n v="2"/>
    <n v="2"/>
    <n v="2"/>
    <n v="1"/>
    <n v="8"/>
    <n v="3"/>
    <n v="3"/>
    <n v="3"/>
    <m/>
    <m/>
    <n v="2"/>
    <n v="2"/>
    <n v="2"/>
    <n v="2"/>
    <n v="2"/>
    <n v="2"/>
    <n v="1"/>
    <n v="1"/>
    <n v="2"/>
    <n v="3"/>
    <m/>
    <n v="1"/>
    <n v="2"/>
    <n v="5"/>
    <m/>
    <n v="2"/>
    <n v="2"/>
    <n v="5"/>
    <x v="1"/>
    <n v="1979"/>
    <n v="3"/>
    <m/>
    <n v="1"/>
    <m/>
    <n v="1"/>
    <m/>
    <n v="1"/>
    <m/>
    <n v="2"/>
    <n v="1"/>
    <n v="34"/>
    <x v="1"/>
    <n v="1"/>
    <n v="1"/>
    <n v="1"/>
  </r>
  <r>
    <x v="5"/>
    <n v="3"/>
    <n v="3"/>
    <n v="3"/>
    <n v="2"/>
    <n v="2"/>
    <n v="2"/>
    <n v="4"/>
    <n v="2"/>
    <n v="1"/>
    <n v="4"/>
    <n v="2"/>
    <n v="3"/>
    <n v="1"/>
    <n v="2"/>
    <m/>
    <m/>
    <n v="1"/>
    <m/>
    <m/>
    <m/>
    <m/>
    <m/>
    <m/>
    <n v="1"/>
    <m/>
    <n v="2"/>
    <n v="2"/>
    <n v="2"/>
    <n v="1"/>
    <n v="2"/>
    <n v="1"/>
    <n v="1"/>
    <n v="1"/>
    <n v="2"/>
    <m/>
    <n v="3"/>
    <n v="2"/>
    <n v="1"/>
    <n v="2"/>
    <n v="4"/>
    <n v="4"/>
    <n v="4"/>
    <n v="3"/>
    <n v="8"/>
    <n v="1"/>
    <m/>
    <m/>
    <m/>
    <n v="2"/>
    <n v="2"/>
    <n v="2"/>
    <n v="2"/>
    <n v="2"/>
    <n v="2"/>
    <n v="2"/>
    <n v="2"/>
    <n v="3"/>
    <n v="5"/>
    <m/>
    <n v="2"/>
    <m/>
    <m/>
    <m/>
    <n v="1"/>
    <n v="1"/>
    <n v="5"/>
    <x v="1"/>
    <n v="1957"/>
    <n v="3"/>
    <m/>
    <n v="1"/>
    <m/>
    <n v="3"/>
    <m/>
    <n v="4"/>
    <m/>
    <n v="3"/>
    <n v="1"/>
    <n v="56"/>
    <x v="2"/>
    <n v="1"/>
    <n v="1"/>
    <n v="1"/>
  </r>
  <r>
    <x v="2"/>
    <n v="1"/>
    <n v="2"/>
    <n v="2"/>
    <n v="3"/>
    <n v="4"/>
    <n v="4"/>
    <n v="2"/>
    <n v="1"/>
    <n v="2"/>
    <n v="1"/>
    <n v="3"/>
    <n v="1"/>
    <n v="2"/>
    <n v="1"/>
    <n v="1"/>
    <n v="1"/>
    <n v="1"/>
    <m/>
    <m/>
    <m/>
    <n v="1"/>
    <m/>
    <m/>
    <n v="1"/>
    <m/>
    <n v="1"/>
    <n v="2"/>
    <n v="1"/>
    <n v="1"/>
    <n v="1"/>
    <n v="2"/>
    <n v="2"/>
    <n v="1"/>
    <n v="1"/>
    <n v="2"/>
    <n v="1"/>
    <n v="3"/>
    <n v="7"/>
    <n v="3"/>
    <n v="1"/>
    <n v="2"/>
    <n v="2"/>
    <n v="2"/>
    <n v="2"/>
    <n v="4"/>
    <n v="4"/>
    <m/>
    <m/>
    <n v="1"/>
    <n v="1"/>
    <n v="1"/>
    <n v="2"/>
    <n v="2"/>
    <n v="1"/>
    <n v="2"/>
    <n v="2"/>
    <n v="3"/>
    <n v="98"/>
    <m/>
    <n v="1"/>
    <n v="4"/>
    <n v="4"/>
    <m/>
    <n v="2"/>
    <n v="3"/>
    <m/>
    <x v="2"/>
    <n v="1946"/>
    <n v="2"/>
    <m/>
    <n v="5"/>
    <m/>
    <n v="2"/>
    <m/>
    <n v="2"/>
    <m/>
    <n v="2"/>
    <n v="1"/>
    <n v="67"/>
    <x v="3"/>
    <n v="2"/>
    <n v="4"/>
    <n v="3"/>
  </r>
  <r>
    <x v="4"/>
    <n v="2"/>
    <n v="2"/>
    <n v="3"/>
    <n v="2"/>
    <n v="3"/>
    <n v="2"/>
    <n v="3"/>
    <n v="1"/>
    <n v="3"/>
    <n v="2"/>
    <n v="2"/>
    <n v="2"/>
    <n v="2"/>
    <n v="2"/>
    <n v="1"/>
    <m/>
    <m/>
    <m/>
    <n v="1"/>
    <n v="1"/>
    <m/>
    <m/>
    <m/>
    <n v="1"/>
    <m/>
    <n v="1"/>
    <n v="2"/>
    <n v="2"/>
    <n v="2"/>
    <n v="1"/>
    <n v="1"/>
    <n v="1"/>
    <n v="1"/>
    <n v="2"/>
    <m/>
    <n v="2"/>
    <n v="1"/>
    <n v="4"/>
    <n v="3"/>
    <n v="3"/>
    <n v="3"/>
    <n v="3"/>
    <n v="1"/>
    <n v="1"/>
    <n v="1"/>
    <m/>
    <m/>
    <m/>
    <n v="1"/>
    <n v="2"/>
    <n v="1"/>
    <n v="1"/>
    <n v="1"/>
    <n v="1"/>
    <n v="1"/>
    <n v="1"/>
    <n v="2"/>
    <n v="1"/>
    <m/>
    <n v="1"/>
    <n v="2"/>
    <n v="98"/>
    <m/>
    <n v="3"/>
    <n v="2"/>
    <n v="1"/>
    <x v="1"/>
    <n v="1947"/>
    <n v="1"/>
    <m/>
    <n v="6"/>
    <m/>
    <n v="4"/>
    <m/>
    <n v="1"/>
    <m/>
    <n v="2"/>
    <n v="1"/>
    <n v="66"/>
    <x v="3"/>
    <n v="2"/>
    <n v="3"/>
    <n v="2"/>
  </r>
  <r>
    <x v="2"/>
    <n v="1"/>
    <n v="2"/>
    <n v="2"/>
    <n v="2"/>
    <n v="2"/>
    <n v="3"/>
    <n v="2"/>
    <n v="2"/>
    <n v="2"/>
    <n v="3"/>
    <n v="3"/>
    <n v="4"/>
    <n v="2"/>
    <n v="1"/>
    <m/>
    <n v="1"/>
    <n v="1"/>
    <n v="1"/>
    <m/>
    <m/>
    <m/>
    <m/>
    <m/>
    <n v="2"/>
    <m/>
    <n v="1"/>
    <n v="2"/>
    <n v="1"/>
    <n v="2"/>
    <n v="1"/>
    <n v="2"/>
    <n v="2"/>
    <n v="1"/>
    <n v="2"/>
    <m/>
    <n v="3"/>
    <n v="7"/>
    <n v="1"/>
    <n v="1"/>
    <n v="2"/>
    <n v="2"/>
    <n v="2"/>
    <n v="3"/>
    <n v="3"/>
    <n v="2"/>
    <n v="3"/>
    <m/>
    <m/>
    <n v="2"/>
    <n v="1"/>
    <n v="1"/>
    <n v="1"/>
    <n v="2"/>
    <n v="2"/>
    <n v="2"/>
    <n v="2"/>
    <n v="4"/>
    <m/>
    <m/>
    <n v="2"/>
    <m/>
    <m/>
    <m/>
    <n v="5"/>
    <n v="4"/>
    <n v="3"/>
    <x v="2"/>
    <n v="1984"/>
    <n v="3"/>
    <m/>
    <n v="4"/>
    <m/>
    <n v="6"/>
    <m/>
    <n v="3"/>
    <m/>
    <n v="1"/>
    <n v="1"/>
    <n v="29"/>
    <x v="1"/>
    <n v="2"/>
    <n v="4"/>
    <n v="2"/>
  </r>
  <r>
    <x v="3"/>
    <n v="2"/>
    <n v="2"/>
    <n v="2"/>
    <n v="1"/>
    <n v="1"/>
    <n v="2"/>
    <n v="1"/>
    <n v="4"/>
    <n v="1"/>
    <n v="3"/>
    <n v="1"/>
    <n v="1"/>
    <n v="1"/>
    <n v="2"/>
    <n v="1"/>
    <m/>
    <n v="1"/>
    <m/>
    <m/>
    <n v="1"/>
    <n v="1"/>
    <m/>
    <m/>
    <n v="2"/>
    <m/>
    <n v="2"/>
    <n v="1"/>
    <n v="2"/>
    <n v="1"/>
    <n v="1"/>
    <n v="1"/>
    <n v="1"/>
    <n v="2"/>
    <n v="1"/>
    <n v="1"/>
    <n v="4"/>
    <n v="1"/>
    <n v="2"/>
    <n v="1"/>
    <n v="2"/>
    <n v="1"/>
    <n v="1"/>
    <n v="2"/>
    <n v="8"/>
    <n v="3"/>
    <n v="2"/>
    <m/>
    <m/>
    <n v="1"/>
    <n v="2"/>
    <n v="2"/>
    <n v="2"/>
    <n v="2"/>
    <n v="2"/>
    <n v="1"/>
    <n v="1"/>
    <n v="1"/>
    <n v="8"/>
    <m/>
    <n v="2"/>
    <m/>
    <m/>
    <m/>
    <n v="3"/>
    <n v="3"/>
    <n v="1"/>
    <x v="1"/>
    <n v="1989"/>
    <n v="2"/>
    <m/>
    <n v="7"/>
    <m/>
    <n v="4"/>
    <m/>
    <n v="2"/>
    <m/>
    <n v="2"/>
    <n v="1"/>
    <n v="24"/>
    <x v="1"/>
    <n v="2"/>
    <n v="2"/>
    <n v="2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7"/>
    <m/>
    <m/>
    <m/>
    <m/>
    <m/>
    <m/>
    <m/>
    <m/>
    <m/>
    <n v="1"/>
    <n v="26"/>
    <x v="1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3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1"/>
    <m/>
    <m/>
    <m/>
    <m/>
    <m/>
    <m/>
    <m/>
    <m/>
    <m/>
    <n v="1"/>
    <n v="32"/>
    <x v="1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70"/>
    <m/>
    <m/>
    <m/>
    <m/>
    <m/>
    <m/>
    <m/>
    <m/>
    <m/>
    <n v="1"/>
    <n v="43"/>
    <x v="2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</pivotCacheRecords>
</file>

<file path=xl/pivotCache/pivotCacheRecords24.xml><?xml version="1.0" encoding="utf-8"?>
<pivotCacheRecords xmlns="http://schemas.openxmlformats.org/spreadsheetml/2006/main" xmlns:r="http://schemas.openxmlformats.org/officeDocument/2006/relationships" count="632">
  <r>
    <x v="0"/>
    <s v="Dans votre quartier, les désordres liés à la consommation d'alcool dans les lieux publics sont … ?"/>
    <s v="Dans votre quartier, les désordres liés à la vente ou à la consommation de drogue sont … ?"/>
    <s v="Dans votre quartier, les problèmes liés à la criminalité sont … ?"/>
    <s v="Dans votre quartier, les problèmes causés par les gens qui traînent dans les lieux publics sont … ?"/>
    <s v="Dans votre quartier, les actes de vandalisme sont … ?"/>
    <s v="Dans votre quartier, les conflits entre les groupes d'origines ethniques différentes sont … ?"/>
    <s v="Dans votre quartier, les conflits entre d'autres groupes d'individus sont … ?"/>
    <s v="Dans votre quartier, les graffiti sont … ?"/>
    <s v="Dans votre quartier, les immeubles ou bâtiments abandonnés ou mal entretenus sont... ?"/>
    <s v="Dans votre quartier, le niveau d'entraide entre les personnes est... ?"/>
    <s v="Dans votre quartier, le niveau de confiance qui règne entre la plupart des personnes est... ?"/>
    <s v="Dans votre quartier, les comportements des jeunes ou des groupes de jeunes sont-ils pour vous une source de menace ou d'insécurité ?"/>
    <s v="Y a-t-il d'autres individus ou des groupes d'individus dont les comportements sont pour vous une source de menace ou d'insécurité ?"/>
    <s v="De quel type ou groupe d'individus s'agit-il ?  Toxicomanes ou revendeur de drogue"/>
    <s v="De quel type ou groupe d'individus s'agit-il ? Gangs de motards / milieu criminel"/>
    <s v="De quel type ou groupe d'individus s'agit-il ? Sollicitation (vendeurs, mouvements religieux, ex-détenus, etc.)"/>
    <s v="De quel type ou groupe d'individus s'agit-il ? Itinérants"/>
    <s v="De quel type ou groupe d'individus s'agit-il ? Individus ou groupes d'individus en état d'ébriété"/>
    <s v="De quel type ou groupe d'individus s'agit-il ? Personnes d'une communauté culturelle différente de la mienne"/>
    <s v="De quel type ou groupe d'individus s'agit-il ? Voisins"/>
    <s v="De quel type ou groupe d'individus s'agit-il ? Autre"/>
    <s v="De quel type ou groupe d'individus s'agit-il ? Autre, précisez"/>
    <s v="Y a-t-il dans votre quartier des endroits que vous évitez de fréquenter pour des raisons de sécurité ?"/>
    <s v="Lesquels ?"/>
    <s v="Veuillez répondre à chacun des énoncés suivants. Quand je me déplace dans mon quartier, j'apporte habituellement quelque chose pour assurer ma protection. "/>
    <s v="Veuillez répondre à chacun des énoncés suivants. Lorsque je suis dans mon quartier, je vérifie qu'aucun intrus ne se trouve à l'intérieur de ma voiture avant d'y monter."/>
    <s v="Veuillez répondre à chacun des énoncés suivants. À mon domicile, j'évite d'ouvrir la porte à des inconnus, pour des raisons de sécurité. "/>
    <s v="Veuillez répondre à chacun des énoncés suivants. Je garde les portes extérieures de mon domicile constamment verrouillées, même lorsque je suis chez moi. "/>
    <s v="Veuillez répondre à chacun des énoncés suivants. Spécialement par mesure de protection, il y a un chien à mon domicile. "/>
    <s v="Veuillez répondre à chacun des énoncés suivants. J'ai un système d'alarme que j'active régulièrement pour protéger mon domicile contre le vol."/>
    <s v="Veuillez répondre à chacun des énoncés suivants. Spécialement par mesure de protection, j'ai suivi un cours d'autodéfense. "/>
    <s v="Veuillez répondre à chacun des énoncés suivants. Spécialement par mesure de protection, il y a une arme à feu à mon domicile. "/>
    <s v="Est-ce qu'il y a à votre domicile au moins un détecteur de fumée fonctionnel par étage ? "/>
    <s v="Le bon fonctionnement de cet/ces appareil(s) a-t-il été vérifié, au cours des douze (12) derniers mois ?"/>
    <s v="Veuillez nous dire votre degré de satisfaction à l'égard : du déneigement et du déglaçage des rues et des trottoirs de votre quartier ? "/>
    <s v="Veuillez nous dire votre degré de satisfaction à l'égard :  de la propreté et de l'entretien des parcs et terrains de jeux de votre quartier ?"/>
    <s v="Veuillez nous dire votre degré de satisfaction à l'égard :  de la sécurité des équipements dans les parcs, aires de jeux ou centre récréatif ou sportif de votre quartier ? "/>
    <s v="Votre quartier est-il desservi par un service de police municipal, une régie intermunicipale ou par la Sûreté du Québec ?"/>
    <s v="Quel est votre niveau de satisfaction à l'égard de la présence des policiers dans votre quartier ?"/>
    <s v="Quel est votre niveau de satisfaction à l'égard du travail effectué par les policiers dans votre quartier ?"/>
    <s v="De façon plus spécifique, quel est votre niveau de satisfaction à l'égard du travail effectué par les policiers : auprès des jeunes de votre quartier"/>
    <s v="De façon plus spécifique, quel est votre niveau de satisfaction à l'égard du travail effectué par les policiers : pour assurer la sécurité routière dans votre quartier"/>
    <s v="De façon plus spécifique, quel est votre niveau de satisfaction à l'égard du travail effectué par les policiers : pour régler des problèmes de délinquance ou de désordres qui surviennent dans votre quartier"/>
    <s v="Au cours des deux dernières années, combien de fois avez-vous fait appel au service de police qui dessert votre quartier ?"/>
    <s v="En vous référant à l'événement le plus récent, quel est votre niveau de satisfaction à l'égard de la réponse que vous avez reçue ?"/>
    <s v="Pourquoi ? Peu"/>
    <s v="Pourquoi ? Pas"/>
    <s v="Au cours des deux dernières années, vous êtes vous IMPLIQUÉ SUR UNE BASE RÉGULIÈRE dans les activités suivantes de votre quartier : Dans un comité ou un organisme préoccupé par les problèmes de sécurité de votre quartier ?"/>
    <s v="Au cours des deux dernières années, vous êtes vous IMPLIQUÉ SUR UNE BASE RÉGULIÈRE dans les activités suivantes de votre quartier : Dans des assemblées du conseil municipal ?"/>
    <s v="Au cours des deux dernières années, vous êtes vous IMPLIQUÉ SUR UNE BASE RÉGULIÈRE dans les activités suivantes de votre quartier : Dans un conseil de quartier ou d'arrondissement ?"/>
    <s v="Au cours des deux dernières années, vous êtes vous IMPLIQUÉ SUR UNE BASE RÉGULIÈRE dans les activités suivantes de votre quartier : Dans un comité de citoyens ?"/>
    <s v="Au cours des deux dernières années, vous êtes vous IMPLIQUÉ SUR UNE BASE RÉGULIÈRE dans les activités suivantes de votre quartier : Dans des activités communautaires, d'entraide ou de bénévolat (cuisine communautaire, bazar)"/>
    <s v="Au cours des deux dernières années, vous êtes vous IMPLIQUÉ SUR UNE BASE RÉGULIÈRE dans les activités suivantes de votre quartier : Dans des activités sociales, culturelles ou sportives organisées par les gens de votre quartier ou de votre municipalité ?"/>
    <s v="Au cours des deux dernières années, avez-vous été victime de vol, de vandalisme ou de tout autre crime contre vos biens, chez vous ou dans votre quartier ?"/>
    <s v="Au cours des deux dernières années, avez-vous été victime d'une agression, d'intimidation ou de tout autre acte de violence, chez vous ou dans votre quartier ?"/>
    <s v="Au cours des deux dernières années avez-vous été victime dans votre quartier d'une quelconque forme de discrimination ?"/>
    <s v="À votre avis, le motif de cette discrimination était lié …"/>
    <s v="Autre, précisez :"/>
    <s v="Au cours des deux dernières années, avez-vous subi un accident qui vous a occasionné une blessure pour laquelle vous avez dû consulter un professionnel de la santé ou limiter vos activités ?"/>
    <s v="Combien de fois cela s'est-il produit ?"/>
    <s v="En se référant au dernier événement, était-ce … ?"/>
    <s v="Autre, précisez :"/>
    <s v="Maintenant, comparativement à d'autres personnes de votre âge, dirirez-vous que votre santé est en général …"/>
    <s v="Dans quel quartier habitez-vous ?"/>
    <s v="Combien de personne de moins de 18 ans habitent dans votre foyer ?"/>
    <x v="0"/>
    <s v="Quelle est votre année de naissance ?"/>
    <s v="Êtes-vous propriétaire ou locataire du logement que vous habitez ?"/>
    <s v="Autre, précisez : "/>
    <s v="Habitez-vous dans …"/>
    <s v="Autre, précisez : "/>
    <s v="Quel est votre état civil ?"/>
    <s v="Autre, précisez : "/>
    <s v="Où est situé votre lieu de travail habituel ?"/>
    <s v="Autre, précisez : "/>
    <s v="Quel est le plus haut niveau de scolarité que vous avez complété ?"/>
    <m/>
    <m/>
    <x v="0"/>
    <m/>
    <m/>
    <m/>
  </r>
  <r>
    <x v="1"/>
    <n v="1"/>
    <n v="4"/>
    <n v="3"/>
    <n v="3"/>
    <n v="2"/>
    <n v="1"/>
    <n v="2"/>
    <n v="2"/>
    <n v="4"/>
    <n v="3"/>
    <n v="1"/>
    <n v="1"/>
    <n v="1"/>
    <m/>
    <n v="1"/>
    <m/>
    <n v="1"/>
    <n v="1"/>
    <n v="1"/>
    <n v="1"/>
    <m/>
    <m/>
    <n v="1"/>
    <m/>
    <n v="2"/>
    <n v="2"/>
    <n v="1"/>
    <n v="1"/>
    <n v="1"/>
    <n v="2"/>
    <n v="1"/>
    <n v="2"/>
    <n v="2"/>
    <m/>
    <n v="1"/>
    <n v="7"/>
    <n v="4"/>
    <n v="8"/>
    <n v="1"/>
    <n v="4"/>
    <n v="8"/>
    <n v="2"/>
    <n v="2"/>
    <n v="1"/>
    <m/>
    <m/>
    <m/>
    <n v="1"/>
    <n v="2"/>
    <n v="1"/>
    <n v="2"/>
    <n v="2"/>
    <n v="1"/>
    <n v="1"/>
    <n v="2"/>
    <n v="1"/>
    <n v="2"/>
    <m/>
    <n v="1"/>
    <n v="4"/>
    <n v="5"/>
    <m/>
    <n v="2"/>
    <n v="4"/>
    <n v="5"/>
    <x v="1"/>
    <n v="1981"/>
    <n v="2"/>
    <m/>
    <n v="7"/>
    <m/>
    <n v="1"/>
    <m/>
    <n v="1"/>
    <m/>
    <n v="4"/>
    <n v="1"/>
    <n v="32"/>
    <x v="1"/>
    <n v="1"/>
    <n v="1"/>
    <n v="1"/>
  </r>
  <r>
    <x v="2"/>
    <n v="1"/>
    <n v="4"/>
    <n v="2"/>
    <n v="2"/>
    <n v="2"/>
    <n v="1"/>
    <n v="2"/>
    <n v="1"/>
    <n v="2"/>
    <n v="2"/>
    <n v="1"/>
    <n v="2"/>
    <n v="1"/>
    <m/>
    <m/>
    <n v="1"/>
    <m/>
    <n v="1"/>
    <m/>
    <n v="1"/>
    <m/>
    <m/>
    <n v="2"/>
    <m/>
    <n v="1"/>
    <n v="1"/>
    <n v="2"/>
    <n v="1"/>
    <n v="1"/>
    <n v="1"/>
    <n v="1"/>
    <n v="1"/>
    <n v="1"/>
    <n v="1"/>
    <n v="2"/>
    <n v="4"/>
    <n v="1"/>
    <n v="1"/>
    <n v="4"/>
    <n v="8"/>
    <n v="1"/>
    <n v="4"/>
    <n v="1"/>
    <n v="2"/>
    <n v="1"/>
    <m/>
    <m/>
    <n v="2"/>
    <n v="1"/>
    <n v="1"/>
    <n v="2"/>
    <n v="2"/>
    <n v="1"/>
    <n v="2"/>
    <n v="1"/>
    <n v="2"/>
    <n v="1"/>
    <m/>
    <n v="2"/>
    <m/>
    <m/>
    <m/>
    <n v="4"/>
    <n v="1"/>
    <n v="2"/>
    <x v="2"/>
    <n v="1970"/>
    <n v="1"/>
    <m/>
    <n v="5"/>
    <m/>
    <n v="2"/>
    <m/>
    <n v="2"/>
    <m/>
    <n v="1"/>
    <n v="1"/>
    <n v="43"/>
    <x v="2"/>
    <n v="2"/>
    <n v="3"/>
    <n v="2"/>
  </r>
  <r>
    <x v="2"/>
    <n v="1"/>
    <n v="4"/>
    <n v="2"/>
    <n v="1"/>
    <n v="2"/>
    <n v="1"/>
    <n v="3"/>
    <n v="2"/>
    <n v="3"/>
    <n v="1"/>
    <n v="2"/>
    <n v="1"/>
    <n v="2"/>
    <n v="1"/>
    <m/>
    <m/>
    <m/>
    <n v="1"/>
    <n v="1"/>
    <m/>
    <n v="1"/>
    <m/>
    <n v="2"/>
    <m/>
    <n v="1"/>
    <n v="1"/>
    <n v="2"/>
    <n v="1"/>
    <n v="1"/>
    <n v="1"/>
    <n v="2"/>
    <n v="1"/>
    <n v="1"/>
    <n v="2"/>
    <n v="3"/>
    <n v="1"/>
    <n v="2"/>
    <n v="3"/>
    <n v="2"/>
    <n v="1"/>
    <n v="2"/>
    <n v="3"/>
    <n v="4"/>
    <n v="3"/>
    <n v="3"/>
    <m/>
    <m/>
    <n v="2"/>
    <n v="1"/>
    <n v="2"/>
    <n v="2"/>
    <n v="2"/>
    <n v="2"/>
    <n v="2"/>
    <n v="1"/>
    <n v="3"/>
    <n v="3"/>
    <m/>
    <n v="1"/>
    <n v="2"/>
    <n v="8"/>
    <m/>
    <n v="5"/>
    <n v="4"/>
    <n v="4"/>
    <x v="2"/>
    <n v="1990"/>
    <n v="3"/>
    <m/>
    <n v="4"/>
    <m/>
    <n v="4"/>
    <m/>
    <n v="3"/>
    <m/>
    <n v="2"/>
    <n v="1"/>
    <n v="23"/>
    <x v="1"/>
    <n v="2"/>
    <n v="4"/>
    <n v="2"/>
  </r>
  <r>
    <x v="2"/>
    <n v="2"/>
    <n v="2"/>
    <n v="2"/>
    <n v="2"/>
    <n v="2"/>
    <n v="1"/>
    <n v="2"/>
    <n v="3"/>
    <n v="3"/>
    <n v="1"/>
    <n v="3"/>
    <n v="1"/>
    <n v="1"/>
    <n v="1"/>
    <n v="1"/>
    <m/>
    <n v="1"/>
    <n v="1"/>
    <n v="1"/>
    <n v="1"/>
    <m/>
    <m/>
    <n v="2"/>
    <m/>
    <n v="1"/>
    <n v="1"/>
    <n v="2"/>
    <n v="2"/>
    <n v="1"/>
    <n v="2"/>
    <n v="2"/>
    <n v="1"/>
    <n v="1"/>
    <n v="1"/>
    <n v="4"/>
    <n v="3"/>
    <n v="3"/>
    <n v="2"/>
    <n v="3"/>
    <n v="1"/>
    <n v="3"/>
    <n v="2"/>
    <n v="2"/>
    <n v="4"/>
    <n v="2"/>
    <m/>
    <m/>
    <n v="2"/>
    <n v="1"/>
    <n v="2"/>
    <n v="2"/>
    <n v="1"/>
    <n v="2"/>
    <n v="2"/>
    <n v="2"/>
    <n v="4"/>
    <m/>
    <m/>
    <n v="1"/>
    <n v="2"/>
    <n v="7"/>
    <m/>
    <n v="1"/>
    <n v="2"/>
    <n v="1"/>
    <x v="2"/>
    <n v="1983"/>
    <n v="1"/>
    <m/>
    <n v="1"/>
    <m/>
    <n v="1"/>
    <m/>
    <n v="4"/>
    <m/>
    <n v="3"/>
    <n v="1"/>
    <n v="30"/>
    <x v="1"/>
    <n v="2"/>
    <n v="3"/>
    <n v="2"/>
  </r>
  <r>
    <x v="1"/>
    <n v="4"/>
    <n v="1"/>
    <n v="1"/>
    <n v="2"/>
    <n v="1"/>
    <n v="2"/>
    <n v="2"/>
    <n v="3"/>
    <n v="2"/>
    <n v="1"/>
    <n v="2"/>
    <n v="2"/>
    <n v="1"/>
    <m/>
    <n v="1"/>
    <n v="1"/>
    <n v="1"/>
    <n v="1"/>
    <n v="1"/>
    <m/>
    <m/>
    <m/>
    <n v="2"/>
    <m/>
    <n v="1"/>
    <n v="1"/>
    <n v="1"/>
    <n v="2"/>
    <n v="2"/>
    <n v="2"/>
    <n v="1"/>
    <n v="2"/>
    <n v="2"/>
    <m/>
    <n v="7"/>
    <n v="3"/>
    <n v="3"/>
    <n v="1"/>
    <n v="2"/>
    <n v="3"/>
    <n v="2"/>
    <n v="1"/>
    <n v="3"/>
    <n v="2"/>
    <n v="4"/>
    <m/>
    <m/>
    <n v="1"/>
    <n v="2"/>
    <n v="2"/>
    <n v="1"/>
    <n v="1"/>
    <n v="2"/>
    <n v="2"/>
    <n v="1"/>
    <n v="1"/>
    <n v="6"/>
    <m/>
    <n v="2"/>
    <m/>
    <m/>
    <m/>
    <n v="3"/>
    <n v="3"/>
    <m/>
    <x v="2"/>
    <n v="1967"/>
    <n v="1"/>
    <m/>
    <n v="2"/>
    <m/>
    <n v="3"/>
    <m/>
    <n v="4"/>
    <m/>
    <n v="2"/>
    <n v="1"/>
    <n v="46"/>
    <x v="2"/>
    <n v="3"/>
    <n v="5"/>
    <n v="3"/>
  </r>
  <r>
    <x v="3"/>
    <n v="1"/>
    <n v="2"/>
    <n v="1"/>
    <n v="3"/>
    <n v="1"/>
    <n v="2"/>
    <n v="1"/>
    <n v="3"/>
    <n v="1"/>
    <n v="1"/>
    <n v="2"/>
    <n v="1"/>
    <n v="1"/>
    <m/>
    <n v="1"/>
    <m/>
    <m/>
    <m/>
    <n v="1"/>
    <m/>
    <m/>
    <m/>
    <n v="2"/>
    <m/>
    <n v="1"/>
    <n v="1"/>
    <n v="1"/>
    <n v="2"/>
    <n v="2"/>
    <n v="1"/>
    <n v="1"/>
    <n v="2"/>
    <n v="1"/>
    <n v="1"/>
    <n v="4"/>
    <n v="2"/>
    <n v="2"/>
    <n v="2"/>
    <n v="3"/>
    <n v="2"/>
    <n v="4"/>
    <n v="4"/>
    <n v="2"/>
    <n v="1"/>
    <m/>
    <m/>
    <m/>
    <n v="1"/>
    <n v="2"/>
    <n v="1"/>
    <n v="1"/>
    <n v="2"/>
    <n v="1"/>
    <n v="1"/>
    <n v="2"/>
    <n v="4"/>
    <m/>
    <m/>
    <n v="2"/>
    <m/>
    <m/>
    <m/>
    <n v="2"/>
    <n v="2"/>
    <n v="1"/>
    <x v="2"/>
    <n v="1962"/>
    <n v="2"/>
    <m/>
    <n v="3"/>
    <m/>
    <n v="3"/>
    <m/>
    <n v="1"/>
    <m/>
    <n v="1"/>
    <n v="1"/>
    <n v="51"/>
    <x v="2"/>
    <n v="2"/>
    <n v="2"/>
    <n v="2"/>
  </r>
  <r>
    <x v="4"/>
    <n v="2"/>
    <n v="3"/>
    <n v="2"/>
    <n v="2"/>
    <n v="2"/>
    <n v="3"/>
    <n v="4"/>
    <n v="2"/>
    <n v="2"/>
    <n v="4"/>
    <n v="1"/>
    <n v="1"/>
    <n v="2"/>
    <m/>
    <m/>
    <m/>
    <n v="1"/>
    <m/>
    <n v="1"/>
    <m/>
    <m/>
    <m/>
    <n v="2"/>
    <m/>
    <n v="2"/>
    <n v="2"/>
    <n v="1"/>
    <n v="2"/>
    <n v="2"/>
    <n v="1"/>
    <n v="2"/>
    <n v="2"/>
    <n v="2"/>
    <m/>
    <n v="2"/>
    <n v="1"/>
    <n v="1"/>
    <n v="1"/>
    <n v="3"/>
    <n v="3"/>
    <n v="1"/>
    <n v="8"/>
    <n v="1"/>
    <n v="3"/>
    <n v="2"/>
    <m/>
    <m/>
    <n v="1"/>
    <n v="2"/>
    <n v="1"/>
    <n v="1"/>
    <n v="1"/>
    <n v="1"/>
    <n v="1"/>
    <n v="1"/>
    <n v="1"/>
    <n v="7"/>
    <m/>
    <n v="1"/>
    <n v="2"/>
    <n v="6"/>
    <m/>
    <n v="1"/>
    <n v="3"/>
    <n v="3"/>
    <x v="2"/>
    <n v="1994"/>
    <n v="3"/>
    <m/>
    <n v="3"/>
    <m/>
    <n v="2"/>
    <m/>
    <n v="2"/>
    <m/>
    <n v="4"/>
    <n v="1"/>
    <n v="19"/>
    <x v="1"/>
    <n v="2"/>
    <n v="4"/>
    <n v="2"/>
  </r>
  <r>
    <x v="1"/>
    <n v="3"/>
    <n v="2"/>
    <n v="4"/>
    <n v="2"/>
    <n v="3"/>
    <n v="2"/>
    <n v="1"/>
    <n v="4"/>
    <n v="1"/>
    <n v="4"/>
    <n v="4"/>
    <n v="2"/>
    <n v="2"/>
    <m/>
    <m/>
    <n v="1"/>
    <n v="1"/>
    <m/>
    <m/>
    <n v="1"/>
    <m/>
    <m/>
    <n v="1"/>
    <m/>
    <n v="2"/>
    <n v="2"/>
    <n v="1"/>
    <n v="2"/>
    <n v="2"/>
    <n v="2"/>
    <n v="1"/>
    <n v="2"/>
    <n v="1"/>
    <n v="2"/>
    <n v="3"/>
    <n v="1"/>
    <n v="2"/>
    <n v="3"/>
    <n v="4"/>
    <n v="2"/>
    <n v="3"/>
    <n v="8"/>
    <n v="4"/>
    <n v="2"/>
    <n v="1"/>
    <m/>
    <m/>
    <n v="1"/>
    <n v="1"/>
    <n v="1"/>
    <n v="1"/>
    <n v="1"/>
    <n v="1"/>
    <n v="1"/>
    <n v="2"/>
    <n v="3"/>
    <n v="2"/>
    <m/>
    <n v="2"/>
    <m/>
    <m/>
    <m/>
    <n v="3"/>
    <n v="2"/>
    <n v="2"/>
    <x v="1"/>
    <n v="1983"/>
    <n v="2"/>
    <m/>
    <n v="2"/>
    <m/>
    <n v="1"/>
    <m/>
    <n v="3"/>
    <m/>
    <n v="1"/>
    <n v="1"/>
    <n v="30"/>
    <x v="1"/>
    <n v="2"/>
    <n v="4"/>
    <n v="2"/>
  </r>
  <r>
    <x v="4"/>
    <n v="3"/>
    <n v="3"/>
    <n v="1"/>
    <n v="4"/>
    <n v="2"/>
    <n v="3"/>
    <n v="2"/>
    <n v="4"/>
    <n v="4"/>
    <n v="3"/>
    <n v="1"/>
    <n v="2"/>
    <n v="2"/>
    <n v="1"/>
    <n v="1"/>
    <m/>
    <n v="1"/>
    <n v="1"/>
    <n v="1"/>
    <m/>
    <m/>
    <m/>
    <n v="1"/>
    <m/>
    <n v="2"/>
    <n v="2"/>
    <n v="1"/>
    <n v="2"/>
    <n v="2"/>
    <n v="1"/>
    <n v="2"/>
    <n v="2"/>
    <n v="2"/>
    <m/>
    <n v="1"/>
    <n v="4"/>
    <n v="3"/>
    <n v="2"/>
    <n v="1"/>
    <n v="3"/>
    <n v="2"/>
    <n v="8"/>
    <n v="2"/>
    <n v="1"/>
    <m/>
    <m/>
    <m/>
    <n v="2"/>
    <n v="1"/>
    <n v="2"/>
    <n v="2"/>
    <n v="1"/>
    <n v="2"/>
    <n v="1"/>
    <n v="1"/>
    <n v="2"/>
    <n v="2"/>
    <m/>
    <n v="1"/>
    <n v="1"/>
    <n v="1"/>
    <m/>
    <n v="8"/>
    <n v="3"/>
    <n v="5"/>
    <x v="1"/>
    <n v="1975"/>
    <n v="3"/>
    <m/>
    <n v="2"/>
    <m/>
    <n v="4"/>
    <m/>
    <n v="2"/>
    <m/>
    <n v="3"/>
    <n v="1"/>
    <n v="38"/>
    <x v="1"/>
    <n v="2"/>
    <n v="2"/>
    <n v="1"/>
  </r>
  <r>
    <x v="1"/>
    <n v="3"/>
    <n v="2"/>
    <n v="2"/>
    <n v="4"/>
    <n v="3"/>
    <n v="2"/>
    <n v="3"/>
    <n v="4"/>
    <n v="1"/>
    <n v="2"/>
    <n v="2"/>
    <n v="1"/>
    <n v="1"/>
    <m/>
    <m/>
    <n v="1"/>
    <m/>
    <m/>
    <n v="1"/>
    <m/>
    <n v="1"/>
    <m/>
    <n v="1"/>
    <m/>
    <n v="2"/>
    <n v="2"/>
    <n v="1"/>
    <n v="1"/>
    <n v="2"/>
    <n v="2"/>
    <n v="2"/>
    <n v="2"/>
    <n v="2"/>
    <m/>
    <n v="2"/>
    <n v="1"/>
    <n v="4"/>
    <n v="2"/>
    <n v="2"/>
    <n v="2"/>
    <n v="1"/>
    <n v="8"/>
    <n v="3"/>
    <n v="3"/>
    <n v="3"/>
    <m/>
    <m/>
    <n v="2"/>
    <n v="2"/>
    <n v="2"/>
    <n v="2"/>
    <n v="2"/>
    <n v="2"/>
    <n v="1"/>
    <n v="1"/>
    <n v="2"/>
    <n v="3"/>
    <m/>
    <n v="1"/>
    <n v="2"/>
    <n v="5"/>
    <m/>
    <n v="2"/>
    <n v="2"/>
    <n v="5"/>
    <x v="1"/>
    <n v="1979"/>
    <n v="3"/>
    <m/>
    <n v="1"/>
    <m/>
    <n v="1"/>
    <m/>
    <n v="1"/>
    <m/>
    <n v="2"/>
    <n v="1"/>
    <n v="34"/>
    <x v="1"/>
    <n v="1"/>
    <n v="1"/>
    <n v="1"/>
  </r>
  <r>
    <x v="2"/>
    <n v="3"/>
    <n v="3"/>
    <n v="2"/>
    <n v="2"/>
    <n v="2"/>
    <n v="4"/>
    <n v="2"/>
    <n v="1"/>
    <n v="4"/>
    <n v="2"/>
    <n v="3"/>
    <n v="1"/>
    <n v="2"/>
    <m/>
    <m/>
    <n v="1"/>
    <m/>
    <m/>
    <m/>
    <m/>
    <m/>
    <m/>
    <n v="1"/>
    <m/>
    <n v="2"/>
    <n v="2"/>
    <n v="2"/>
    <n v="1"/>
    <n v="2"/>
    <n v="1"/>
    <n v="1"/>
    <n v="1"/>
    <n v="2"/>
    <m/>
    <n v="3"/>
    <n v="2"/>
    <n v="1"/>
    <n v="2"/>
    <n v="4"/>
    <n v="4"/>
    <n v="4"/>
    <n v="3"/>
    <n v="8"/>
    <n v="1"/>
    <m/>
    <m/>
    <m/>
    <n v="2"/>
    <n v="2"/>
    <n v="2"/>
    <n v="2"/>
    <n v="2"/>
    <n v="2"/>
    <n v="2"/>
    <n v="2"/>
    <n v="3"/>
    <n v="5"/>
    <m/>
    <n v="2"/>
    <m/>
    <m/>
    <m/>
    <n v="1"/>
    <n v="1"/>
    <n v="5"/>
    <x v="1"/>
    <n v="1957"/>
    <n v="3"/>
    <m/>
    <n v="1"/>
    <m/>
    <n v="3"/>
    <m/>
    <n v="4"/>
    <m/>
    <n v="3"/>
    <n v="1"/>
    <n v="56"/>
    <x v="2"/>
    <n v="1"/>
    <n v="1"/>
    <n v="1"/>
  </r>
  <r>
    <x v="4"/>
    <n v="2"/>
    <n v="2"/>
    <n v="3"/>
    <n v="4"/>
    <n v="4"/>
    <n v="2"/>
    <n v="1"/>
    <n v="2"/>
    <n v="1"/>
    <n v="3"/>
    <n v="1"/>
    <n v="2"/>
    <n v="1"/>
    <n v="1"/>
    <n v="1"/>
    <n v="1"/>
    <m/>
    <m/>
    <m/>
    <n v="1"/>
    <m/>
    <m/>
    <n v="1"/>
    <m/>
    <n v="1"/>
    <n v="2"/>
    <n v="1"/>
    <n v="1"/>
    <n v="1"/>
    <n v="2"/>
    <n v="2"/>
    <n v="1"/>
    <n v="1"/>
    <n v="2"/>
    <n v="1"/>
    <n v="3"/>
    <n v="7"/>
    <n v="3"/>
    <n v="1"/>
    <n v="2"/>
    <n v="2"/>
    <n v="2"/>
    <n v="2"/>
    <n v="4"/>
    <n v="4"/>
    <m/>
    <m/>
    <n v="1"/>
    <n v="1"/>
    <n v="1"/>
    <n v="2"/>
    <n v="2"/>
    <n v="1"/>
    <n v="2"/>
    <n v="2"/>
    <n v="3"/>
    <n v="98"/>
    <m/>
    <n v="1"/>
    <n v="4"/>
    <n v="4"/>
    <m/>
    <n v="2"/>
    <n v="3"/>
    <m/>
    <x v="2"/>
    <n v="1946"/>
    <n v="2"/>
    <m/>
    <n v="5"/>
    <m/>
    <n v="2"/>
    <m/>
    <n v="2"/>
    <m/>
    <n v="2"/>
    <n v="1"/>
    <n v="67"/>
    <x v="3"/>
    <n v="2"/>
    <n v="4"/>
    <n v="3"/>
  </r>
  <r>
    <x v="1"/>
    <n v="2"/>
    <n v="3"/>
    <n v="2"/>
    <n v="3"/>
    <n v="2"/>
    <n v="3"/>
    <n v="1"/>
    <n v="3"/>
    <n v="2"/>
    <n v="2"/>
    <n v="2"/>
    <n v="2"/>
    <n v="2"/>
    <n v="1"/>
    <m/>
    <m/>
    <m/>
    <n v="1"/>
    <n v="1"/>
    <m/>
    <m/>
    <m/>
    <n v="1"/>
    <m/>
    <n v="1"/>
    <n v="2"/>
    <n v="2"/>
    <n v="2"/>
    <n v="1"/>
    <n v="1"/>
    <n v="1"/>
    <n v="1"/>
    <n v="2"/>
    <m/>
    <n v="2"/>
    <n v="1"/>
    <n v="4"/>
    <n v="3"/>
    <n v="3"/>
    <n v="3"/>
    <n v="3"/>
    <n v="1"/>
    <n v="1"/>
    <n v="1"/>
    <m/>
    <m/>
    <m/>
    <n v="1"/>
    <n v="2"/>
    <n v="1"/>
    <n v="1"/>
    <n v="1"/>
    <n v="1"/>
    <n v="1"/>
    <n v="1"/>
    <n v="2"/>
    <n v="1"/>
    <m/>
    <n v="1"/>
    <n v="2"/>
    <n v="98"/>
    <m/>
    <n v="3"/>
    <n v="2"/>
    <n v="1"/>
    <x v="1"/>
    <n v="1947"/>
    <n v="1"/>
    <m/>
    <n v="6"/>
    <m/>
    <n v="4"/>
    <m/>
    <n v="1"/>
    <m/>
    <n v="2"/>
    <n v="1"/>
    <n v="66"/>
    <x v="3"/>
    <n v="2"/>
    <n v="3"/>
    <n v="2"/>
  </r>
  <r>
    <x v="4"/>
    <n v="2"/>
    <n v="2"/>
    <n v="2"/>
    <n v="2"/>
    <n v="3"/>
    <n v="2"/>
    <n v="2"/>
    <n v="2"/>
    <n v="3"/>
    <n v="3"/>
    <n v="4"/>
    <n v="2"/>
    <n v="1"/>
    <m/>
    <n v="1"/>
    <n v="1"/>
    <n v="1"/>
    <m/>
    <m/>
    <m/>
    <m/>
    <m/>
    <n v="2"/>
    <m/>
    <n v="1"/>
    <n v="2"/>
    <n v="1"/>
    <n v="2"/>
    <n v="1"/>
    <n v="2"/>
    <n v="2"/>
    <n v="1"/>
    <n v="2"/>
    <m/>
    <n v="3"/>
    <n v="7"/>
    <n v="1"/>
    <n v="1"/>
    <n v="2"/>
    <n v="2"/>
    <n v="2"/>
    <n v="3"/>
    <n v="3"/>
    <n v="2"/>
    <n v="3"/>
    <m/>
    <m/>
    <n v="2"/>
    <n v="1"/>
    <n v="1"/>
    <n v="1"/>
    <n v="2"/>
    <n v="2"/>
    <n v="2"/>
    <n v="2"/>
    <n v="4"/>
    <m/>
    <m/>
    <n v="2"/>
    <m/>
    <m/>
    <m/>
    <n v="5"/>
    <n v="4"/>
    <n v="3"/>
    <x v="2"/>
    <n v="1984"/>
    <n v="3"/>
    <m/>
    <n v="4"/>
    <m/>
    <n v="6"/>
    <m/>
    <n v="3"/>
    <m/>
    <n v="1"/>
    <n v="1"/>
    <n v="29"/>
    <x v="1"/>
    <n v="2"/>
    <n v="4"/>
    <n v="2"/>
  </r>
  <r>
    <x v="1"/>
    <n v="2"/>
    <n v="2"/>
    <n v="1"/>
    <n v="1"/>
    <n v="2"/>
    <n v="1"/>
    <n v="4"/>
    <n v="1"/>
    <n v="3"/>
    <n v="1"/>
    <n v="1"/>
    <n v="1"/>
    <n v="2"/>
    <n v="1"/>
    <m/>
    <n v="1"/>
    <m/>
    <m/>
    <n v="1"/>
    <n v="1"/>
    <m/>
    <m/>
    <n v="2"/>
    <m/>
    <n v="2"/>
    <n v="1"/>
    <n v="2"/>
    <n v="1"/>
    <n v="1"/>
    <n v="1"/>
    <n v="1"/>
    <n v="2"/>
    <n v="1"/>
    <n v="1"/>
    <n v="4"/>
    <n v="1"/>
    <n v="2"/>
    <n v="1"/>
    <n v="2"/>
    <n v="1"/>
    <n v="1"/>
    <n v="2"/>
    <n v="8"/>
    <n v="3"/>
    <n v="2"/>
    <m/>
    <m/>
    <n v="1"/>
    <n v="2"/>
    <n v="2"/>
    <n v="2"/>
    <n v="2"/>
    <n v="2"/>
    <n v="1"/>
    <n v="1"/>
    <n v="1"/>
    <n v="8"/>
    <m/>
    <n v="2"/>
    <m/>
    <m/>
    <m/>
    <n v="3"/>
    <n v="3"/>
    <n v="1"/>
    <x v="1"/>
    <n v="1989"/>
    <n v="2"/>
    <m/>
    <n v="7"/>
    <m/>
    <n v="4"/>
    <m/>
    <n v="2"/>
    <m/>
    <n v="2"/>
    <n v="1"/>
    <n v="24"/>
    <x v="1"/>
    <n v="2"/>
    <n v="2"/>
    <n v="2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7"/>
    <m/>
    <m/>
    <m/>
    <m/>
    <m/>
    <m/>
    <m/>
    <m/>
    <m/>
    <n v="1"/>
    <n v="26"/>
    <x v="1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3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1"/>
    <m/>
    <m/>
    <m/>
    <m/>
    <m/>
    <m/>
    <m/>
    <m/>
    <m/>
    <n v="1"/>
    <n v="32"/>
    <x v="1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70"/>
    <m/>
    <m/>
    <m/>
    <m/>
    <m/>
    <m/>
    <m/>
    <m/>
    <m/>
    <n v="1"/>
    <n v="43"/>
    <x v="2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</pivotCacheRecords>
</file>

<file path=xl/pivotCache/pivotCacheRecords25.xml><?xml version="1.0" encoding="utf-8"?>
<pivotCacheRecords xmlns="http://schemas.openxmlformats.org/spreadsheetml/2006/main" xmlns:r="http://schemas.openxmlformats.org/officeDocument/2006/relationships" count="632">
  <r>
    <x v="0"/>
    <s v="Dans votre quartier, les désordres liés à la vente ou à la consommation de drogue sont … ?"/>
    <s v="Dans votre quartier, les problèmes liés à la criminalité sont … ?"/>
    <s v="Dans votre quartier, les problèmes causés par les gens qui traînent dans les lieux publics sont … ?"/>
    <s v="Dans votre quartier, les actes de vandalisme sont … ?"/>
    <s v="Dans votre quartier, les conflits entre les groupes d'origines ethniques différentes sont … ?"/>
    <s v="Dans votre quartier, les conflits entre d'autres groupes d'individus sont … ?"/>
    <s v="Dans votre quartier, les graffiti sont … ?"/>
    <s v="Dans votre quartier, les immeubles ou bâtiments abandonnés ou mal entretenus sont... ?"/>
    <s v="Dans votre quartier, le niveau d'entraide entre les personnes est... ?"/>
    <s v="Dans votre quartier, le niveau de confiance qui règne entre la plupart des personnes est... ?"/>
    <s v="Dans votre quartier, les comportements des jeunes ou des groupes de jeunes sont-ils pour vous une source de menace ou d'insécurité ?"/>
    <s v="Y a-t-il d'autres individus ou des groupes d'individus dont les comportements sont pour vous une source de menace ou d'insécurité ?"/>
    <s v="De quel type ou groupe d'individus s'agit-il ?  Toxicomanes ou revendeur de drogue"/>
    <s v="De quel type ou groupe d'individus s'agit-il ? Gangs de motards / milieu criminel"/>
    <s v="De quel type ou groupe d'individus s'agit-il ? Sollicitation (vendeurs, mouvements religieux, ex-détenus, etc.)"/>
    <s v="De quel type ou groupe d'individus s'agit-il ? Itinérants"/>
    <s v="De quel type ou groupe d'individus s'agit-il ? Individus ou groupes d'individus en état d'ébriété"/>
    <s v="De quel type ou groupe d'individus s'agit-il ? Personnes d'une communauté culturelle différente de la mienne"/>
    <s v="De quel type ou groupe d'individus s'agit-il ? Voisins"/>
    <s v="De quel type ou groupe d'individus s'agit-il ? Autre"/>
    <s v="De quel type ou groupe d'individus s'agit-il ? Autre, précisez"/>
    <s v="Y a-t-il dans votre quartier des endroits que vous évitez de fréquenter pour des raisons de sécurité ?"/>
    <s v="Lesquels ?"/>
    <s v="Veuillez répondre à chacun des énoncés suivants. Quand je me déplace dans mon quartier, j'apporte habituellement quelque chose pour assurer ma protection. "/>
    <s v="Veuillez répondre à chacun des énoncés suivants. Lorsque je suis dans mon quartier, je vérifie qu'aucun intrus ne se trouve à l'intérieur de ma voiture avant d'y monter."/>
    <s v="Veuillez répondre à chacun des énoncés suivants. À mon domicile, j'évite d'ouvrir la porte à des inconnus, pour des raisons de sécurité. "/>
    <s v="Veuillez répondre à chacun des énoncés suivants. Je garde les portes extérieures de mon domicile constamment verrouillées, même lorsque je suis chez moi. "/>
    <s v="Veuillez répondre à chacun des énoncés suivants. Spécialement par mesure de protection, il y a un chien à mon domicile. "/>
    <s v="Veuillez répondre à chacun des énoncés suivants. J'ai un système d'alarme que j'active régulièrement pour protéger mon domicile contre le vol."/>
    <s v="Veuillez répondre à chacun des énoncés suivants. Spécialement par mesure de protection, j'ai suivi un cours d'autodéfense. "/>
    <s v="Veuillez répondre à chacun des énoncés suivants. Spécialement par mesure de protection, il y a une arme à feu à mon domicile. "/>
    <s v="Est-ce qu'il y a à votre domicile au moins un détecteur de fumée fonctionnel par étage ? "/>
    <s v="Le bon fonctionnement de cet/ces appareil(s) a-t-il été vérifié, au cours des douze (12) derniers mois ?"/>
    <s v="Veuillez nous dire votre degré de satisfaction à l'égard : du déneigement et du déglaçage des rues et des trottoirs de votre quartier ? "/>
    <s v="Veuillez nous dire votre degré de satisfaction à l'égard :  de la propreté et de l'entretien des parcs et terrains de jeux de votre quartier ?"/>
    <s v="Veuillez nous dire votre degré de satisfaction à l'égard :  de la sécurité des équipements dans les parcs, aires de jeux ou centre récréatif ou sportif de votre quartier ? "/>
    <s v="Votre quartier est-il desservi par un service de police municipal, une régie intermunicipale ou par la Sûreté du Québec ?"/>
    <s v="Quel est votre niveau de satisfaction à l'égard de la présence des policiers dans votre quartier ?"/>
    <s v="Quel est votre niveau de satisfaction à l'égard du travail effectué par les policiers dans votre quartier ?"/>
    <s v="De façon plus spécifique, quel est votre niveau de satisfaction à l'égard du travail effectué par les policiers : auprès des jeunes de votre quartier"/>
    <s v="De façon plus spécifique, quel est votre niveau de satisfaction à l'égard du travail effectué par les policiers : pour assurer la sécurité routière dans votre quartier"/>
    <s v="De façon plus spécifique, quel est votre niveau de satisfaction à l'égard du travail effectué par les policiers : pour régler des problèmes de délinquance ou de désordres qui surviennent dans votre quartier"/>
    <s v="Au cours des deux dernières années, combien de fois avez-vous fait appel au service de police qui dessert votre quartier ?"/>
    <s v="En vous référant à l'événement le plus récent, quel est votre niveau de satisfaction à l'égard de la réponse que vous avez reçue ?"/>
    <s v="Pourquoi ? Peu"/>
    <s v="Pourquoi ? Pas"/>
    <s v="Au cours des deux dernières années, vous êtes vous IMPLIQUÉ SUR UNE BASE RÉGULIÈRE dans les activités suivantes de votre quartier : Dans un comité ou un organisme préoccupé par les problèmes de sécurité de votre quartier ?"/>
    <s v="Au cours des deux dernières années, vous êtes vous IMPLIQUÉ SUR UNE BASE RÉGULIÈRE dans les activités suivantes de votre quartier : Dans des assemblées du conseil municipal ?"/>
    <s v="Au cours des deux dernières années, vous êtes vous IMPLIQUÉ SUR UNE BASE RÉGULIÈRE dans les activités suivantes de votre quartier : Dans un conseil de quartier ou d'arrondissement ?"/>
    <s v="Au cours des deux dernières années, vous êtes vous IMPLIQUÉ SUR UNE BASE RÉGULIÈRE dans les activités suivantes de votre quartier : Dans un comité de citoyens ?"/>
    <s v="Au cours des deux dernières années, vous êtes vous IMPLIQUÉ SUR UNE BASE RÉGULIÈRE dans les activités suivantes de votre quartier : Dans des activités communautaires, d'entraide ou de bénévolat (cuisine communautaire, bazar)"/>
    <s v="Au cours des deux dernières années, vous êtes vous IMPLIQUÉ SUR UNE BASE RÉGULIÈRE dans les activités suivantes de votre quartier : Dans des activités sociales, culturelles ou sportives organisées par les gens de votre quartier ou de votre municipalité ?"/>
    <s v="Au cours des deux dernières années, avez-vous été victime de vol, de vandalisme ou de tout autre crime contre vos biens, chez vous ou dans votre quartier ?"/>
    <s v="Au cours des deux dernières années, avez-vous été victime d'une agression, d'intimidation ou de tout autre acte de violence, chez vous ou dans votre quartier ?"/>
    <s v="Au cours des deux dernières années avez-vous été victime dans votre quartier d'une quelconque forme de discrimination ?"/>
    <s v="À votre avis, le motif de cette discrimination était lié …"/>
    <s v="Autre, précisez :"/>
    <s v="Au cours des deux dernières années, avez-vous subi un accident qui vous a occasionné une blessure pour laquelle vous avez dû consulter un professionnel de la santé ou limiter vos activités ?"/>
    <s v="Combien de fois cela s'est-il produit ?"/>
    <s v="En se référant au dernier événement, était-ce … ?"/>
    <s v="Autre, précisez :"/>
    <s v="Maintenant, comparativement à d'autres personnes de votre âge, dirirez-vous que votre santé est en général …"/>
    <s v="Dans quel quartier habitez-vous ?"/>
    <s v="Combien de personne de moins de 18 ans habitent dans votre foyer ?"/>
    <x v="0"/>
    <s v="Quelle est votre année de naissance ?"/>
    <s v="Êtes-vous propriétaire ou locataire du logement que vous habitez ?"/>
    <s v="Autre, précisez : "/>
    <s v="Habitez-vous dans …"/>
    <s v="Autre, précisez : "/>
    <s v="Quel est votre état civil ?"/>
    <s v="Autre, précisez : "/>
    <s v="Où est situé votre lieu de travail habituel ?"/>
    <s v="Autre, précisez : "/>
    <s v="Quel est le plus haut niveau de scolarité que vous avez complété ?"/>
    <m/>
    <m/>
    <x v="0"/>
    <m/>
    <m/>
    <m/>
  </r>
  <r>
    <x v="1"/>
    <n v="4"/>
    <n v="3"/>
    <n v="3"/>
    <n v="2"/>
    <n v="1"/>
    <n v="2"/>
    <n v="2"/>
    <n v="4"/>
    <n v="3"/>
    <n v="1"/>
    <n v="1"/>
    <n v="1"/>
    <m/>
    <n v="1"/>
    <m/>
    <n v="1"/>
    <n v="1"/>
    <n v="1"/>
    <n v="1"/>
    <m/>
    <m/>
    <n v="1"/>
    <m/>
    <n v="2"/>
    <n v="2"/>
    <n v="1"/>
    <n v="1"/>
    <n v="1"/>
    <n v="2"/>
    <n v="1"/>
    <n v="2"/>
    <n v="2"/>
    <m/>
    <n v="1"/>
    <n v="7"/>
    <n v="4"/>
    <n v="8"/>
    <n v="1"/>
    <n v="4"/>
    <n v="8"/>
    <n v="2"/>
    <n v="2"/>
    <n v="1"/>
    <m/>
    <m/>
    <m/>
    <n v="1"/>
    <n v="2"/>
    <n v="1"/>
    <n v="2"/>
    <n v="2"/>
    <n v="1"/>
    <n v="1"/>
    <n v="2"/>
    <n v="1"/>
    <n v="2"/>
    <m/>
    <n v="1"/>
    <n v="4"/>
    <n v="5"/>
    <m/>
    <n v="2"/>
    <n v="4"/>
    <n v="5"/>
    <x v="1"/>
    <n v="1981"/>
    <n v="2"/>
    <m/>
    <n v="7"/>
    <m/>
    <n v="1"/>
    <m/>
    <n v="1"/>
    <m/>
    <n v="4"/>
    <n v="1"/>
    <n v="32"/>
    <x v="1"/>
    <n v="1"/>
    <n v="1"/>
    <n v="1"/>
  </r>
  <r>
    <x v="1"/>
    <n v="4"/>
    <n v="2"/>
    <n v="2"/>
    <n v="2"/>
    <n v="1"/>
    <n v="2"/>
    <n v="1"/>
    <n v="2"/>
    <n v="2"/>
    <n v="1"/>
    <n v="2"/>
    <n v="1"/>
    <m/>
    <m/>
    <n v="1"/>
    <m/>
    <n v="1"/>
    <m/>
    <n v="1"/>
    <m/>
    <m/>
    <n v="2"/>
    <m/>
    <n v="1"/>
    <n v="1"/>
    <n v="2"/>
    <n v="1"/>
    <n v="1"/>
    <n v="1"/>
    <n v="1"/>
    <n v="1"/>
    <n v="1"/>
    <n v="1"/>
    <n v="2"/>
    <n v="4"/>
    <n v="1"/>
    <n v="1"/>
    <n v="4"/>
    <n v="8"/>
    <n v="1"/>
    <n v="4"/>
    <n v="1"/>
    <n v="2"/>
    <n v="1"/>
    <m/>
    <m/>
    <n v="2"/>
    <n v="1"/>
    <n v="1"/>
    <n v="2"/>
    <n v="2"/>
    <n v="1"/>
    <n v="2"/>
    <n v="1"/>
    <n v="2"/>
    <n v="1"/>
    <m/>
    <n v="2"/>
    <m/>
    <m/>
    <m/>
    <n v="4"/>
    <n v="1"/>
    <n v="2"/>
    <x v="2"/>
    <n v="1970"/>
    <n v="1"/>
    <m/>
    <n v="5"/>
    <m/>
    <n v="2"/>
    <m/>
    <n v="2"/>
    <m/>
    <n v="1"/>
    <n v="1"/>
    <n v="43"/>
    <x v="2"/>
    <n v="2"/>
    <n v="3"/>
    <n v="2"/>
  </r>
  <r>
    <x v="1"/>
    <n v="4"/>
    <n v="2"/>
    <n v="1"/>
    <n v="2"/>
    <n v="1"/>
    <n v="3"/>
    <n v="2"/>
    <n v="3"/>
    <n v="1"/>
    <n v="2"/>
    <n v="1"/>
    <n v="2"/>
    <n v="1"/>
    <m/>
    <m/>
    <m/>
    <n v="1"/>
    <n v="1"/>
    <m/>
    <n v="1"/>
    <m/>
    <n v="2"/>
    <m/>
    <n v="1"/>
    <n v="1"/>
    <n v="2"/>
    <n v="1"/>
    <n v="1"/>
    <n v="1"/>
    <n v="2"/>
    <n v="1"/>
    <n v="1"/>
    <n v="2"/>
    <n v="3"/>
    <n v="1"/>
    <n v="2"/>
    <n v="3"/>
    <n v="2"/>
    <n v="1"/>
    <n v="2"/>
    <n v="3"/>
    <n v="4"/>
    <n v="3"/>
    <n v="3"/>
    <m/>
    <m/>
    <n v="2"/>
    <n v="1"/>
    <n v="2"/>
    <n v="2"/>
    <n v="2"/>
    <n v="2"/>
    <n v="2"/>
    <n v="1"/>
    <n v="3"/>
    <n v="3"/>
    <m/>
    <n v="1"/>
    <n v="2"/>
    <n v="8"/>
    <m/>
    <n v="5"/>
    <n v="4"/>
    <n v="4"/>
    <x v="2"/>
    <n v="1990"/>
    <n v="3"/>
    <m/>
    <n v="4"/>
    <m/>
    <n v="4"/>
    <m/>
    <n v="3"/>
    <m/>
    <n v="2"/>
    <n v="1"/>
    <n v="23"/>
    <x v="1"/>
    <n v="2"/>
    <n v="4"/>
    <n v="2"/>
  </r>
  <r>
    <x v="2"/>
    <n v="2"/>
    <n v="2"/>
    <n v="2"/>
    <n v="2"/>
    <n v="1"/>
    <n v="2"/>
    <n v="3"/>
    <n v="3"/>
    <n v="1"/>
    <n v="3"/>
    <n v="1"/>
    <n v="1"/>
    <n v="1"/>
    <n v="1"/>
    <m/>
    <n v="1"/>
    <n v="1"/>
    <n v="1"/>
    <n v="1"/>
    <m/>
    <m/>
    <n v="2"/>
    <m/>
    <n v="1"/>
    <n v="1"/>
    <n v="2"/>
    <n v="2"/>
    <n v="1"/>
    <n v="2"/>
    <n v="2"/>
    <n v="1"/>
    <n v="1"/>
    <n v="1"/>
    <n v="4"/>
    <n v="3"/>
    <n v="3"/>
    <n v="2"/>
    <n v="3"/>
    <n v="1"/>
    <n v="3"/>
    <n v="2"/>
    <n v="2"/>
    <n v="4"/>
    <n v="2"/>
    <m/>
    <m/>
    <n v="2"/>
    <n v="1"/>
    <n v="2"/>
    <n v="2"/>
    <n v="1"/>
    <n v="2"/>
    <n v="2"/>
    <n v="2"/>
    <n v="4"/>
    <m/>
    <m/>
    <n v="1"/>
    <n v="2"/>
    <n v="7"/>
    <m/>
    <n v="1"/>
    <n v="2"/>
    <n v="1"/>
    <x v="2"/>
    <n v="1983"/>
    <n v="1"/>
    <m/>
    <n v="1"/>
    <m/>
    <n v="1"/>
    <m/>
    <n v="4"/>
    <m/>
    <n v="3"/>
    <n v="1"/>
    <n v="30"/>
    <x v="1"/>
    <n v="2"/>
    <n v="3"/>
    <n v="2"/>
  </r>
  <r>
    <x v="3"/>
    <n v="1"/>
    <n v="1"/>
    <n v="2"/>
    <n v="1"/>
    <n v="2"/>
    <n v="2"/>
    <n v="3"/>
    <n v="2"/>
    <n v="1"/>
    <n v="2"/>
    <n v="2"/>
    <n v="1"/>
    <m/>
    <n v="1"/>
    <n v="1"/>
    <n v="1"/>
    <n v="1"/>
    <n v="1"/>
    <m/>
    <m/>
    <m/>
    <n v="2"/>
    <m/>
    <n v="1"/>
    <n v="1"/>
    <n v="1"/>
    <n v="2"/>
    <n v="2"/>
    <n v="2"/>
    <n v="1"/>
    <n v="2"/>
    <n v="2"/>
    <m/>
    <n v="7"/>
    <n v="3"/>
    <n v="3"/>
    <n v="1"/>
    <n v="2"/>
    <n v="3"/>
    <n v="2"/>
    <n v="1"/>
    <n v="3"/>
    <n v="2"/>
    <n v="4"/>
    <m/>
    <m/>
    <n v="1"/>
    <n v="2"/>
    <n v="2"/>
    <n v="1"/>
    <n v="1"/>
    <n v="2"/>
    <n v="2"/>
    <n v="1"/>
    <n v="1"/>
    <n v="6"/>
    <m/>
    <n v="2"/>
    <m/>
    <m/>
    <m/>
    <n v="3"/>
    <n v="3"/>
    <m/>
    <x v="2"/>
    <n v="1967"/>
    <n v="1"/>
    <m/>
    <n v="2"/>
    <m/>
    <n v="3"/>
    <m/>
    <n v="4"/>
    <m/>
    <n v="2"/>
    <n v="1"/>
    <n v="46"/>
    <x v="2"/>
    <n v="3"/>
    <n v="5"/>
    <n v="3"/>
  </r>
  <r>
    <x v="1"/>
    <n v="2"/>
    <n v="1"/>
    <n v="3"/>
    <n v="1"/>
    <n v="2"/>
    <n v="1"/>
    <n v="3"/>
    <n v="1"/>
    <n v="1"/>
    <n v="2"/>
    <n v="1"/>
    <n v="1"/>
    <m/>
    <n v="1"/>
    <m/>
    <m/>
    <m/>
    <n v="1"/>
    <m/>
    <m/>
    <m/>
    <n v="2"/>
    <m/>
    <n v="1"/>
    <n v="1"/>
    <n v="1"/>
    <n v="2"/>
    <n v="2"/>
    <n v="1"/>
    <n v="1"/>
    <n v="2"/>
    <n v="1"/>
    <n v="1"/>
    <n v="4"/>
    <n v="2"/>
    <n v="2"/>
    <n v="2"/>
    <n v="3"/>
    <n v="2"/>
    <n v="4"/>
    <n v="4"/>
    <n v="2"/>
    <n v="1"/>
    <m/>
    <m/>
    <m/>
    <n v="1"/>
    <n v="2"/>
    <n v="1"/>
    <n v="1"/>
    <n v="2"/>
    <n v="1"/>
    <n v="1"/>
    <n v="2"/>
    <n v="4"/>
    <m/>
    <m/>
    <n v="2"/>
    <m/>
    <m/>
    <m/>
    <n v="2"/>
    <n v="2"/>
    <n v="1"/>
    <x v="2"/>
    <n v="1962"/>
    <n v="2"/>
    <m/>
    <n v="3"/>
    <m/>
    <n v="3"/>
    <m/>
    <n v="1"/>
    <m/>
    <n v="1"/>
    <n v="1"/>
    <n v="51"/>
    <x v="2"/>
    <n v="2"/>
    <n v="2"/>
    <n v="2"/>
  </r>
  <r>
    <x v="2"/>
    <n v="3"/>
    <n v="2"/>
    <n v="2"/>
    <n v="2"/>
    <n v="3"/>
    <n v="4"/>
    <n v="2"/>
    <n v="2"/>
    <n v="4"/>
    <n v="1"/>
    <n v="1"/>
    <n v="2"/>
    <m/>
    <m/>
    <m/>
    <n v="1"/>
    <m/>
    <n v="1"/>
    <m/>
    <m/>
    <m/>
    <n v="2"/>
    <m/>
    <n v="2"/>
    <n v="2"/>
    <n v="1"/>
    <n v="2"/>
    <n v="2"/>
    <n v="1"/>
    <n v="2"/>
    <n v="2"/>
    <n v="2"/>
    <m/>
    <n v="2"/>
    <n v="1"/>
    <n v="1"/>
    <n v="1"/>
    <n v="3"/>
    <n v="3"/>
    <n v="1"/>
    <n v="8"/>
    <n v="1"/>
    <n v="3"/>
    <n v="2"/>
    <m/>
    <m/>
    <n v="1"/>
    <n v="2"/>
    <n v="1"/>
    <n v="1"/>
    <n v="1"/>
    <n v="1"/>
    <n v="1"/>
    <n v="1"/>
    <n v="1"/>
    <n v="7"/>
    <m/>
    <n v="1"/>
    <n v="2"/>
    <n v="6"/>
    <m/>
    <n v="1"/>
    <n v="3"/>
    <n v="3"/>
    <x v="2"/>
    <n v="1994"/>
    <n v="3"/>
    <m/>
    <n v="3"/>
    <m/>
    <n v="2"/>
    <m/>
    <n v="2"/>
    <m/>
    <n v="4"/>
    <n v="1"/>
    <n v="19"/>
    <x v="1"/>
    <n v="2"/>
    <n v="4"/>
    <n v="2"/>
  </r>
  <r>
    <x v="4"/>
    <n v="2"/>
    <n v="4"/>
    <n v="2"/>
    <n v="3"/>
    <n v="2"/>
    <n v="1"/>
    <n v="4"/>
    <n v="1"/>
    <n v="4"/>
    <n v="4"/>
    <n v="2"/>
    <n v="2"/>
    <m/>
    <m/>
    <n v="1"/>
    <n v="1"/>
    <m/>
    <m/>
    <n v="1"/>
    <m/>
    <m/>
    <n v="1"/>
    <m/>
    <n v="2"/>
    <n v="2"/>
    <n v="1"/>
    <n v="2"/>
    <n v="2"/>
    <n v="2"/>
    <n v="1"/>
    <n v="2"/>
    <n v="1"/>
    <n v="2"/>
    <n v="3"/>
    <n v="1"/>
    <n v="2"/>
    <n v="3"/>
    <n v="4"/>
    <n v="2"/>
    <n v="3"/>
    <n v="8"/>
    <n v="4"/>
    <n v="2"/>
    <n v="1"/>
    <m/>
    <m/>
    <n v="1"/>
    <n v="1"/>
    <n v="1"/>
    <n v="1"/>
    <n v="1"/>
    <n v="1"/>
    <n v="1"/>
    <n v="2"/>
    <n v="3"/>
    <n v="2"/>
    <m/>
    <n v="2"/>
    <m/>
    <m/>
    <m/>
    <n v="3"/>
    <n v="2"/>
    <n v="2"/>
    <x v="1"/>
    <n v="1983"/>
    <n v="2"/>
    <m/>
    <n v="2"/>
    <m/>
    <n v="1"/>
    <m/>
    <n v="3"/>
    <m/>
    <n v="1"/>
    <n v="1"/>
    <n v="30"/>
    <x v="1"/>
    <n v="2"/>
    <n v="4"/>
    <n v="2"/>
  </r>
  <r>
    <x v="4"/>
    <n v="3"/>
    <n v="1"/>
    <n v="4"/>
    <n v="2"/>
    <n v="3"/>
    <n v="2"/>
    <n v="4"/>
    <n v="4"/>
    <n v="3"/>
    <n v="1"/>
    <n v="2"/>
    <n v="2"/>
    <n v="1"/>
    <n v="1"/>
    <m/>
    <n v="1"/>
    <n v="1"/>
    <n v="1"/>
    <m/>
    <m/>
    <m/>
    <n v="1"/>
    <m/>
    <n v="2"/>
    <n v="2"/>
    <n v="1"/>
    <n v="2"/>
    <n v="2"/>
    <n v="1"/>
    <n v="2"/>
    <n v="2"/>
    <n v="2"/>
    <m/>
    <n v="1"/>
    <n v="4"/>
    <n v="3"/>
    <n v="2"/>
    <n v="1"/>
    <n v="3"/>
    <n v="2"/>
    <n v="8"/>
    <n v="2"/>
    <n v="1"/>
    <m/>
    <m/>
    <m/>
    <n v="2"/>
    <n v="1"/>
    <n v="2"/>
    <n v="2"/>
    <n v="1"/>
    <n v="2"/>
    <n v="1"/>
    <n v="1"/>
    <n v="2"/>
    <n v="2"/>
    <m/>
    <n v="1"/>
    <n v="1"/>
    <n v="1"/>
    <m/>
    <n v="8"/>
    <n v="3"/>
    <n v="5"/>
    <x v="1"/>
    <n v="1975"/>
    <n v="3"/>
    <m/>
    <n v="2"/>
    <m/>
    <n v="4"/>
    <m/>
    <n v="2"/>
    <m/>
    <n v="3"/>
    <n v="1"/>
    <n v="38"/>
    <x v="1"/>
    <n v="2"/>
    <n v="2"/>
    <n v="1"/>
  </r>
  <r>
    <x v="4"/>
    <n v="2"/>
    <n v="2"/>
    <n v="4"/>
    <n v="3"/>
    <n v="2"/>
    <n v="3"/>
    <n v="4"/>
    <n v="1"/>
    <n v="2"/>
    <n v="2"/>
    <n v="1"/>
    <n v="1"/>
    <m/>
    <m/>
    <n v="1"/>
    <m/>
    <m/>
    <n v="1"/>
    <m/>
    <n v="1"/>
    <m/>
    <n v="1"/>
    <m/>
    <n v="2"/>
    <n v="2"/>
    <n v="1"/>
    <n v="1"/>
    <n v="2"/>
    <n v="2"/>
    <n v="2"/>
    <n v="2"/>
    <n v="2"/>
    <m/>
    <n v="2"/>
    <n v="1"/>
    <n v="4"/>
    <n v="2"/>
    <n v="2"/>
    <n v="2"/>
    <n v="1"/>
    <n v="8"/>
    <n v="3"/>
    <n v="3"/>
    <n v="3"/>
    <m/>
    <m/>
    <n v="2"/>
    <n v="2"/>
    <n v="2"/>
    <n v="2"/>
    <n v="2"/>
    <n v="2"/>
    <n v="1"/>
    <n v="1"/>
    <n v="2"/>
    <n v="3"/>
    <m/>
    <n v="1"/>
    <n v="2"/>
    <n v="5"/>
    <m/>
    <n v="2"/>
    <n v="2"/>
    <n v="5"/>
    <x v="1"/>
    <n v="1979"/>
    <n v="3"/>
    <m/>
    <n v="1"/>
    <m/>
    <n v="1"/>
    <m/>
    <n v="1"/>
    <m/>
    <n v="2"/>
    <n v="1"/>
    <n v="34"/>
    <x v="1"/>
    <n v="1"/>
    <n v="1"/>
    <n v="1"/>
  </r>
  <r>
    <x v="4"/>
    <n v="3"/>
    <n v="2"/>
    <n v="2"/>
    <n v="2"/>
    <n v="4"/>
    <n v="2"/>
    <n v="1"/>
    <n v="4"/>
    <n v="2"/>
    <n v="3"/>
    <n v="1"/>
    <n v="2"/>
    <m/>
    <m/>
    <n v="1"/>
    <m/>
    <m/>
    <m/>
    <m/>
    <m/>
    <m/>
    <n v="1"/>
    <m/>
    <n v="2"/>
    <n v="2"/>
    <n v="2"/>
    <n v="1"/>
    <n v="2"/>
    <n v="1"/>
    <n v="1"/>
    <n v="1"/>
    <n v="2"/>
    <m/>
    <n v="3"/>
    <n v="2"/>
    <n v="1"/>
    <n v="2"/>
    <n v="4"/>
    <n v="4"/>
    <n v="4"/>
    <n v="3"/>
    <n v="8"/>
    <n v="1"/>
    <m/>
    <m/>
    <m/>
    <n v="2"/>
    <n v="2"/>
    <n v="2"/>
    <n v="2"/>
    <n v="2"/>
    <n v="2"/>
    <n v="2"/>
    <n v="2"/>
    <n v="3"/>
    <n v="5"/>
    <m/>
    <n v="2"/>
    <m/>
    <m/>
    <m/>
    <n v="1"/>
    <n v="1"/>
    <n v="5"/>
    <x v="1"/>
    <n v="1957"/>
    <n v="3"/>
    <m/>
    <n v="1"/>
    <m/>
    <n v="3"/>
    <m/>
    <n v="4"/>
    <m/>
    <n v="3"/>
    <n v="1"/>
    <n v="56"/>
    <x v="2"/>
    <n v="1"/>
    <n v="1"/>
    <n v="1"/>
  </r>
  <r>
    <x v="2"/>
    <n v="2"/>
    <n v="3"/>
    <n v="4"/>
    <n v="4"/>
    <n v="2"/>
    <n v="1"/>
    <n v="2"/>
    <n v="1"/>
    <n v="3"/>
    <n v="1"/>
    <n v="2"/>
    <n v="1"/>
    <n v="1"/>
    <n v="1"/>
    <n v="1"/>
    <m/>
    <m/>
    <m/>
    <n v="1"/>
    <m/>
    <m/>
    <n v="1"/>
    <m/>
    <n v="1"/>
    <n v="2"/>
    <n v="1"/>
    <n v="1"/>
    <n v="1"/>
    <n v="2"/>
    <n v="2"/>
    <n v="1"/>
    <n v="1"/>
    <n v="2"/>
    <n v="1"/>
    <n v="3"/>
    <n v="7"/>
    <n v="3"/>
    <n v="1"/>
    <n v="2"/>
    <n v="2"/>
    <n v="2"/>
    <n v="2"/>
    <n v="4"/>
    <n v="4"/>
    <m/>
    <m/>
    <n v="1"/>
    <n v="1"/>
    <n v="1"/>
    <n v="2"/>
    <n v="2"/>
    <n v="1"/>
    <n v="2"/>
    <n v="2"/>
    <n v="3"/>
    <n v="98"/>
    <m/>
    <n v="1"/>
    <n v="4"/>
    <n v="4"/>
    <m/>
    <n v="2"/>
    <n v="3"/>
    <m/>
    <x v="2"/>
    <n v="1946"/>
    <n v="2"/>
    <m/>
    <n v="5"/>
    <m/>
    <n v="2"/>
    <m/>
    <n v="2"/>
    <m/>
    <n v="2"/>
    <n v="1"/>
    <n v="67"/>
    <x v="3"/>
    <n v="2"/>
    <n v="4"/>
    <n v="3"/>
  </r>
  <r>
    <x v="2"/>
    <n v="3"/>
    <n v="2"/>
    <n v="3"/>
    <n v="2"/>
    <n v="3"/>
    <n v="1"/>
    <n v="3"/>
    <n v="2"/>
    <n v="2"/>
    <n v="2"/>
    <n v="2"/>
    <n v="2"/>
    <n v="1"/>
    <m/>
    <m/>
    <m/>
    <n v="1"/>
    <n v="1"/>
    <m/>
    <m/>
    <m/>
    <n v="1"/>
    <m/>
    <n v="1"/>
    <n v="2"/>
    <n v="2"/>
    <n v="2"/>
    <n v="1"/>
    <n v="1"/>
    <n v="1"/>
    <n v="1"/>
    <n v="2"/>
    <m/>
    <n v="2"/>
    <n v="1"/>
    <n v="4"/>
    <n v="3"/>
    <n v="3"/>
    <n v="3"/>
    <n v="3"/>
    <n v="1"/>
    <n v="1"/>
    <n v="1"/>
    <m/>
    <m/>
    <m/>
    <n v="1"/>
    <n v="2"/>
    <n v="1"/>
    <n v="1"/>
    <n v="1"/>
    <n v="1"/>
    <n v="1"/>
    <n v="1"/>
    <n v="2"/>
    <n v="1"/>
    <m/>
    <n v="1"/>
    <n v="2"/>
    <n v="98"/>
    <m/>
    <n v="3"/>
    <n v="2"/>
    <n v="1"/>
    <x v="1"/>
    <n v="1947"/>
    <n v="1"/>
    <m/>
    <n v="6"/>
    <m/>
    <n v="4"/>
    <m/>
    <n v="1"/>
    <m/>
    <n v="2"/>
    <n v="1"/>
    <n v="66"/>
    <x v="3"/>
    <n v="2"/>
    <n v="3"/>
    <n v="2"/>
  </r>
  <r>
    <x v="2"/>
    <n v="2"/>
    <n v="2"/>
    <n v="2"/>
    <n v="3"/>
    <n v="2"/>
    <n v="2"/>
    <n v="2"/>
    <n v="3"/>
    <n v="3"/>
    <n v="4"/>
    <n v="2"/>
    <n v="1"/>
    <m/>
    <n v="1"/>
    <n v="1"/>
    <n v="1"/>
    <m/>
    <m/>
    <m/>
    <m/>
    <m/>
    <n v="2"/>
    <m/>
    <n v="1"/>
    <n v="2"/>
    <n v="1"/>
    <n v="2"/>
    <n v="1"/>
    <n v="2"/>
    <n v="2"/>
    <n v="1"/>
    <n v="2"/>
    <m/>
    <n v="3"/>
    <n v="7"/>
    <n v="1"/>
    <n v="1"/>
    <n v="2"/>
    <n v="2"/>
    <n v="2"/>
    <n v="3"/>
    <n v="3"/>
    <n v="2"/>
    <n v="3"/>
    <m/>
    <m/>
    <n v="2"/>
    <n v="1"/>
    <n v="1"/>
    <n v="1"/>
    <n v="2"/>
    <n v="2"/>
    <n v="2"/>
    <n v="2"/>
    <n v="4"/>
    <m/>
    <m/>
    <n v="2"/>
    <m/>
    <m/>
    <m/>
    <n v="5"/>
    <n v="4"/>
    <n v="3"/>
    <x v="2"/>
    <n v="1984"/>
    <n v="3"/>
    <m/>
    <n v="4"/>
    <m/>
    <n v="6"/>
    <m/>
    <n v="3"/>
    <m/>
    <n v="1"/>
    <n v="1"/>
    <n v="29"/>
    <x v="1"/>
    <n v="2"/>
    <n v="4"/>
    <n v="2"/>
  </r>
  <r>
    <x v="2"/>
    <n v="2"/>
    <n v="1"/>
    <n v="1"/>
    <n v="2"/>
    <n v="1"/>
    <n v="4"/>
    <n v="1"/>
    <n v="3"/>
    <n v="1"/>
    <n v="1"/>
    <n v="1"/>
    <n v="2"/>
    <n v="1"/>
    <m/>
    <n v="1"/>
    <m/>
    <m/>
    <n v="1"/>
    <n v="1"/>
    <m/>
    <m/>
    <n v="2"/>
    <m/>
    <n v="2"/>
    <n v="1"/>
    <n v="2"/>
    <n v="1"/>
    <n v="1"/>
    <n v="1"/>
    <n v="1"/>
    <n v="2"/>
    <n v="1"/>
    <n v="1"/>
    <n v="4"/>
    <n v="1"/>
    <n v="2"/>
    <n v="1"/>
    <n v="2"/>
    <n v="1"/>
    <n v="1"/>
    <n v="2"/>
    <n v="8"/>
    <n v="3"/>
    <n v="2"/>
    <m/>
    <m/>
    <n v="1"/>
    <n v="2"/>
    <n v="2"/>
    <n v="2"/>
    <n v="2"/>
    <n v="2"/>
    <n v="1"/>
    <n v="1"/>
    <n v="1"/>
    <n v="8"/>
    <m/>
    <n v="2"/>
    <m/>
    <m/>
    <m/>
    <n v="3"/>
    <n v="3"/>
    <n v="1"/>
    <x v="1"/>
    <n v="1989"/>
    <n v="2"/>
    <m/>
    <n v="7"/>
    <m/>
    <n v="4"/>
    <m/>
    <n v="2"/>
    <m/>
    <n v="2"/>
    <n v="1"/>
    <n v="24"/>
    <x v="1"/>
    <n v="2"/>
    <n v="2"/>
    <n v="2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7"/>
    <m/>
    <m/>
    <m/>
    <m/>
    <m/>
    <m/>
    <m/>
    <m/>
    <m/>
    <n v="1"/>
    <n v="26"/>
    <x v="1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3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1"/>
    <m/>
    <m/>
    <m/>
    <m/>
    <m/>
    <m/>
    <m/>
    <m/>
    <m/>
    <n v="1"/>
    <n v="32"/>
    <x v="1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70"/>
    <m/>
    <m/>
    <m/>
    <m/>
    <m/>
    <m/>
    <m/>
    <m/>
    <m/>
    <n v="1"/>
    <n v="43"/>
    <x v="2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</pivotCacheRecords>
</file>

<file path=xl/pivotCache/pivotCacheRecords26.xml><?xml version="1.0" encoding="utf-8"?>
<pivotCacheRecords xmlns="http://schemas.openxmlformats.org/spreadsheetml/2006/main" xmlns:r="http://schemas.openxmlformats.org/officeDocument/2006/relationships" count="632">
  <r>
    <x v="0"/>
    <s v="Dans votre quartier, les problèmes liés à la criminalité sont … ?"/>
    <s v="Dans votre quartier, les problèmes causés par les gens qui traînent dans les lieux publics sont … ?"/>
    <s v="Dans votre quartier, les actes de vandalisme sont … ?"/>
    <s v="Dans votre quartier, les conflits entre les groupes d'origines ethniques différentes sont … ?"/>
    <s v="Dans votre quartier, les conflits entre d'autres groupes d'individus sont … ?"/>
    <s v="Dans votre quartier, les graffiti sont … ?"/>
    <s v="Dans votre quartier, les immeubles ou bâtiments abandonnés ou mal entretenus sont... ?"/>
    <s v="Dans votre quartier, le niveau d'entraide entre les personnes est... ?"/>
    <s v="Dans votre quartier, le niveau de confiance qui règne entre la plupart des personnes est... ?"/>
    <s v="Dans votre quartier, les comportements des jeunes ou des groupes de jeunes sont-ils pour vous une source de menace ou d'insécurité ?"/>
    <s v="Y a-t-il d'autres individus ou des groupes d'individus dont les comportements sont pour vous une source de menace ou d'insécurité ?"/>
    <s v="De quel type ou groupe d'individus s'agit-il ?  Toxicomanes ou revendeur de drogue"/>
    <s v="De quel type ou groupe d'individus s'agit-il ? Gangs de motards / milieu criminel"/>
    <s v="De quel type ou groupe d'individus s'agit-il ? Sollicitation (vendeurs, mouvements religieux, ex-détenus, etc.)"/>
    <s v="De quel type ou groupe d'individus s'agit-il ? Itinérants"/>
    <s v="De quel type ou groupe d'individus s'agit-il ? Individus ou groupes d'individus en état d'ébriété"/>
    <s v="De quel type ou groupe d'individus s'agit-il ? Personnes d'une communauté culturelle différente de la mienne"/>
    <s v="De quel type ou groupe d'individus s'agit-il ? Voisins"/>
    <s v="De quel type ou groupe d'individus s'agit-il ? Autre"/>
    <s v="De quel type ou groupe d'individus s'agit-il ? Autre, précisez"/>
    <s v="Y a-t-il dans votre quartier des endroits que vous évitez de fréquenter pour des raisons de sécurité ?"/>
    <s v="Lesquels ?"/>
    <s v="Veuillez répondre à chacun des énoncés suivants. Quand je me déplace dans mon quartier, j'apporte habituellement quelque chose pour assurer ma protection. "/>
    <s v="Veuillez répondre à chacun des énoncés suivants. Lorsque je suis dans mon quartier, je vérifie qu'aucun intrus ne se trouve à l'intérieur de ma voiture avant d'y monter."/>
    <s v="Veuillez répondre à chacun des énoncés suivants. À mon domicile, j'évite d'ouvrir la porte à des inconnus, pour des raisons de sécurité. "/>
    <s v="Veuillez répondre à chacun des énoncés suivants. Je garde les portes extérieures de mon domicile constamment verrouillées, même lorsque je suis chez moi. "/>
    <s v="Veuillez répondre à chacun des énoncés suivants. Spécialement par mesure de protection, il y a un chien à mon domicile. "/>
    <s v="Veuillez répondre à chacun des énoncés suivants. J'ai un système d'alarme que j'active régulièrement pour protéger mon domicile contre le vol."/>
    <s v="Veuillez répondre à chacun des énoncés suivants. Spécialement par mesure de protection, j'ai suivi un cours d'autodéfense. "/>
    <s v="Veuillez répondre à chacun des énoncés suivants. Spécialement par mesure de protection, il y a une arme à feu à mon domicile. "/>
    <s v="Est-ce qu'il y a à votre domicile au moins un détecteur de fumée fonctionnel par étage ? "/>
    <s v="Le bon fonctionnement de cet/ces appareil(s) a-t-il été vérifié, au cours des douze (12) derniers mois ?"/>
    <s v="Veuillez nous dire votre degré de satisfaction à l'égard : du déneigement et du déglaçage des rues et des trottoirs de votre quartier ? "/>
    <s v="Veuillez nous dire votre degré de satisfaction à l'égard :  de la propreté et de l'entretien des parcs et terrains de jeux de votre quartier ?"/>
    <s v="Veuillez nous dire votre degré de satisfaction à l'égard :  de la sécurité des équipements dans les parcs, aires de jeux ou centre récréatif ou sportif de votre quartier ? "/>
    <s v="Votre quartier est-il desservi par un service de police municipal, une régie intermunicipale ou par la Sûreté du Québec ?"/>
    <s v="Quel est votre niveau de satisfaction à l'égard de la présence des policiers dans votre quartier ?"/>
    <s v="Quel est votre niveau de satisfaction à l'égard du travail effectué par les policiers dans votre quartier ?"/>
    <s v="De façon plus spécifique, quel est votre niveau de satisfaction à l'égard du travail effectué par les policiers : auprès des jeunes de votre quartier"/>
    <s v="De façon plus spécifique, quel est votre niveau de satisfaction à l'égard du travail effectué par les policiers : pour assurer la sécurité routière dans votre quartier"/>
    <s v="De façon plus spécifique, quel est votre niveau de satisfaction à l'égard du travail effectué par les policiers : pour régler des problèmes de délinquance ou de désordres qui surviennent dans votre quartier"/>
    <s v="Au cours des deux dernières années, combien de fois avez-vous fait appel au service de police qui dessert votre quartier ?"/>
    <s v="En vous référant à l'événement le plus récent, quel est votre niveau de satisfaction à l'égard de la réponse que vous avez reçue ?"/>
    <s v="Pourquoi ? Peu"/>
    <s v="Pourquoi ? Pas"/>
    <s v="Au cours des deux dernières années, vous êtes vous IMPLIQUÉ SUR UNE BASE RÉGULIÈRE dans les activités suivantes de votre quartier : Dans un comité ou un organisme préoccupé par les problèmes de sécurité de votre quartier ?"/>
    <s v="Au cours des deux dernières années, vous êtes vous IMPLIQUÉ SUR UNE BASE RÉGULIÈRE dans les activités suivantes de votre quartier : Dans des assemblées du conseil municipal ?"/>
    <s v="Au cours des deux dernières années, vous êtes vous IMPLIQUÉ SUR UNE BASE RÉGULIÈRE dans les activités suivantes de votre quartier : Dans un conseil de quartier ou d'arrondissement ?"/>
    <s v="Au cours des deux dernières années, vous êtes vous IMPLIQUÉ SUR UNE BASE RÉGULIÈRE dans les activités suivantes de votre quartier : Dans un comité de citoyens ?"/>
    <s v="Au cours des deux dernières années, vous êtes vous IMPLIQUÉ SUR UNE BASE RÉGULIÈRE dans les activités suivantes de votre quartier : Dans des activités communautaires, d'entraide ou de bénévolat (cuisine communautaire, bazar)"/>
    <s v="Au cours des deux dernières années, vous êtes vous IMPLIQUÉ SUR UNE BASE RÉGULIÈRE dans les activités suivantes de votre quartier : Dans des activités sociales, culturelles ou sportives organisées par les gens de votre quartier ou de votre municipalité ?"/>
    <s v="Au cours des deux dernières années, avez-vous été victime de vol, de vandalisme ou de tout autre crime contre vos biens, chez vous ou dans votre quartier ?"/>
    <s v="Au cours des deux dernières années, avez-vous été victime d'une agression, d'intimidation ou de tout autre acte de violence, chez vous ou dans votre quartier ?"/>
    <s v="Au cours des deux dernières années avez-vous été victime dans votre quartier d'une quelconque forme de discrimination ?"/>
    <s v="À votre avis, le motif de cette discrimination était lié …"/>
    <s v="Autre, précisez :"/>
    <s v="Au cours des deux dernières années, avez-vous subi un accident qui vous a occasionné une blessure pour laquelle vous avez dû consulter un professionnel de la santé ou limiter vos activités ?"/>
    <s v="Combien de fois cela s'est-il produit ?"/>
    <s v="En se référant au dernier événement, était-ce … ?"/>
    <s v="Autre, précisez :"/>
    <s v="Maintenant, comparativement à d'autres personnes de votre âge, dirirez-vous que votre santé est en général …"/>
    <s v="Dans quel quartier habitez-vous ?"/>
    <s v="Combien de personne de moins de 18 ans habitent dans votre foyer ?"/>
    <x v="0"/>
    <s v="Quelle est votre année de naissance ?"/>
    <s v="Êtes-vous propriétaire ou locataire du logement que vous habitez ?"/>
    <s v="Autre, précisez : "/>
    <s v="Habitez-vous dans …"/>
    <s v="Autre, précisez : "/>
    <s v="Quel est votre état civil ?"/>
    <s v="Autre, précisez : "/>
    <s v="Où est situé votre lieu de travail habituel ?"/>
    <s v="Autre, précisez : "/>
    <s v="Quel est le plus haut niveau de scolarité que vous avez complété ?"/>
    <m/>
    <m/>
    <x v="0"/>
    <m/>
    <m/>
    <m/>
  </r>
  <r>
    <x v="1"/>
    <n v="3"/>
    <n v="3"/>
    <n v="2"/>
    <n v="1"/>
    <n v="2"/>
    <n v="2"/>
    <n v="4"/>
    <n v="3"/>
    <n v="1"/>
    <n v="1"/>
    <n v="1"/>
    <m/>
    <n v="1"/>
    <m/>
    <n v="1"/>
    <n v="1"/>
    <n v="1"/>
    <n v="1"/>
    <m/>
    <m/>
    <n v="1"/>
    <m/>
    <n v="2"/>
    <n v="2"/>
    <n v="1"/>
    <n v="1"/>
    <n v="1"/>
    <n v="2"/>
    <n v="1"/>
    <n v="2"/>
    <n v="2"/>
    <m/>
    <n v="1"/>
    <n v="7"/>
    <n v="4"/>
    <n v="8"/>
    <n v="1"/>
    <n v="4"/>
    <n v="8"/>
    <n v="2"/>
    <n v="2"/>
    <n v="1"/>
    <m/>
    <m/>
    <m/>
    <n v="1"/>
    <n v="2"/>
    <n v="1"/>
    <n v="2"/>
    <n v="2"/>
    <n v="1"/>
    <n v="1"/>
    <n v="2"/>
    <n v="1"/>
    <n v="2"/>
    <m/>
    <n v="1"/>
    <n v="4"/>
    <n v="5"/>
    <m/>
    <n v="2"/>
    <n v="4"/>
    <n v="5"/>
    <x v="1"/>
    <n v="1981"/>
    <n v="2"/>
    <m/>
    <n v="7"/>
    <m/>
    <n v="1"/>
    <m/>
    <n v="1"/>
    <m/>
    <n v="4"/>
    <n v="1"/>
    <n v="32"/>
    <x v="1"/>
    <n v="1"/>
    <n v="1"/>
    <n v="1"/>
  </r>
  <r>
    <x v="1"/>
    <n v="2"/>
    <n v="2"/>
    <n v="2"/>
    <n v="1"/>
    <n v="2"/>
    <n v="1"/>
    <n v="2"/>
    <n v="2"/>
    <n v="1"/>
    <n v="2"/>
    <n v="1"/>
    <m/>
    <m/>
    <n v="1"/>
    <m/>
    <n v="1"/>
    <m/>
    <n v="1"/>
    <m/>
    <m/>
    <n v="2"/>
    <m/>
    <n v="1"/>
    <n v="1"/>
    <n v="2"/>
    <n v="1"/>
    <n v="1"/>
    <n v="1"/>
    <n v="1"/>
    <n v="1"/>
    <n v="1"/>
    <n v="1"/>
    <n v="2"/>
    <n v="4"/>
    <n v="1"/>
    <n v="1"/>
    <n v="4"/>
    <n v="8"/>
    <n v="1"/>
    <n v="4"/>
    <n v="1"/>
    <n v="2"/>
    <n v="1"/>
    <m/>
    <m/>
    <n v="2"/>
    <n v="1"/>
    <n v="1"/>
    <n v="2"/>
    <n v="2"/>
    <n v="1"/>
    <n v="2"/>
    <n v="1"/>
    <n v="2"/>
    <n v="1"/>
    <m/>
    <n v="2"/>
    <m/>
    <m/>
    <m/>
    <n v="4"/>
    <n v="1"/>
    <n v="2"/>
    <x v="2"/>
    <n v="1970"/>
    <n v="1"/>
    <m/>
    <n v="5"/>
    <m/>
    <n v="2"/>
    <m/>
    <n v="2"/>
    <m/>
    <n v="1"/>
    <n v="1"/>
    <n v="43"/>
    <x v="2"/>
    <n v="2"/>
    <n v="3"/>
    <n v="2"/>
  </r>
  <r>
    <x v="1"/>
    <n v="2"/>
    <n v="1"/>
    <n v="2"/>
    <n v="1"/>
    <n v="3"/>
    <n v="2"/>
    <n v="3"/>
    <n v="1"/>
    <n v="2"/>
    <n v="1"/>
    <n v="2"/>
    <n v="1"/>
    <m/>
    <m/>
    <m/>
    <n v="1"/>
    <n v="1"/>
    <m/>
    <n v="1"/>
    <m/>
    <n v="2"/>
    <m/>
    <n v="1"/>
    <n v="1"/>
    <n v="2"/>
    <n v="1"/>
    <n v="1"/>
    <n v="1"/>
    <n v="2"/>
    <n v="1"/>
    <n v="1"/>
    <n v="2"/>
    <n v="3"/>
    <n v="1"/>
    <n v="2"/>
    <n v="3"/>
    <n v="2"/>
    <n v="1"/>
    <n v="2"/>
    <n v="3"/>
    <n v="4"/>
    <n v="3"/>
    <n v="3"/>
    <m/>
    <m/>
    <n v="2"/>
    <n v="1"/>
    <n v="2"/>
    <n v="2"/>
    <n v="2"/>
    <n v="2"/>
    <n v="2"/>
    <n v="1"/>
    <n v="3"/>
    <n v="3"/>
    <m/>
    <n v="1"/>
    <n v="2"/>
    <n v="8"/>
    <m/>
    <n v="5"/>
    <n v="4"/>
    <n v="4"/>
    <x v="2"/>
    <n v="1990"/>
    <n v="3"/>
    <m/>
    <n v="4"/>
    <m/>
    <n v="4"/>
    <m/>
    <n v="3"/>
    <m/>
    <n v="2"/>
    <n v="1"/>
    <n v="23"/>
    <x v="1"/>
    <n v="2"/>
    <n v="4"/>
    <n v="2"/>
  </r>
  <r>
    <x v="2"/>
    <n v="2"/>
    <n v="2"/>
    <n v="2"/>
    <n v="1"/>
    <n v="2"/>
    <n v="3"/>
    <n v="3"/>
    <n v="1"/>
    <n v="3"/>
    <n v="1"/>
    <n v="1"/>
    <n v="1"/>
    <n v="1"/>
    <m/>
    <n v="1"/>
    <n v="1"/>
    <n v="1"/>
    <n v="1"/>
    <m/>
    <m/>
    <n v="2"/>
    <m/>
    <n v="1"/>
    <n v="1"/>
    <n v="2"/>
    <n v="2"/>
    <n v="1"/>
    <n v="2"/>
    <n v="2"/>
    <n v="1"/>
    <n v="1"/>
    <n v="1"/>
    <n v="4"/>
    <n v="3"/>
    <n v="3"/>
    <n v="2"/>
    <n v="3"/>
    <n v="1"/>
    <n v="3"/>
    <n v="2"/>
    <n v="2"/>
    <n v="4"/>
    <n v="2"/>
    <m/>
    <m/>
    <n v="2"/>
    <n v="1"/>
    <n v="2"/>
    <n v="2"/>
    <n v="1"/>
    <n v="2"/>
    <n v="2"/>
    <n v="2"/>
    <n v="4"/>
    <m/>
    <m/>
    <n v="1"/>
    <n v="2"/>
    <n v="7"/>
    <m/>
    <n v="1"/>
    <n v="2"/>
    <n v="1"/>
    <x v="2"/>
    <n v="1983"/>
    <n v="1"/>
    <m/>
    <n v="1"/>
    <m/>
    <n v="1"/>
    <m/>
    <n v="4"/>
    <m/>
    <n v="3"/>
    <n v="1"/>
    <n v="30"/>
    <x v="1"/>
    <n v="2"/>
    <n v="3"/>
    <n v="2"/>
  </r>
  <r>
    <x v="3"/>
    <n v="1"/>
    <n v="2"/>
    <n v="1"/>
    <n v="2"/>
    <n v="2"/>
    <n v="3"/>
    <n v="2"/>
    <n v="1"/>
    <n v="2"/>
    <n v="2"/>
    <n v="1"/>
    <m/>
    <n v="1"/>
    <n v="1"/>
    <n v="1"/>
    <n v="1"/>
    <n v="1"/>
    <m/>
    <m/>
    <m/>
    <n v="2"/>
    <m/>
    <n v="1"/>
    <n v="1"/>
    <n v="1"/>
    <n v="2"/>
    <n v="2"/>
    <n v="2"/>
    <n v="1"/>
    <n v="2"/>
    <n v="2"/>
    <m/>
    <n v="7"/>
    <n v="3"/>
    <n v="3"/>
    <n v="1"/>
    <n v="2"/>
    <n v="3"/>
    <n v="2"/>
    <n v="1"/>
    <n v="3"/>
    <n v="2"/>
    <n v="4"/>
    <m/>
    <m/>
    <n v="1"/>
    <n v="2"/>
    <n v="2"/>
    <n v="1"/>
    <n v="1"/>
    <n v="2"/>
    <n v="2"/>
    <n v="1"/>
    <n v="1"/>
    <n v="6"/>
    <m/>
    <n v="2"/>
    <m/>
    <m/>
    <m/>
    <n v="3"/>
    <n v="3"/>
    <m/>
    <x v="2"/>
    <n v="1967"/>
    <n v="1"/>
    <m/>
    <n v="2"/>
    <m/>
    <n v="3"/>
    <m/>
    <n v="4"/>
    <m/>
    <n v="2"/>
    <n v="1"/>
    <n v="46"/>
    <x v="2"/>
    <n v="3"/>
    <n v="5"/>
    <n v="3"/>
  </r>
  <r>
    <x v="2"/>
    <n v="1"/>
    <n v="3"/>
    <n v="1"/>
    <n v="2"/>
    <n v="1"/>
    <n v="3"/>
    <n v="1"/>
    <n v="1"/>
    <n v="2"/>
    <n v="1"/>
    <n v="1"/>
    <m/>
    <n v="1"/>
    <m/>
    <m/>
    <m/>
    <n v="1"/>
    <m/>
    <m/>
    <m/>
    <n v="2"/>
    <m/>
    <n v="1"/>
    <n v="1"/>
    <n v="1"/>
    <n v="2"/>
    <n v="2"/>
    <n v="1"/>
    <n v="1"/>
    <n v="2"/>
    <n v="1"/>
    <n v="1"/>
    <n v="4"/>
    <n v="2"/>
    <n v="2"/>
    <n v="2"/>
    <n v="3"/>
    <n v="2"/>
    <n v="4"/>
    <n v="4"/>
    <n v="2"/>
    <n v="1"/>
    <m/>
    <m/>
    <m/>
    <n v="1"/>
    <n v="2"/>
    <n v="1"/>
    <n v="1"/>
    <n v="2"/>
    <n v="1"/>
    <n v="1"/>
    <n v="2"/>
    <n v="4"/>
    <m/>
    <m/>
    <n v="2"/>
    <m/>
    <m/>
    <m/>
    <n v="2"/>
    <n v="2"/>
    <n v="1"/>
    <x v="2"/>
    <n v="1962"/>
    <n v="2"/>
    <m/>
    <n v="3"/>
    <m/>
    <n v="3"/>
    <m/>
    <n v="1"/>
    <m/>
    <n v="1"/>
    <n v="1"/>
    <n v="51"/>
    <x v="2"/>
    <n v="2"/>
    <n v="2"/>
    <n v="2"/>
  </r>
  <r>
    <x v="4"/>
    <n v="2"/>
    <n v="2"/>
    <n v="2"/>
    <n v="3"/>
    <n v="4"/>
    <n v="2"/>
    <n v="2"/>
    <n v="4"/>
    <n v="1"/>
    <n v="1"/>
    <n v="2"/>
    <m/>
    <m/>
    <m/>
    <n v="1"/>
    <m/>
    <n v="1"/>
    <m/>
    <m/>
    <m/>
    <n v="2"/>
    <m/>
    <n v="2"/>
    <n v="2"/>
    <n v="1"/>
    <n v="2"/>
    <n v="2"/>
    <n v="1"/>
    <n v="2"/>
    <n v="2"/>
    <n v="2"/>
    <m/>
    <n v="2"/>
    <n v="1"/>
    <n v="1"/>
    <n v="1"/>
    <n v="3"/>
    <n v="3"/>
    <n v="1"/>
    <n v="8"/>
    <n v="1"/>
    <n v="3"/>
    <n v="2"/>
    <m/>
    <m/>
    <n v="1"/>
    <n v="2"/>
    <n v="1"/>
    <n v="1"/>
    <n v="1"/>
    <n v="1"/>
    <n v="1"/>
    <n v="1"/>
    <n v="1"/>
    <n v="7"/>
    <m/>
    <n v="1"/>
    <n v="2"/>
    <n v="6"/>
    <m/>
    <n v="1"/>
    <n v="3"/>
    <n v="3"/>
    <x v="2"/>
    <n v="1994"/>
    <n v="3"/>
    <m/>
    <n v="3"/>
    <m/>
    <n v="2"/>
    <m/>
    <n v="2"/>
    <m/>
    <n v="4"/>
    <n v="1"/>
    <n v="19"/>
    <x v="1"/>
    <n v="2"/>
    <n v="4"/>
    <n v="2"/>
  </r>
  <r>
    <x v="2"/>
    <n v="4"/>
    <n v="2"/>
    <n v="3"/>
    <n v="2"/>
    <n v="1"/>
    <n v="4"/>
    <n v="1"/>
    <n v="4"/>
    <n v="4"/>
    <n v="2"/>
    <n v="2"/>
    <m/>
    <m/>
    <n v="1"/>
    <n v="1"/>
    <m/>
    <m/>
    <n v="1"/>
    <m/>
    <m/>
    <n v="1"/>
    <m/>
    <n v="2"/>
    <n v="2"/>
    <n v="1"/>
    <n v="2"/>
    <n v="2"/>
    <n v="2"/>
    <n v="1"/>
    <n v="2"/>
    <n v="1"/>
    <n v="2"/>
    <n v="3"/>
    <n v="1"/>
    <n v="2"/>
    <n v="3"/>
    <n v="4"/>
    <n v="2"/>
    <n v="3"/>
    <n v="8"/>
    <n v="4"/>
    <n v="2"/>
    <n v="1"/>
    <m/>
    <m/>
    <n v="1"/>
    <n v="1"/>
    <n v="1"/>
    <n v="1"/>
    <n v="1"/>
    <n v="1"/>
    <n v="1"/>
    <n v="2"/>
    <n v="3"/>
    <n v="2"/>
    <m/>
    <n v="2"/>
    <m/>
    <m/>
    <m/>
    <n v="3"/>
    <n v="2"/>
    <n v="2"/>
    <x v="1"/>
    <n v="1983"/>
    <n v="2"/>
    <m/>
    <n v="2"/>
    <m/>
    <n v="1"/>
    <m/>
    <n v="3"/>
    <m/>
    <n v="1"/>
    <n v="1"/>
    <n v="30"/>
    <x v="1"/>
    <n v="2"/>
    <n v="4"/>
    <n v="2"/>
  </r>
  <r>
    <x v="4"/>
    <n v="1"/>
    <n v="4"/>
    <n v="2"/>
    <n v="3"/>
    <n v="2"/>
    <n v="4"/>
    <n v="4"/>
    <n v="3"/>
    <n v="1"/>
    <n v="2"/>
    <n v="2"/>
    <n v="1"/>
    <n v="1"/>
    <m/>
    <n v="1"/>
    <n v="1"/>
    <n v="1"/>
    <m/>
    <m/>
    <m/>
    <n v="1"/>
    <m/>
    <n v="2"/>
    <n v="2"/>
    <n v="1"/>
    <n v="2"/>
    <n v="2"/>
    <n v="1"/>
    <n v="2"/>
    <n v="2"/>
    <n v="2"/>
    <m/>
    <n v="1"/>
    <n v="4"/>
    <n v="3"/>
    <n v="2"/>
    <n v="1"/>
    <n v="3"/>
    <n v="2"/>
    <n v="8"/>
    <n v="2"/>
    <n v="1"/>
    <m/>
    <m/>
    <m/>
    <n v="2"/>
    <n v="1"/>
    <n v="2"/>
    <n v="2"/>
    <n v="1"/>
    <n v="2"/>
    <n v="1"/>
    <n v="1"/>
    <n v="2"/>
    <n v="2"/>
    <m/>
    <n v="1"/>
    <n v="1"/>
    <n v="1"/>
    <m/>
    <n v="8"/>
    <n v="3"/>
    <n v="5"/>
    <x v="1"/>
    <n v="1975"/>
    <n v="3"/>
    <m/>
    <n v="2"/>
    <m/>
    <n v="4"/>
    <m/>
    <n v="2"/>
    <m/>
    <n v="3"/>
    <n v="1"/>
    <n v="38"/>
    <x v="1"/>
    <n v="2"/>
    <n v="2"/>
    <n v="1"/>
  </r>
  <r>
    <x v="2"/>
    <n v="2"/>
    <n v="4"/>
    <n v="3"/>
    <n v="2"/>
    <n v="3"/>
    <n v="4"/>
    <n v="1"/>
    <n v="2"/>
    <n v="2"/>
    <n v="1"/>
    <n v="1"/>
    <m/>
    <m/>
    <n v="1"/>
    <m/>
    <m/>
    <n v="1"/>
    <m/>
    <n v="1"/>
    <m/>
    <n v="1"/>
    <m/>
    <n v="2"/>
    <n v="2"/>
    <n v="1"/>
    <n v="1"/>
    <n v="2"/>
    <n v="2"/>
    <n v="2"/>
    <n v="2"/>
    <n v="2"/>
    <m/>
    <n v="2"/>
    <n v="1"/>
    <n v="4"/>
    <n v="2"/>
    <n v="2"/>
    <n v="2"/>
    <n v="1"/>
    <n v="8"/>
    <n v="3"/>
    <n v="3"/>
    <n v="3"/>
    <m/>
    <m/>
    <n v="2"/>
    <n v="2"/>
    <n v="2"/>
    <n v="2"/>
    <n v="2"/>
    <n v="2"/>
    <n v="1"/>
    <n v="1"/>
    <n v="2"/>
    <n v="3"/>
    <m/>
    <n v="1"/>
    <n v="2"/>
    <n v="5"/>
    <m/>
    <n v="2"/>
    <n v="2"/>
    <n v="5"/>
    <x v="1"/>
    <n v="1979"/>
    <n v="3"/>
    <m/>
    <n v="1"/>
    <m/>
    <n v="1"/>
    <m/>
    <n v="1"/>
    <m/>
    <n v="2"/>
    <n v="1"/>
    <n v="34"/>
    <x v="1"/>
    <n v="1"/>
    <n v="1"/>
    <n v="1"/>
  </r>
  <r>
    <x v="4"/>
    <n v="2"/>
    <n v="2"/>
    <n v="2"/>
    <n v="4"/>
    <n v="2"/>
    <n v="1"/>
    <n v="4"/>
    <n v="2"/>
    <n v="3"/>
    <n v="1"/>
    <n v="2"/>
    <m/>
    <m/>
    <n v="1"/>
    <m/>
    <m/>
    <m/>
    <m/>
    <m/>
    <m/>
    <n v="1"/>
    <m/>
    <n v="2"/>
    <n v="2"/>
    <n v="2"/>
    <n v="1"/>
    <n v="2"/>
    <n v="1"/>
    <n v="1"/>
    <n v="1"/>
    <n v="2"/>
    <m/>
    <n v="3"/>
    <n v="2"/>
    <n v="1"/>
    <n v="2"/>
    <n v="4"/>
    <n v="4"/>
    <n v="4"/>
    <n v="3"/>
    <n v="8"/>
    <n v="1"/>
    <m/>
    <m/>
    <m/>
    <n v="2"/>
    <n v="2"/>
    <n v="2"/>
    <n v="2"/>
    <n v="2"/>
    <n v="2"/>
    <n v="2"/>
    <n v="2"/>
    <n v="3"/>
    <n v="5"/>
    <m/>
    <n v="2"/>
    <m/>
    <m/>
    <m/>
    <n v="1"/>
    <n v="1"/>
    <n v="5"/>
    <x v="1"/>
    <n v="1957"/>
    <n v="3"/>
    <m/>
    <n v="1"/>
    <m/>
    <n v="3"/>
    <m/>
    <n v="4"/>
    <m/>
    <n v="3"/>
    <n v="1"/>
    <n v="56"/>
    <x v="2"/>
    <n v="1"/>
    <n v="1"/>
    <n v="1"/>
  </r>
  <r>
    <x v="2"/>
    <n v="3"/>
    <n v="4"/>
    <n v="4"/>
    <n v="2"/>
    <n v="1"/>
    <n v="2"/>
    <n v="1"/>
    <n v="3"/>
    <n v="1"/>
    <n v="2"/>
    <n v="1"/>
    <n v="1"/>
    <n v="1"/>
    <n v="1"/>
    <m/>
    <m/>
    <m/>
    <n v="1"/>
    <m/>
    <m/>
    <n v="1"/>
    <m/>
    <n v="1"/>
    <n v="2"/>
    <n v="1"/>
    <n v="1"/>
    <n v="1"/>
    <n v="2"/>
    <n v="2"/>
    <n v="1"/>
    <n v="1"/>
    <n v="2"/>
    <n v="1"/>
    <n v="3"/>
    <n v="7"/>
    <n v="3"/>
    <n v="1"/>
    <n v="2"/>
    <n v="2"/>
    <n v="2"/>
    <n v="2"/>
    <n v="4"/>
    <n v="4"/>
    <m/>
    <m/>
    <n v="1"/>
    <n v="1"/>
    <n v="1"/>
    <n v="2"/>
    <n v="2"/>
    <n v="1"/>
    <n v="2"/>
    <n v="2"/>
    <n v="3"/>
    <n v="98"/>
    <m/>
    <n v="1"/>
    <n v="4"/>
    <n v="4"/>
    <m/>
    <n v="2"/>
    <n v="3"/>
    <m/>
    <x v="2"/>
    <n v="1946"/>
    <n v="2"/>
    <m/>
    <n v="5"/>
    <m/>
    <n v="2"/>
    <m/>
    <n v="2"/>
    <m/>
    <n v="2"/>
    <n v="1"/>
    <n v="67"/>
    <x v="3"/>
    <n v="2"/>
    <n v="4"/>
    <n v="3"/>
  </r>
  <r>
    <x v="4"/>
    <n v="2"/>
    <n v="3"/>
    <n v="2"/>
    <n v="3"/>
    <n v="1"/>
    <n v="3"/>
    <n v="2"/>
    <n v="2"/>
    <n v="2"/>
    <n v="2"/>
    <n v="2"/>
    <n v="1"/>
    <m/>
    <m/>
    <m/>
    <n v="1"/>
    <n v="1"/>
    <m/>
    <m/>
    <m/>
    <n v="1"/>
    <m/>
    <n v="1"/>
    <n v="2"/>
    <n v="2"/>
    <n v="2"/>
    <n v="1"/>
    <n v="1"/>
    <n v="1"/>
    <n v="1"/>
    <n v="2"/>
    <m/>
    <n v="2"/>
    <n v="1"/>
    <n v="4"/>
    <n v="3"/>
    <n v="3"/>
    <n v="3"/>
    <n v="3"/>
    <n v="1"/>
    <n v="1"/>
    <n v="1"/>
    <m/>
    <m/>
    <m/>
    <n v="1"/>
    <n v="2"/>
    <n v="1"/>
    <n v="1"/>
    <n v="1"/>
    <n v="1"/>
    <n v="1"/>
    <n v="1"/>
    <n v="2"/>
    <n v="1"/>
    <m/>
    <n v="1"/>
    <n v="2"/>
    <n v="98"/>
    <m/>
    <n v="3"/>
    <n v="2"/>
    <n v="1"/>
    <x v="1"/>
    <n v="1947"/>
    <n v="1"/>
    <m/>
    <n v="6"/>
    <m/>
    <n v="4"/>
    <m/>
    <n v="1"/>
    <m/>
    <n v="2"/>
    <n v="1"/>
    <n v="66"/>
    <x v="3"/>
    <n v="2"/>
    <n v="3"/>
    <n v="2"/>
  </r>
  <r>
    <x v="2"/>
    <n v="2"/>
    <n v="2"/>
    <n v="3"/>
    <n v="2"/>
    <n v="2"/>
    <n v="2"/>
    <n v="3"/>
    <n v="3"/>
    <n v="4"/>
    <n v="2"/>
    <n v="1"/>
    <m/>
    <n v="1"/>
    <n v="1"/>
    <n v="1"/>
    <m/>
    <m/>
    <m/>
    <m/>
    <m/>
    <n v="2"/>
    <m/>
    <n v="1"/>
    <n v="2"/>
    <n v="1"/>
    <n v="2"/>
    <n v="1"/>
    <n v="2"/>
    <n v="2"/>
    <n v="1"/>
    <n v="2"/>
    <m/>
    <n v="3"/>
    <n v="7"/>
    <n v="1"/>
    <n v="1"/>
    <n v="2"/>
    <n v="2"/>
    <n v="2"/>
    <n v="3"/>
    <n v="3"/>
    <n v="2"/>
    <n v="3"/>
    <m/>
    <m/>
    <n v="2"/>
    <n v="1"/>
    <n v="1"/>
    <n v="1"/>
    <n v="2"/>
    <n v="2"/>
    <n v="2"/>
    <n v="2"/>
    <n v="4"/>
    <m/>
    <m/>
    <n v="2"/>
    <m/>
    <m/>
    <m/>
    <n v="5"/>
    <n v="4"/>
    <n v="3"/>
    <x v="2"/>
    <n v="1984"/>
    <n v="3"/>
    <m/>
    <n v="4"/>
    <m/>
    <n v="6"/>
    <m/>
    <n v="3"/>
    <m/>
    <n v="1"/>
    <n v="1"/>
    <n v="29"/>
    <x v="1"/>
    <n v="2"/>
    <n v="4"/>
    <n v="2"/>
  </r>
  <r>
    <x v="2"/>
    <n v="1"/>
    <n v="1"/>
    <n v="2"/>
    <n v="1"/>
    <n v="4"/>
    <n v="1"/>
    <n v="3"/>
    <n v="1"/>
    <n v="1"/>
    <n v="1"/>
    <n v="2"/>
    <n v="1"/>
    <m/>
    <n v="1"/>
    <m/>
    <m/>
    <n v="1"/>
    <n v="1"/>
    <m/>
    <m/>
    <n v="2"/>
    <m/>
    <n v="2"/>
    <n v="1"/>
    <n v="2"/>
    <n v="1"/>
    <n v="1"/>
    <n v="1"/>
    <n v="1"/>
    <n v="2"/>
    <n v="1"/>
    <n v="1"/>
    <n v="4"/>
    <n v="1"/>
    <n v="2"/>
    <n v="1"/>
    <n v="2"/>
    <n v="1"/>
    <n v="1"/>
    <n v="2"/>
    <n v="8"/>
    <n v="3"/>
    <n v="2"/>
    <m/>
    <m/>
    <n v="1"/>
    <n v="2"/>
    <n v="2"/>
    <n v="2"/>
    <n v="2"/>
    <n v="2"/>
    <n v="1"/>
    <n v="1"/>
    <n v="1"/>
    <n v="8"/>
    <m/>
    <n v="2"/>
    <m/>
    <m/>
    <m/>
    <n v="3"/>
    <n v="3"/>
    <n v="1"/>
    <x v="1"/>
    <n v="1989"/>
    <n v="2"/>
    <m/>
    <n v="7"/>
    <m/>
    <n v="4"/>
    <m/>
    <n v="2"/>
    <m/>
    <n v="2"/>
    <n v="1"/>
    <n v="24"/>
    <x v="1"/>
    <n v="2"/>
    <n v="2"/>
    <n v="2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7"/>
    <m/>
    <m/>
    <m/>
    <m/>
    <m/>
    <m/>
    <m/>
    <m/>
    <m/>
    <n v="1"/>
    <n v="26"/>
    <x v="1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3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1"/>
    <m/>
    <m/>
    <m/>
    <m/>
    <m/>
    <m/>
    <m/>
    <m/>
    <m/>
    <n v="1"/>
    <n v="32"/>
    <x v="1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70"/>
    <m/>
    <m/>
    <m/>
    <m/>
    <m/>
    <m/>
    <m/>
    <m/>
    <m/>
    <n v="1"/>
    <n v="43"/>
    <x v="2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</pivotCacheRecords>
</file>

<file path=xl/pivotCache/pivotCacheRecords27.xml><?xml version="1.0" encoding="utf-8"?>
<pivotCacheRecords xmlns="http://schemas.openxmlformats.org/spreadsheetml/2006/main" xmlns:r="http://schemas.openxmlformats.org/officeDocument/2006/relationships" count="632">
  <r>
    <x v="0"/>
    <s v="Dans votre quartier, les problèmes causés par les gens qui traînent dans les lieux publics sont … ?"/>
    <s v="Dans votre quartier, les actes de vandalisme sont … ?"/>
    <s v="Dans votre quartier, les conflits entre les groupes d'origines ethniques différentes sont … ?"/>
    <s v="Dans votre quartier, les conflits entre d'autres groupes d'individus sont … ?"/>
    <s v="Dans votre quartier, les graffiti sont … ?"/>
    <s v="Dans votre quartier, les immeubles ou bâtiments abandonnés ou mal entretenus sont... ?"/>
    <s v="Dans votre quartier, le niveau d'entraide entre les personnes est... ?"/>
    <s v="Dans votre quartier, le niveau de confiance qui règne entre la plupart des personnes est... ?"/>
    <s v="Dans votre quartier, les comportements des jeunes ou des groupes de jeunes sont-ils pour vous une source de menace ou d'insécurité ?"/>
    <s v="Y a-t-il d'autres individus ou des groupes d'individus dont les comportements sont pour vous une source de menace ou d'insécurité ?"/>
    <s v="De quel type ou groupe d'individus s'agit-il ?  Toxicomanes ou revendeur de drogue"/>
    <s v="De quel type ou groupe d'individus s'agit-il ? Gangs de motards / milieu criminel"/>
    <s v="De quel type ou groupe d'individus s'agit-il ? Sollicitation (vendeurs, mouvements religieux, ex-détenus, etc.)"/>
    <s v="De quel type ou groupe d'individus s'agit-il ? Itinérants"/>
    <s v="De quel type ou groupe d'individus s'agit-il ? Individus ou groupes d'individus en état d'ébriété"/>
    <s v="De quel type ou groupe d'individus s'agit-il ? Personnes d'une communauté culturelle différente de la mienne"/>
    <s v="De quel type ou groupe d'individus s'agit-il ? Voisins"/>
    <s v="De quel type ou groupe d'individus s'agit-il ? Autre"/>
    <s v="De quel type ou groupe d'individus s'agit-il ? Autre, précisez"/>
    <s v="Y a-t-il dans votre quartier des endroits que vous évitez de fréquenter pour des raisons de sécurité ?"/>
    <s v="Lesquels ?"/>
    <s v="Veuillez répondre à chacun des énoncés suivants. Quand je me déplace dans mon quartier, j'apporte habituellement quelque chose pour assurer ma protection. "/>
    <s v="Veuillez répondre à chacun des énoncés suivants. Lorsque je suis dans mon quartier, je vérifie qu'aucun intrus ne se trouve à l'intérieur de ma voiture avant d'y monter."/>
    <s v="Veuillez répondre à chacun des énoncés suivants. À mon domicile, j'évite d'ouvrir la porte à des inconnus, pour des raisons de sécurité. "/>
    <s v="Veuillez répondre à chacun des énoncés suivants. Je garde les portes extérieures de mon domicile constamment verrouillées, même lorsque je suis chez moi. "/>
    <s v="Veuillez répondre à chacun des énoncés suivants. Spécialement par mesure de protection, il y a un chien à mon domicile. "/>
    <s v="Veuillez répondre à chacun des énoncés suivants. J'ai un système d'alarme que j'active régulièrement pour protéger mon domicile contre le vol."/>
    <s v="Veuillez répondre à chacun des énoncés suivants. Spécialement par mesure de protection, j'ai suivi un cours d'autodéfense. "/>
    <s v="Veuillez répondre à chacun des énoncés suivants. Spécialement par mesure de protection, il y a une arme à feu à mon domicile. "/>
    <s v="Est-ce qu'il y a à votre domicile au moins un détecteur de fumée fonctionnel par étage ? "/>
    <s v="Le bon fonctionnement de cet/ces appareil(s) a-t-il été vérifié, au cours des douze (12) derniers mois ?"/>
    <s v="Veuillez nous dire votre degré de satisfaction à l'égard : du déneigement et du déglaçage des rues et des trottoirs de votre quartier ? "/>
    <s v="Veuillez nous dire votre degré de satisfaction à l'égard :  de la propreté et de l'entretien des parcs et terrains de jeux de votre quartier ?"/>
    <s v="Veuillez nous dire votre degré de satisfaction à l'égard :  de la sécurité des équipements dans les parcs, aires de jeux ou centre récréatif ou sportif de votre quartier ? "/>
    <s v="Votre quartier est-il desservi par un service de police municipal, une régie intermunicipale ou par la Sûreté du Québec ?"/>
    <s v="Quel est votre niveau de satisfaction à l'égard de la présence des policiers dans votre quartier ?"/>
    <s v="Quel est votre niveau de satisfaction à l'égard du travail effectué par les policiers dans votre quartier ?"/>
    <s v="De façon plus spécifique, quel est votre niveau de satisfaction à l'égard du travail effectué par les policiers : auprès des jeunes de votre quartier"/>
    <s v="De façon plus spécifique, quel est votre niveau de satisfaction à l'égard du travail effectué par les policiers : pour assurer la sécurité routière dans votre quartier"/>
    <s v="De façon plus spécifique, quel est votre niveau de satisfaction à l'égard du travail effectué par les policiers : pour régler des problèmes de délinquance ou de désordres qui surviennent dans votre quartier"/>
    <s v="Au cours des deux dernières années, combien de fois avez-vous fait appel au service de police qui dessert votre quartier ?"/>
    <s v="En vous référant à l'événement le plus récent, quel est votre niveau de satisfaction à l'égard de la réponse que vous avez reçue ?"/>
    <s v="Pourquoi ? Peu"/>
    <s v="Pourquoi ? Pas"/>
    <s v="Au cours des deux dernières années, vous êtes vous IMPLIQUÉ SUR UNE BASE RÉGULIÈRE dans les activités suivantes de votre quartier : Dans un comité ou un organisme préoccupé par les problèmes de sécurité de votre quartier ?"/>
    <s v="Au cours des deux dernières années, vous êtes vous IMPLIQUÉ SUR UNE BASE RÉGULIÈRE dans les activités suivantes de votre quartier : Dans des assemblées du conseil municipal ?"/>
    <s v="Au cours des deux dernières années, vous êtes vous IMPLIQUÉ SUR UNE BASE RÉGULIÈRE dans les activités suivantes de votre quartier : Dans un conseil de quartier ou d'arrondissement ?"/>
    <s v="Au cours des deux dernières années, vous êtes vous IMPLIQUÉ SUR UNE BASE RÉGULIÈRE dans les activités suivantes de votre quartier : Dans un comité de citoyens ?"/>
    <s v="Au cours des deux dernières années, vous êtes vous IMPLIQUÉ SUR UNE BASE RÉGULIÈRE dans les activités suivantes de votre quartier : Dans des activités communautaires, d'entraide ou de bénévolat (cuisine communautaire, bazar)"/>
    <s v="Au cours des deux dernières années, vous êtes vous IMPLIQUÉ SUR UNE BASE RÉGULIÈRE dans les activités suivantes de votre quartier : Dans des activités sociales, culturelles ou sportives organisées par les gens de votre quartier ou de votre municipalité ?"/>
    <s v="Au cours des deux dernières années, avez-vous été victime de vol, de vandalisme ou de tout autre crime contre vos biens, chez vous ou dans votre quartier ?"/>
    <s v="Au cours des deux dernières années, avez-vous été victime d'une agression, d'intimidation ou de tout autre acte de violence, chez vous ou dans votre quartier ?"/>
    <s v="Au cours des deux dernières années avez-vous été victime dans votre quartier d'une quelconque forme de discrimination ?"/>
    <s v="À votre avis, le motif de cette discrimination était lié …"/>
    <s v="Autre, précisez :"/>
    <s v="Au cours des deux dernières années, avez-vous subi un accident qui vous a occasionné une blessure pour laquelle vous avez dû consulter un professionnel de la santé ou limiter vos activités ?"/>
    <s v="Combien de fois cela s'est-il produit ?"/>
    <s v="En se référant au dernier événement, était-ce … ?"/>
    <s v="Autre, précisez :"/>
    <s v="Maintenant, comparativement à d'autres personnes de votre âge, dirirez-vous que votre santé est en général …"/>
    <s v="Dans quel quartier habitez-vous ?"/>
    <s v="Combien de personne de moins de 18 ans habitent dans votre foyer ?"/>
    <x v="0"/>
    <s v="Quelle est votre année de naissance ?"/>
    <s v="Êtes-vous propriétaire ou locataire du logement que vous habitez ?"/>
    <s v="Autre, précisez : "/>
    <s v="Habitez-vous dans …"/>
    <s v="Autre, précisez : "/>
    <s v="Quel est votre état civil ?"/>
    <s v="Autre, précisez : "/>
    <s v="Où est situé votre lieu de travail habituel ?"/>
    <s v="Autre, précisez : "/>
    <s v="Quel est le plus haut niveau de scolarité que vous avez complété ?"/>
    <m/>
    <m/>
    <x v="0"/>
    <m/>
    <m/>
    <m/>
  </r>
  <r>
    <x v="1"/>
    <n v="3"/>
    <n v="2"/>
    <n v="1"/>
    <n v="2"/>
    <n v="2"/>
    <n v="4"/>
    <n v="3"/>
    <n v="1"/>
    <n v="1"/>
    <n v="1"/>
    <m/>
    <n v="1"/>
    <m/>
    <n v="1"/>
    <n v="1"/>
    <n v="1"/>
    <n v="1"/>
    <m/>
    <m/>
    <n v="1"/>
    <m/>
    <n v="2"/>
    <n v="2"/>
    <n v="1"/>
    <n v="1"/>
    <n v="1"/>
    <n v="2"/>
    <n v="1"/>
    <n v="2"/>
    <n v="2"/>
    <m/>
    <n v="1"/>
    <n v="7"/>
    <n v="4"/>
    <n v="8"/>
    <n v="1"/>
    <n v="4"/>
    <n v="8"/>
    <n v="2"/>
    <n v="2"/>
    <n v="1"/>
    <m/>
    <m/>
    <m/>
    <n v="1"/>
    <n v="2"/>
    <n v="1"/>
    <n v="2"/>
    <n v="2"/>
    <n v="1"/>
    <n v="1"/>
    <n v="2"/>
    <n v="1"/>
    <n v="2"/>
    <m/>
    <n v="1"/>
    <n v="4"/>
    <n v="5"/>
    <m/>
    <n v="2"/>
    <n v="4"/>
    <n v="5"/>
    <x v="1"/>
    <n v="1981"/>
    <n v="2"/>
    <m/>
    <n v="7"/>
    <m/>
    <n v="1"/>
    <m/>
    <n v="1"/>
    <m/>
    <n v="4"/>
    <n v="1"/>
    <n v="32"/>
    <x v="1"/>
    <n v="1"/>
    <n v="1"/>
    <n v="1"/>
  </r>
  <r>
    <x v="2"/>
    <n v="2"/>
    <n v="2"/>
    <n v="1"/>
    <n v="2"/>
    <n v="1"/>
    <n v="2"/>
    <n v="2"/>
    <n v="1"/>
    <n v="2"/>
    <n v="1"/>
    <m/>
    <m/>
    <n v="1"/>
    <m/>
    <n v="1"/>
    <m/>
    <n v="1"/>
    <m/>
    <m/>
    <n v="2"/>
    <m/>
    <n v="1"/>
    <n v="1"/>
    <n v="2"/>
    <n v="1"/>
    <n v="1"/>
    <n v="1"/>
    <n v="1"/>
    <n v="1"/>
    <n v="1"/>
    <n v="1"/>
    <n v="2"/>
    <n v="4"/>
    <n v="1"/>
    <n v="1"/>
    <n v="4"/>
    <n v="8"/>
    <n v="1"/>
    <n v="4"/>
    <n v="1"/>
    <n v="2"/>
    <n v="1"/>
    <m/>
    <m/>
    <n v="2"/>
    <n v="1"/>
    <n v="1"/>
    <n v="2"/>
    <n v="2"/>
    <n v="1"/>
    <n v="2"/>
    <n v="1"/>
    <n v="2"/>
    <n v="1"/>
    <m/>
    <n v="2"/>
    <m/>
    <m/>
    <m/>
    <n v="4"/>
    <n v="1"/>
    <n v="2"/>
    <x v="2"/>
    <n v="1970"/>
    <n v="1"/>
    <m/>
    <n v="5"/>
    <m/>
    <n v="2"/>
    <m/>
    <n v="2"/>
    <m/>
    <n v="1"/>
    <n v="1"/>
    <n v="43"/>
    <x v="2"/>
    <n v="2"/>
    <n v="3"/>
    <n v="2"/>
  </r>
  <r>
    <x v="2"/>
    <n v="1"/>
    <n v="2"/>
    <n v="1"/>
    <n v="3"/>
    <n v="2"/>
    <n v="3"/>
    <n v="1"/>
    <n v="2"/>
    <n v="1"/>
    <n v="2"/>
    <n v="1"/>
    <m/>
    <m/>
    <m/>
    <n v="1"/>
    <n v="1"/>
    <m/>
    <n v="1"/>
    <m/>
    <n v="2"/>
    <m/>
    <n v="1"/>
    <n v="1"/>
    <n v="2"/>
    <n v="1"/>
    <n v="1"/>
    <n v="1"/>
    <n v="2"/>
    <n v="1"/>
    <n v="1"/>
    <n v="2"/>
    <n v="3"/>
    <n v="1"/>
    <n v="2"/>
    <n v="3"/>
    <n v="2"/>
    <n v="1"/>
    <n v="2"/>
    <n v="3"/>
    <n v="4"/>
    <n v="3"/>
    <n v="3"/>
    <m/>
    <m/>
    <n v="2"/>
    <n v="1"/>
    <n v="2"/>
    <n v="2"/>
    <n v="2"/>
    <n v="2"/>
    <n v="2"/>
    <n v="1"/>
    <n v="3"/>
    <n v="3"/>
    <m/>
    <n v="1"/>
    <n v="2"/>
    <n v="8"/>
    <m/>
    <n v="5"/>
    <n v="4"/>
    <n v="4"/>
    <x v="2"/>
    <n v="1990"/>
    <n v="3"/>
    <m/>
    <n v="4"/>
    <m/>
    <n v="4"/>
    <m/>
    <n v="3"/>
    <m/>
    <n v="2"/>
    <n v="1"/>
    <n v="23"/>
    <x v="1"/>
    <n v="2"/>
    <n v="4"/>
    <n v="2"/>
  </r>
  <r>
    <x v="2"/>
    <n v="2"/>
    <n v="2"/>
    <n v="1"/>
    <n v="2"/>
    <n v="3"/>
    <n v="3"/>
    <n v="1"/>
    <n v="3"/>
    <n v="1"/>
    <n v="1"/>
    <n v="1"/>
    <n v="1"/>
    <m/>
    <n v="1"/>
    <n v="1"/>
    <n v="1"/>
    <n v="1"/>
    <m/>
    <m/>
    <n v="2"/>
    <m/>
    <n v="1"/>
    <n v="1"/>
    <n v="2"/>
    <n v="2"/>
    <n v="1"/>
    <n v="2"/>
    <n v="2"/>
    <n v="1"/>
    <n v="1"/>
    <n v="1"/>
    <n v="4"/>
    <n v="3"/>
    <n v="3"/>
    <n v="2"/>
    <n v="3"/>
    <n v="1"/>
    <n v="3"/>
    <n v="2"/>
    <n v="2"/>
    <n v="4"/>
    <n v="2"/>
    <m/>
    <m/>
    <n v="2"/>
    <n v="1"/>
    <n v="2"/>
    <n v="2"/>
    <n v="1"/>
    <n v="2"/>
    <n v="2"/>
    <n v="2"/>
    <n v="4"/>
    <m/>
    <m/>
    <n v="1"/>
    <n v="2"/>
    <n v="7"/>
    <m/>
    <n v="1"/>
    <n v="2"/>
    <n v="1"/>
    <x v="2"/>
    <n v="1983"/>
    <n v="1"/>
    <m/>
    <n v="1"/>
    <m/>
    <n v="1"/>
    <m/>
    <n v="4"/>
    <m/>
    <n v="3"/>
    <n v="1"/>
    <n v="30"/>
    <x v="1"/>
    <n v="2"/>
    <n v="3"/>
    <n v="2"/>
  </r>
  <r>
    <x v="3"/>
    <n v="2"/>
    <n v="1"/>
    <n v="2"/>
    <n v="2"/>
    <n v="3"/>
    <n v="2"/>
    <n v="1"/>
    <n v="2"/>
    <n v="2"/>
    <n v="1"/>
    <m/>
    <n v="1"/>
    <n v="1"/>
    <n v="1"/>
    <n v="1"/>
    <n v="1"/>
    <m/>
    <m/>
    <m/>
    <n v="2"/>
    <m/>
    <n v="1"/>
    <n v="1"/>
    <n v="1"/>
    <n v="2"/>
    <n v="2"/>
    <n v="2"/>
    <n v="1"/>
    <n v="2"/>
    <n v="2"/>
    <m/>
    <n v="7"/>
    <n v="3"/>
    <n v="3"/>
    <n v="1"/>
    <n v="2"/>
    <n v="3"/>
    <n v="2"/>
    <n v="1"/>
    <n v="3"/>
    <n v="2"/>
    <n v="4"/>
    <m/>
    <m/>
    <n v="1"/>
    <n v="2"/>
    <n v="2"/>
    <n v="1"/>
    <n v="1"/>
    <n v="2"/>
    <n v="2"/>
    <n v="1"/>
    <n v="1"/>
    <n v="6"/>
    <m/>
    <n v="2"/>
    <m/>
    <m/>
    <m/>
    <n v="3"/>
    <n v="3"/>
    <m/>
    <x v="2"/>
    <n v="1967"/>
    <n v="1"/>
    <m/>
    <n v="2"/>
    <m/>
    <n v="3"/>
    <m/>
    <n v="4"/>
    <m/>
    <n v="2"/>
    <n v="1"/>
    <n v="46"/>
    <x v="2"/>
    <n v="3"/>
    <n v="5"/>
    <n v="3"/>
  </r>
  <r>
    <x v="3"/>
    <n v="3"/>
    <n v="1"/>
    <n v="2"/>
    <n v="1"/>
    <n v="3"/>
    <n v="1"/>
    <n v="1"/>
    <n v="2"/>
    <n v="1"/>
    <n v="1"/>
    <m/>
    <n v="1"/>
    <m/>
    <m/>
    <m/>
    <n v="1"/>
    <m/>
    <m/>
    <m/>
    <n v="2"/>
    <m/>
    <n v="1"/>
    <n v="1"/>
    <n v="1"/>
    <n v="2"/>
    <n v="2"/>
    <n v="1"/>
    <n v="1"/>
    <n v="2"/>
    <n v="1"/>
    <n v="1"/>
    <n v="4"/>
    <n v="2"/>
    <n v="2"/>
    <n v="2"/>
    <n v="3"/>
    <n v="2"/>
    <n v="4"/>
    <n v="4"/>
    <n v="2"/>
    <n v="1"/>
    <m/>
    <m/>
    <m/>
    <n v="1"/>
    <n v="2"/>
    <n v="1"/>
    <n v="1"/>
    <n v="2"/>
    <n v="1"/>
    <n v="1"/>
    <n v="2"/>
    <n v="4"/>
    <m/>
    <m/>
    <n v="2"/>
    <m/>
    <m/>
    <m/>
    <n v="2"/>
    <n v="2"/>
    <n v="1"/>
    <x v="2"/>
    <n v="1962"/>
    <n v="2"/>
    <m/>
    <n v="3"/>
    <m/>
    <n v="3"/>
    <m/>
    <n v="1"/>
    <m/>
    <n v="1"/>
    <n v="1"/>
    <n v="51"/>
    <x v="2"/>
    <n v="2"/>
    <n v="2"/>
    <n v="2"/>
  </r>
  <r>
    <x v="2"/>
    <n v="2"/>
    <n v="2"/>
    <n v="3"/>
    <n v="4"/>
    <n v="2"/>
    <n v="2"/>
    <n v="4"/>
    <n v="1"/>
    <n v="1"/>
    <n v="2"/>
    <m/>
    <m/>
    <m/>
    <n v="1"/>
    <m/>
    <n v="1"/>
    <m/>
    <m/>
    <m/>
    <n v="2"/>
    <m/>
    <n v="2"/>
    <n v="2"/>
    <n v="1"/>
    <n v="2"/>
    <n v="2"/>
    <n v="1"/>
    <n v="2"/>
    <n v="2"/>
    <n v="2"/>
    <m/>
    <n v="2"/>
    <n v="1"/>
    <n v="1"/>
    <n v="1"/>
    <n v="3"/>
    <n v="3"/>
    <n v="1"/>
    <n v="8"/>
    <n v="1"/>
    <n v="3"/>
    <n v="2"/>
    <m/>
    <m/>
    <n v="1"/>
    <n v="2"/>
    <n v="1"/>
    <n v="1"/>
    <n v="1"/>
    <n v="1"/>
    <n v="1"/>
    <n v="1"/>
    <n v="1"/>
    <n v="7"/>
    <m/>
    <n v="1"/>
    <n v="2"/>
    <n v="6"/>
    <m/>
    <n v="1"/>
    <n v="3"/>
    <n v="3"/>
    <x v="2"/>
    <n v="1994"/>
    <n v="3"/>
    <m/>
    <n v="3"/>
    <m/>
    <n v="2"/>
    <m/>
    <n v="2"/>
    <m/>
    <n v="4"/>
    <n v="1"/>
    <n v="19"/>
    <x v="1"/>
    <n v="2"/>
    <n v="4"/>
    <n v="2"/>
  </r>
  <r>
    <x v="4"/>
    <n v="2"/>
    <n v="3"/>
    <n v="2"/>
    <n v="1"/>
    <n v="4"/>
    <n v="1"/>
    <n v="4"/>
    <n v="4"/>
    <n v="2"/>
    <n v="2"/>
    <m/>
    <m/>
    <n v="1"/>
    <n v="1"/>
    <m/>
    <m/>
    <n v="1"/>
    <m/>
    <m/>
    <n v="1"/>
    <m/>
    <n v="2"/>
    <n v="2"/>
    <n v="1"/>
    <n v="2"/>
    <n v="2"/>
    <n v="2"/>
    <n v="1"/>
    <n v="2"/>
    <n v="1"/>
    <n v="2"/>
    <n v="3"/>
    <n v="1"/>
    <n v="2"/>
    <n v="3"/>
    <n v="4"/>
    <n v="2"/>
    <n v="3"/>
    <n v="8"/>
    <n v="4"/>
    <n v="2"/>
    <n v="1"/>
    <m/>
    <m/>
    <n v="1"/>
    <n v="1"/>
    <n v="1"/>
    <n v="1"/>
    <n v="1"/>
    <n v="1"/>
    <n v="1"/>
    <n v="2"/>
    <n v="3"/>
    <n v="2"/>
    <m/>
    <n v="2"/>
    <m/>
    <m/>
    <m/>
    <n v="3"/>
    <n v="2"/>
    <n v="2"/>
    <x v="1"/>
    <n v="1983"/>
    <n v="2"/>
    <m/>
    <n v="2"/>
    <m/>
    <n v="1"/>
    <m/>
    <n v="3"/>
    <m/>
    <n v="1"/>
    <n v="1"/>
    <n v="30"/>
    <x v="1"/>
    <n v="2"/>
    <n v="4"/>
    <n v="2"/>
  </r>
  <r>
    <x v="3"/>
    <n v="4"/>
    <n v="2"/>
    <n v="3"/>
    <n v="2"/>
    <n v="4"/>
    <n v="4"/>
    <n v="3"/>
    <n v="1"/>
    <n v="2"/>
    <n v="2"/>
    <n v="1"/>
    <n v="1"/>
    <m/>
    <n v="1"/>
    <n v="1"/>
    <n v="1"/>
    <m/>
    <m/>
    <m/>
    <n v="1"/>
    <m/>
    <n v="2"/>
    <n v="2"/>
    <n v="1"/>
    <n v="2"/>
    <n v="2"/>
    <n v="1"/>
    <n v="2"/>
    <n v="2"/>
    <n v="2"/>
    <m/>
    <n v="1"/>
    <n v="4"/>
    <n v="3"/>
    <n v="2"/>
    <n v="1"/>
    <n v="3"/>
    <n v="2"/>
    <n v="8"/>
    <n v="2"/>
    <n v="1"/>
    <m/>
    <m/>
    <m/>
    <n v="2"/>
    <n v="1"/>
    <n v="2"/>
    <n v="2"/>
    <n v="1"/>
    <n v="2"/>
    <n v="1"/>
    <n v="1"/>
    <n v="2"/>
    <n v="2"/>
    <m/>
    <n v="1"/>
    <n v="1"/>
    <n v="1"/>
    <m/>
    <n v="8"/>
    <n v="3"/>
    <n v="5"/>
    <x v="1"/>
    <n v="1975"/>
    <n v="3"/>
    <m/>
    <n v="2"/>
    <m/>
    <n v="4"/>
    <m/>
    <n v="2"/>
    <m/>
    <n v="3"/>
    <n v="1"/>
    <n v="38"/>
    <x v="1"/>
    <n v="2"/>
    <n v="2"/>
    <n v="1"/>
  </r>
  <r>
    <x v="2"/>
    <n v="4"/>
    <n v="3"/>
    <n v="2"/>
    <n v="3"/>
    <n v="4"/>
    <n v="1"/>
    <n v="2"/>
    <n v="2"/>
    <n v="1"/>
    <n v="1"/>
    <m/>
    <m/>
    <n v="1"/>
    <m/>
    <m/>
    <n v="1"/>
    <m/>
    <n v="1"/>
    <m/>
    <n v="1"/>
    <m/>
    <n v="2"/>
    <n v="2"/>
    <n v="1"/>
    <n v="1"/>
    <n v="2"/>
    <n v="2"/>
    <n v="2"/>
    <n v="2"/>
    <n v="2"/>
    <m/>
    <n v="2"/>
    <n v="1"/>
    <n v="4"/>
    <n v="2"/>
    <n v="2"/>
    <n v="2"/>
    <n v="1"/>
    <n v="8"/>
    <n v="3"/>
    <n v="3"/>
    <n v="3"/>
    <m/>
    <m/>
    <n v="2"/>
    <n v="2"/>
    <n v="2"/>
    <n v="2"/>
    <n v="2"/>
    <n v="2"/>
    <n v="1"/>
    <n v="1"/>
    <n v="2"/>
    <n v="3"/>
    <m/>
    <n v="1"/>
    <n v="2"/>
    <n v="5"/>
    <m/>
    <n v="2"/>
    <n v="2"/>
    <n v="5"/>
    <x v="1"/>
    <n v="1979"/>
    <n v="3"/>
    <m/>
    <n v="1"/>
    <m/>
    <n v="1"/>
    <m/>
    <n v="1"/>
    <m/>
    <n v="2"/>
    <n v="1"/>
    <n v="34"/>
    <x v="1"/>
    <n v="1"/>
    <n v="1"/>
    <n v="1"/>
  </r>
  <r>
    <x v="2"/>
    <n v="2"/>
    <n v="2"/>
    <n v="4"/>
    <n v="2"/>
    <n v="1"/>
    <n v="4"/>
    <n v="2"/>
    <n v="3"/>
    <n v="1"/>
    <n v="2"/>
    <m/>
    <m/>
    <n v="1"/>
    <m/>
    <m/>
    <m/>
    <m/>
    <m/>
    <m/>
    <n v="1"/>
    <m/>
    <n v="2"/>
    <n v="2"/>
    <n v="2"/>
    <n v="1"/>
    <n v="2"/>
    <n v="1"/>
    <n v="1"/>
    <n v="1"/>
    <n v="2"/>
    <m/>
    <n v="3"/>
    <n v="2"/>
    <n v="1"/>
    <n v="2"/>
    <n v="4"/>
    <n v="4"/>
    <n v="4"/>
    <n v="3"/>
    <n v="8"/>
    <n v="1"/>
    <m/>
    <m/>
    <m/>
    <n v="2"/>
    <n v="2"/>
    <n v="2"/>
    <n v="2"/>
    <n v="2"/>
    <n v="2"/>
    <n v="2"/>
    <n v="2"/>
    <n v="3"/>
    <n v="5"/>
    <m/>
    <n v="2"/>
    <m/>
    <m/>
    <m/>
    <n v="1"/>
    <n v="1"/>
    <n v="5"/>
    <x v="1"/>
    <n v="1957"/>
    <n v="3"/>
    <m/>
    <n v="1"/>
    <m/>
    <n v="3"/>
    <m/>
    <n v="4"/>
    <m/>
    <n v="3"/>
    <n v="1"/>
    <n v="56"/>
    <x v="2"/>
    <n v="1"/>
    <n v="1"/>
    <n v="1"/>
  </r>
  <r>
    <x v="1"/>
    <n v="4"/>
    <n v="4"/>
    <n v="2"/>
    <n v="1"/>
    <n v="2"/>
    <n v="1"/>
    <n v="3"/>
    <n v="1"/>
    <n v="2"/>
    <n v="1"/>
    <n v="1"/>
    <n v="1"/>
    <n v="1"/>
    <m/>
    <m/>
    <m/>
    <n v="1"/>
    <m/>
    <m/>
    <n v="1"/>
    <m/>
    <n v="1"/>
    <n v="2"/>
    <n v="1"/>
    <n v="1"/>
    <n v="1"/>
    <n v="2"/>
    <n v="2"/>
    <n v="1"/>
    <n v="1"/>
    <n v="2"/>
    <n v="1"/>
    <n v="3"/>
    <n v="7"/>
    <n v="3"/>
    <n v="1"/>
    <n v="2"/>
    <n v="2"/>
    <n v="2"/>
    <n v="2"/>
    <n v="4"/>
    <n v="4"/>
    <m/>
    <m/>
    <n v="1"/>
    <n v="1"/>
    <n v="1"/>
    <n v="2"/>
    <n v="2"/>
    <n v="1"/>
    <n v="2"/>
    <n v="2"/>
    <n v="3"/>
    <n v="98"/>
    <m/>
    <n v="1"/>
    <n v="4"/>
    <n v="4"/>
    <m/>
    <n v="2"/>
    <n v="3"/>
    <m/>
    <x v="2"/>
    <n v="1946"/>
    <n v="2"/>
    <m/>
    <n v="5"/>
    <m/>
    <n v="2"/>
    <m/>
    <n v="2"/>
    <m/>
    <n v="2"/>
    <n v="1"/>
    <n v="67"/>
    <x v="3"/>
    <n v="2"/>
    <n v="4"/>
    <n v="3"/>
  </r>
  <r>
    <x v="2"/>
    <n v="3"/>
    <n v="2"/>
    <n v="3"/>
    <n v="1"/>
    <n v="3"/>
    <n v="2"/>
    <n v="2"/>
    <n v="2"/>
    <n v="2"/>
    <n v="2"/>
    <n v="1"/>
    <m/>
    <m/>
    <m/>
    <n v="1"/>
    <n v="1"/>
    <m/>
    <m/>
    <m/>
    <n v="1"/>
    <m/>
    <n v="1"/>
    <n v="2"/>
    <n v="2"/>
    <n v="2"/>
    <n v="1"/>
    <n v="1"/>
    <n v="1"/>
    <n v="1"/>
    <n v="2"/>
    <m/>
    <n v="2"/>
    <n v="1"/>
    <n v="4"/>
    <n v="3"/>
    <n v="3"/>
    <n v="3"/>
    <n v="3"/>
    <n v="1"/>
    <n v="1"/>
    <n v="1"/>
    <m/>
    <m/>
    <m/>
    <n v="1"/>
    <n v="2"/>
    <n v="1"/>
    <n v="1"/>
    <n v="1"/>
    <n v="1"/>
    <n v="1"/>
    <n v="1"/>
    <n v="2"/>
    <n v="1"/>
    <m/>
    <n v="1"/>
    <n v="2"/>
    <n v="98"/>
    <m/>
    <n v="3"/>
    <n v="2"/>
    <n v="1"/>
    <x v="1"/>
    <n v="1947"/>
    <n v="1"/>
    <m/>
    <n v="6"/>
    <m/>
    <n v="4"/>
    <m/>
    <n v="1"/>
    <m/>
    <n v="2"/>
    <n v="1"/>
    <n v="66"/>
    <x v="3"/>
    <n v="2"/>
    <n v="3"/>
    <n v="2"/>
  </r>
  <r>
    <x v="2"/>
    <n v="2"/>
    <n v="3"/>
    <n v="2"/>
    <n v="2"/>
    <n v="2"/>
    <n v="3"/>
    <n v="3"/>
    <n v="4"/>
    <n v="2"/>
    <n v="1"/>
    <m/>
    <n v="1"/>
    <n v="1"/>
    <n v="1"/>
    <m/>
    <m/>
    <m/>
    <m/>
    <m/>
    <n v="2"/>
    <m/>
    <n v="1"/>
    <n v="2"/>
    <n v="1"/>
    <n v="2"/>
    <n v="1"/>
    <n v="2"/>
    <n v="2"/>
    <n v="1"/>
    <n v="2"/>
    <m/>
    <n v="3"/>
    <n v="7"/>
    <n v="1"/>
    <n v="1"/>
    <n v="2"/>
    <n v="2"/>
    <n v="2"/>
    <n v="3"/>
    <n v="3"/>
    <n v="2"/>
    <n v="3"/>
    <m/>
    <m/>
    <n v="2"/>
    <n v="1"/>
    <n v="1"/>
    <n v="1"/>
    <n v="2"/>
    <n v="2"/>
    <n v="2"/>
    <n v="2"/>
    <n v="4"/>
    <m/>
    <m/>
    <n v="2"/>
    <m/>
    <m/>
    <m/>
    <n v="5"/>
    <n v="4"/>
    <n v="3"/>
    <x v="2"/>
    <n v="1984"/>
    <n v="3"/>
    <m/>
    <n v="4"/>
    <m/>
    <n v="6"/>
    <m/>
    <n v="3"/>
    <m/>
    <n v="1"/>
    <n v="1"/>
    <n v="29"/>
    <x v="1"/>
    <n v="2"/>
    <n v="4"/>
    <n v="2"/>
  </r>
  <r>
    <x v="3"/>
    <n v="1"/>
    <n v="2"/>
    <n v="1"/>
    <n v="4"/>
    <n v="1"/>
    <n v="3"/>
    <n v="1"/>
    <n v="1"/>
    <n v="1"/>
    <n v="2"/>
    <n v="1"/>
    <m/>
    <n v="1"/>
    <m/>
    <m/>
    <n v="1"/>
    <n v="1"/>
    <m/>
    <m/>
    <n v="2"/>
    <m/>
    <n v="2"/>
    <n v="1"/>
    <n v="2"/>
    <n v="1"/>
    <n v="1"/>
    <n v="1"/>
    <n v="1"/>
    <n v="2"/>
    <n v="1"/>
    <n v="1"/>
    <n v="4"/>
    <n v="1"/>
    <n v="2"/>
    <n v="1"/>
    <n v="2"/>
    <n v="1"/>
    <n v="1"/>
    <n v="2"/>
    <n v="8"/>
    <n v="3"/>
    <n v="2"/>
    <m/>
    <m/>
    <n v="1"/>
    <n v="2"/>
    <n v="2"/>
    <n v="2"/>
    <n v="2"/>
    <n v="2"/>
    <n v="1"/>
    <n v="1"/>
    <n v="1"/>
    <n v="8"/>
    <m/>
    <n v="2"/>
    <m/>
    <m/>
    <m/>
    <n v="3"/>
    <n v="3"/>
    <n v="1"/>
    <x v="1"/>
    <n v="1989"/>
    <n v="2"/>
    <m/>
    <n v="7"/>
    <m/>
    <n v="4"/>
    <m/>
    <n v="2"/>
    <m/>
    <n v="2"/>
    <n v="1"/>
    <n v="24"/>
    <x v="1"/>
    <n v="2"/>
    <n v="2"/>
    <n v="2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7"/>
    <m/>
    <m/>
    <m/>
    <m/>
    <m/>
    <m/>
    <m/>
    <m/>
    <m/>
    <n v="1"/>
    <n v="26"/>
    <x v="1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3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1"/>
    <m/>
    <m/>
    <m/>
    <m/>
    <m/>
    <m/>
    <m/>
    <m/>
    <m/>
    <n v="1"/>
    <n v="32"/>
    <x v="1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70"/>
    <m/>
    <m/>
    <m/>
    <m/>
    <m/>
    <m/>
    <m/>
    <m/>
    <m/>
    <n v="1"/>
    <n v="43"/>
    <x v="2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</pivotCacheRecords>
</file>

<file path=xl/pivotCache/pivotCacheRecords28.xml><?xml version="1.0" encoding="utf-8"?>
<pivotCacheRecords xmlns="http://schemas.openxmlformats.org/spreadsheetml/2006/main" xmlns:r="http://schemas.openxmlformats.org/officeDocument/2006/relationships" count="632">
  <r>
    <x v="0"/>
    <s v="Dans votre quartier, les actes de vandalisme sont … ?"/>
    <s v="Dans votre quartier, les conflits entre les groupes d'origines ethniques différentes sont … ?"/>
    <s v="Dans votre quartier, les conflits entre d'autres groupes d'individus sont … ?"/>
    <s v="Dans votre quartier, les graffiti sont … ?"/>
    <s v="Dans votre quartier, les immeubles ou bâtiments abandonnés ou mal entretenus sont... ?"/>
    <s v="Dans votre quartier, le niveau d'entraide entre les personnes est... ?"/>
    <s v="Dans votre quartier, le niveau de confiance qui règne entre la plupart des personnes est... ?"/>
    <s v="Dans votre quartier, les comportements des jeunes ou des groupes de jeunes sont-ils pour vous une source de menace ou d'insécurité ?"/>
    <s v="Y a-t-il d'autres individus ou des groupes d'individus dont les comportements sont pour vous une source de menace ou d'insécurité ?"/>
    <s v="De quel type ou groupe d'individus s'agit-il ?  Toxicomanes ou revendeur de drogue"/>
    <s v="De quel type ou groupe d'individus s'agit-il ? Gangs de motards / milieu criminel"/>
    <s v="De quel type ou groupe d'individus s'agit-il ? Sollicitation (vendeurs, mouvements religieux, ex-détenus, etc.)"/>
    <s v="De quel type ou groupe d'individus s'agit-il ? Itinérants"/>
    <s v="De quel type ou groupe d'individus s'agit-il ? Individus ou groupes d'individus en état d'ébriété"/>
    <s v="De quel type ou groupe d'individus s'agit-il ? Personnes d'une communauté culturelle différente de la mienne"/>
    <s v="De quel type ou groupe d'individus s'agit-il ? Voisins"/>
    <s v="De quel type ou groupe d'individus s'agit-il ? Autre"/>
    <s v="De quel type ou groupe d'individus s'agit-il ? Autre, précisez"/>
    <s v="Y a-t-il dans votre quartier des endroits que vous évitez de fréquenter pour des raisons de sécurité ?"/>
    <s v="Lesquels ?"/>
    <s v="Veuillez répondre à chacun des énoncés suivants. Quand je me déplace dans mon quartier, j'apporte habituellement quelque chose pour assurer ma protection. "/>
    <s v="Veuillez répondre à chacun des énoncés suivants. Lorsque je suis dans mon quartier, je vérifie qu'aucun intrus ne se trouve à l'intérieur de ma voiture avant d'y monter."/>
    <s v="Veuillez répondre à chacun des énoncés suivants. À mon domicile, j'évite d'ouvrir la porte à des inconnus, pour des raisons de sécurité. "/>
    <s v="Veuillez répondre à chacun des énoncés suivants. Je garde les portes extérieures de mon domicile constamment verrouillées, même lorsque je suis chez moi. "/>
    <s v="Veuillez répondre à chacun des énoncés suivants. Spécialement par mesure de protection, il y a un chien à mon domicile. "/>
    <s v="Veuillez répondre à chacun des énoncés suivants. J'ai un système d'alarme que j'active régulièrement pour protéger mon domicile contre le vol."/>
    <s v="Veuillez répondre à chacun des énoncés suivants. Spécialement par mesure de protection, j'ai suivi un cours d'autodéfense. "/>
    <s v="Veuillez répondre à chacun des énoncés suivants. Spécialement par mesure de protection, il y a une arme à feu à mon domicile. "/>
    <s v="Est-ce qu'il y a à votre domicile au moins un détecteur de fumée fonctionnel par étage ? "/>
    <s v="Le bon fonctionnement de cet/ces appareil(s) a-t-il été vérifié, au cours des douze (12) derniers mois ?"/>
    <s v="Veuillez nous dire votre degré de satisfaction à l'égard : du déneigement et du déglaçage des rues et des trottoirs de votre quartier ? "/>
    <s v="Veuillez nous dire votre degré de satisfaction à l'égard :  de la propreté et de l'entretien des parcs et terrains de jeux de votre quartier ?"/>
    <s v="Veuillez nous dire votre degré de satisfaction à l'égard :  de la sécurité des équipements dans les parcs, aires de jeux ou centre récréatif ou sportif de votre quartier ? "/>
    <s v="Votre quartier est-il desservi par un service de police municipal, une régie intermunicipale ou par la Sûreté du Québec ?"/>
    <s v="Quel est votre niveau de satisfaction à l'égard de la présence des policiers dans votre quartier ?"/>
    <s v="Quel est votre niveau de satisfaction à l'égard du travail effectué par les policiers dans votre quartier ?"/>
    <s v="De façon plus spécifique, quel est votre niveau de satisfaction à l'égard du travail effectué par les policiers : auprès des jeunes de votre quartier"/>
    <s v="De façon plus spécifique, quel est votre niveau de satisfaction à l'égard du travail effectué par les policiers : pour assurer la sécurité routière dans votre quartier"/>
    <s v="De façon plus spécifique, quel est votre niveau de satisfaction à l'égard du travail effectué par les policiers : pour régler des problèmes de délinquance ou de désordres qui surviennent dans votre quartier"/>
    <s v="Au cours des deux dernières années, combien de fois avez-vous fait appel au service de police qui dessert votre quartier ?"/>
    <s v="En vous référant à l'événement le plus récent, quel est votre niveau de satisfaction à l'égard de la réponse que vous avez reçue ?"/>
    <s v="Pourquoi ? Peu"/>
    <s v="Pourquoi ? Pas"/>
    <s v="Au cours des deux dernières années, vous êtes vous IMPLIQUÉ SUR UNE BASE RÉGULIÈRE dans les activités suivantes de votre quartier : Dans un comité ou un organisme préoccupé par les problèmes de sécurité de votre quartier ?"/>
    <s v="Au cours des deux dernières années, vous êtes vous IMPLIQUÉ SUR UNE BASE RÉGULIÈRE dans les activités suivantes de votre quartier : Dans des assemblées du conseil municipal ?"/>
    <s v="Au cours des deux dernières années, vous êtes vous IMPLIQUÉ SUR UNE BASE RÉGULIÈRE dans les activités suivantes de votre quartier : Dans un conseil de quartier ou d'arrondissement ?"/>
    <s v="Au cours des deux dernières années, vous êtes vous IMPLIQUÉ SUR UNE BASE RÉGULIÈRE dans les activités suivantes de votre quartier : Dans un comité de citoyens ?"/>
    <s v="Au cours des deux dernières années, vous êtes vous IMPLIQUÉ SUR UNE BASE RÉGULIÈRE dans les activités suivantes de votre quartier : Dans des activités communautaires, d'entraide ou de bénévolat (cuisine communautaire, bazar)"/>
    <s v="Au cours des deux dernières années, vous êtes vous IMPLIQUÉ SUR UNE BASE RÉGULIÈRE dans les activités suivantes de votre quartier : Dans des activités sociales, culturelles ou sportives organisées par les gens de votre quartier ou de votre municipalité ?"/>
    <s v="Au cours des deux dernières années, avez-vous été victime de vol, de vandalisme ou de tout autre crime contre vos biens, chez vous ou dans votre quartier ?"/>
    <s v="Au cours des deux dernières années, avez-vous été victime d'une agression, d'intimidation ou de tout autre acte de violence, chez vous ou dans votre quartier ?"/>
    <s v="Au cours des deux dernières années avez-vous été victime dans votre quartier d'une quelconque forme de discrimination ?"/>
    <s v="À votre avis, le motif de cette discrimination était lié …"/>
    <s v="Autre, précisez :"/>
    <s v="Au cours des deux dernières années, avez-vous subi un accident qui vous a occasionné une blessure pour laquelle vous avez dû consulter un professionnel de la santé ou limiter vos activités ?"/>
    <s v="Combien de fois cela s'est-il produit ?"/>
    <s v="En se référant au dernier événement, était-ce … ?"/>
    <s v="Autre, précisez :"/>
    <s v="Maintenant, comparativement à d'autres personnes de votre âge, dirirez-vous que votre santé est en général …"/>
    <s v="Dans quel quartier habitez-vous ?"/>
    <s v="Combien de personne de moins de 18 ans habitent dans votre foyer ?"/>
    <x v="0"/>
    <s v="Quelle est votre année de naissance ?"/>
    <s v="Êtes-vous propriétaire ou locataire du logement que vous habitez ?"/>
    <s v="Autre, précisez : "/>
    <s v="Habitez-vous dans …"/>
    <s v="Autre, précisez : "/>
    <s v="Quel est votre état civil ?"/>
    <s v="Autre, précisez : "/>
    <s v="Où est situé votre lieu de travail habituel ?"/>
    <s v="Autre, précisez : "/>
    <s v="Quel est le plus haut niveau de scolarité que vous avez complété ?"/>
    <m/>
    <m/>
    <x v="0"/>
    <m/>
    <m/>
    <m/>
  </r>
  <r>
    <x v="1"/>
    <n v="2"/>
    <n v="1"/>
    <n v="2"/>
    <n v="2"/>
    <n v="4"/>
    <n v="3"/>
    <n v="1"/>
    <n v="1"/>
    <n v="1"/>
    <m/>
    <n v="1"/>
    <m/>
    <n v="1"/>
    <n v="1"/>
    <n v="1"/>
    <n v="1"/>
    <m/>
    <m/>
    <n v="1"/>
    <m/>
    <n v="2"/>
    <n v="2"/>
    <n v="1"/>
    <n v="1"/>
    <n v="1"/>
    <n v="2"/>
    <n v="1"/>
    <n v="2"/>
    <n v="2"/>
    <m/>
    <n v="1"/>
    <n v="7"/>
    <n v="4"/>
    <n v="8"/>
    <n v="1"/>
    <n v="4"/>
    <n v="8"/>
    <n v="2"/>
    <n v="2"/>
    <n v="1"/>
    <m/>
    <m/>
    <m/>
    <n v="1"/>
    <n v="2"/>
    <n v="1"/>
    <n v="2"/>
    <n v="2"/>
    <n v="1"/>
    <n v="1"/>
    <n v="2"/>
    <n v="1"/>
    <n v="2"/>
    <m/>
    <n v="1"/>
    <n v="4"/>
    <n v="5"/>
    <m/>
    <n v="2"/>
    <n v="4"/>
    <n v="5"/>
    <x v="1"/>
    <n v="1981"/>
    <n v="2"/>
    <m/>
    <n v="7"/>
    <m/>
    <n v="1"/>
    <m/>
    <n v="1"/>
    <m/>
    <n v="4"/>
    <n v="1"/>
    <n v="32"/>
    <x v="1"/>
    <n v="1"/>
    <n v="1"/>
    <n v="1"/>
  </r>
  <r>
    <x v="2"/>
    <n v="2"/>
    <n v="1"/>
    <n v="2"/>
    <n v="1"/>
    <n v="2"/>
    <n v="2"/>
    <n v="1"/>
    <n v="2"/>
    <n v="1"/>
    <m/>
    <m/>
    <n v="1"/>
    <m/>
    <n v="1"/>
    <m/>
    <n v="1"/>
    <m/>
    <m/>
    <n v="2"/>
    <m/>
    <n v="1"/>
    <n v="1"/>
    <n v="2"/>
    <n v="1"/>
    <n v="1"/>
    <n v="1"/>
    <n v="1"/>
    <n v="1"/>
    <n v="1"/>
    <n v="1"/>
    <n v="2"/>
    <n v="4"/>
    <n v="1"/>
    <n v="1"/>
    <n v="4"/>
    <n v="8"/>
    <n v="1"/>
    <n v="4"/>
    <n v="1"/>
    <n v="2"/>
    <n v="1"/>
    <m/>
    <m/>
    <n v="2"/>
    <n v="1"/>
    <n v="1"/>
    <n v="2"/>
    <n v="2"/>
    <n v="1"/>
    <n v="2"/>
    <n v="1"/>
    <n v="2"/>
    <n v="1"/>
    <m/>
    <n v="2"/>
    <m/>
    <m/>
    <m/>
    <n v="4"/>
    <n v="1"/>
    <n v="2"/>
    <x v="2"/>
    <n v="1970"/>
    <n v="1"/>
    <m/>
    <n v="5"/>
    <m/>
    <n v="2"/>
    <m/>
    <n v="2"/>
    <m/>
    <n v="1"/>
    <n v="1"/>
    <n v="43"/>
    <x v="2"/>
    <n v="2"/>
    <n v="3"/>
    <n v="2"/>
  </r>
  <r>
    <x v="3"/>
    <n v="2"/>
    <n v="1"/>
    <n v="3"/>
    <n v="2"/>
    <n v="3"/>
    <n v="1"/>
    <n v="2"/>
    <n v="1"/>
    <n v="2"/>
    <n v="1"/>
    <m/>
    <m/>
    <m/>
    <n v="1"/>
    <n v="1"/>
    <m/>
    <n v="1"/>
    <m/>
    <n v="2"/>
    <m/>
    <n v="1"/>
    <n v="1"/>
    <n v="2"/>
    <n v="1"/>
    <n v="1"/>
    <n v="1"/>
    <n v="2"/>
    <n v="1"/>
    <n v="1"/>
    <n v="2"/>
    <n v="3"/>
    <n v="1"/>
    <n v="2"/>
    <n v="3"/>
    <n v="2"/>
    <n v="1"/>
    <n v="2"/>
    <n v="3"/>
    <n v="4"/>
    <n v="3"/>
    <n v="3"/>
    <m/>
    <m/>
    <n v="2"/>
    <n v="1"/>
    <n v="2"/>
    <n v="2"/>
    <n v="2"/>
    <n v="2"/>
    <n v="2"/>
    <n v="1"/>
    <n v="3"/>
    <n v="3"/>
    <m/>
    <n v="1"/>
    <n v="2"/>
    <n v="8"/>
    <m/>
    <n v="5"/>
    <n v="4"/>
    <n v="4"/>
    <x v="2"/>
    <n v="1990"/>
    <n v="3"/>
    <m/>
    <n v="4"/>
    <m/>
    <n v="4"/>
    <m/>
    <n v="3"/>
    <m/>
    <n v="2"/>
    <n v="1"/>
    <n v="23"/>
    <x v="1"/>
    <n v="2"/>
    <n v="4"/>
    <n v="2"/>
  </r>
  <r>
    <x v="2"/>
    <n v="2"/>
    <n v="1"/>
    <n v="2"/>
    <n v="3"/>
    <n v="3"/>
    <n v="1"/>
    <n v="3"/>
    <n v="1"/>
    <n v="1"/>
    <n v="1"/>
    <n v="1"/>
    <m/>
    <n v="1"/>
    <n v="1"/>
    <n v="1"/>
    <n v="1"/>
    <m/>
    <m/>
    <n v="2"/>
    <m/>
    <n v="1"/>
    <n v="1"/>
    <n v="2"/>
    <n v="2"/>
    <n v="1"/>
    <n v="2"/>
    <n v="2"/>
    <n v="1"/>
    <n v="1"/>
    <n v="1"/>
    <n v="4"/>
    <n v="3"/>
    <n v="3"/>
    <n v="2"/>
    <n v="3"/>
    <n v="1"/>
    <n v="3"/>
    <n v="2"/>
    <n v="2"/>
    <n v="4"/>
    <n v="2"/>
    <m/>
    <m/>
    <n v="2"/>
    <n v="1"/>
    <n v="2"/>
    <n v="2"/>
    <n v="1"/>
    <n v="2"/>
    <n v="2"/>
    <n v="2"/>
    <n v="4"/>
    <m/>
    <m/>
    <n v="1"/>
    <n v="2"/>
    <n v="7"/>
    <m/>
    <n v="1"/>
    <n v="2"/>
    <n v="1"/>
    <x v="2"/>
    <n v="1983"/>
    <n v="1"/>
    <m/>
    <n v="1"/>
    <m/>
    <n v="1"/>
    <m/>
    <n v="4"/>
    <m/>
    <n v="3"/>
    <n v="1"/>
    <n v="30"/>
    <x v="1"/>
    <n v="2"/>
    <n v="3"/>
    <n v="2"/>
  </r>
  <r>
    <x v="2"/>
    <n v="1"/>
    <n v="2"/>
    <n v="2"/>
    <n v="3"/>
    <n v="2"/>
    <n v="1"/>
    <n v="2"/>
    <n v="2"/>
    <n v="1"/>
    <m/>
    <n v="1"/>
    <n v="1"/>
    <n v="1"/>
    <n v="1"/>
    <n v="1"/>
    <m/>
    <m/>
    <m/>
    <n v="2"/>
    <m/>
    <n v="1"/>
    <n v="1"/>
    <n v="1"/>
    <n v="2"/>
    <n v="2"/>
    <n v="2"/>
    <n v="1"/>
    <n v="2"/>
    <n v="2"/>
    <m/>
    <n v="7"/>
    <n v="3"/>
    <n v="3"/>
    <n v="1"/>
    <n v="2"/>
    <n v="3"/>
    <n v="2"/>
    <n v="1"/>
    <n v="3"/>
    <n v="2"/>
    <n v="4"/>
    <m/>
    <m/>
    <n v="1"/>
    <n v="2"/>
    <n v="2"/>
    <n v="1"/>
    <n v="1"/>
    <n v="2"/>
    <n v="2"/>
    <n v="1"/>
    <n v="1"/>
    <n v="6"/>
    <m/>
    <n v="2"/>
    <m/>
    <m/>
    <m/>
    <n v="3"/>
    <n v="3"/>
    <m/>
    <x v="2"/>
    <n v="1967"/>
    <n v="1"/>
    <m/>
    <n v="2"/>
    <m/>
    <n v="3"/>
    <m/>
    <n v="4"/>
    <m/>
    <n v="2"/>
    <n v="1"/>
    <n v="46"/>
    <x v="2"/>
    <n v="3"/>
    <n v="5"/>
    <n v="3"/>
  </r>
  <r>
    <x v="1"/>
    <n v="1"/>
    <n v="2"/>
    <n v="1"/>
    <n v="3"/>
    <n v="1"/>
    <n v="1"/>
    <n v="2"/>
    <n v="1"/>
    <n v="1"/>
    <m/>
    <n v="1"/>
    <m/>
    <m/>
    <m/>
    <n v="1"/>
    <m/>
    <m/>
    <m/>
    <n v="2"/>
    <m/>
    <n v="1"/>
    <n v="1"/>
    <n v="1"/>
    <n v="2"/>
    <n v="2"/>
    <n v="1"/>
    <n v="1"/>
    <n v="2"/>
    <n v="1"/>
    <n v="1"/>
    <n v="4"/>
    <n v="2"/>
    <n v="2"/>
    <n v="2"/>
    <n v="3"/>
    <n v="2"/>
    <n v="4"/>
    <n v="4"/>
    <n v="2"/>
    <n v="1"/>
    <m/>
    <m/>
    <m/>
    <n v="1"/>
    <n v="2"/>
    <n v="1"/>
    <n v="1"/>
    <n v="2"/>
    <n v="1"/>
    <n v="1"/>
    <n v="2"/>
    <n v="4"/>
    <m/>
    <m/>
    <n v="2"/>
    <m/>
    <m/>
    <m/>
    <n v="2"/>
    <n v="2"/>
    <n v="1"/>
    <x v="2"/>
    <n v="1962"/>
    <n v="2"/>
    <m/>
    <n v="3"/>
    <m/>
    <n v="3"/>
    <m/>
    <n v="1"/>
    <m/>
    <n v="1"/>
    <n v="1"/>
    <n v="51"/>
    <x v="2"/>
    <n v="2"/>
    <n v="2"/>
    <n v="2"/>
  </r>
  <r>
    <x v="2"/>
    <n v="2"/>
    <n v="3"/>
    <n v="4"/>
    <n v="2"/>
    <n v="2"/>
    <n v="4"/>
    <n v="1"/>
    <n v="1"/>
    <n v="2"/>
    <m/>
    <m/>
    <m/>
    <n v="1"/>
    <m/>
    <n v="1"/>
    <m/>
    <m/>
    <m/>
    <n v="2"/>
    <m/>
    <n v="2"/>
    <n v="2"/>
    <n v="1"/>
    <n v="2"/>
    <n v="2"/>
    <n v="1"/>
    <n v="2"/>
    <n v="2"/>
    <n v="2"/>
    <m/>
    <n v="2"/>
    <n v="1"/>
    <n v="1"/>
    <n v="1"/>
    <n v="3"/>
    <n v="3"/>
    <n v="1"/>
    <n v="8"/>
    <n v="1"/>
    <n v="3"/>
    <n v="2"/>
    <m/>
    <m/>
    <n v="1"/>
    <n v="2"/>
    <n v="1"/>
    <n v="1"/>
    <n v="1"/>
    <n v="1"/>
    <n v="1"/>
    <n v="1"/>
    <n v="1"/>
    <n v="7"/>
    <m/>
    <n v="1"/>
    <n v="2"/>
    <n v="6"/>
    <m/>
    <n v="1"/>
    <n v="3"/>
    <n v="3"/>
    <x v="2"/>
    <n v="1994"/>
    <n v="3"/>
    <m/>
    <n v="3"/>
    <m/>
    <n v="2"/>
    <m/>
    <n v="2"/>
    <m/>
    <n v="4"/>
    <n v="1"/>
    <n v="19"/>
    <x v="1"/>
    <n v="2"/>
    <n v="4"/>
    <n v="2"/>
  </r>
  <r>
    <x v="2"/>
    <n v="3"/>
    <n v="2"/>
    <n v="1"/>
    <n v="4"/>
    <n v="1"/>
    <n v="4"/>
    <n v="4"/>
    <n v="2"/>
    <n v="2"/>
    <m/>
    <m/>
    <n v="1"/>
    <n v="1"/>
    <m/>
    <m/>
    <n v="1"/>
    <m/>
    <m/>
    <n v="1"/>
    <m/>
    <n v="2"/>
    <n v="2"/>
    <n v="1"/>
    <n v="2"/>
    <n v="2"/>
    <n v="2"/>
    <n v="1"/>
    <n v="2"/>
    <n v="1"/>
    <n v="2"/>
    <n v="3"/>
    <n v="1"/>
    <n v="2"/>
    <n v="3"/>
    <n v="4"/>
    <n v="2"/>
    <n v="3"/>
    <n v="8"/>
    <n v="4"/>
    <n v="2"/>
    <n v="1"/>
    <m/>
    <m/>
    <n v="1"/>
    <n v="1"/>
    <n v="1"/>
    <n v="1"/>
    <n v="1"/>
    <n v="1"/>
    <n v="1"/>
    <n v="2"/>
    <n v="3"/>
    <n v="2"/>
    <m/>
    <n v="2"/>
    <m/>
    <m/>
    <m/>
    <n v="3"/>
    <n v="2"/>
    <n v="2"/>
    <x v="1"/>
    <n v="1983"/>
    <n v="2"/>
    <m/>
    <n v="2"/>
    <m/>
    <n v="1"/>
    <m/>
    <n v="3"/>
    <m/>
    <n v="1"/>
    <n v="1"/>
    <n v="30"/>
    <x v="1"/>
    <n v="2"/>
    <n v="4"/>
    <n v="2"/>
  </r>
  <r>
    <x v="4"/>
    <n v="2"/>
    <n v="3"/>
    <n v="2"/>
    <n v="4"/>
    <n v="4"/>
    <n v="3"/>
    <n v="1"/>
    <n v="2"/>
    <n v="2"/>
    <n v="1"/>
    <n v="1"/>
    <m/>
    <n v="1"/>
    <n v="1"/>
    <n v="1"/>
    <m/>
    <m/>
    <m/>
    <n v="1"/>
    <m/>
    <n v="2"/>
    <n v="2"/>
    <n v="1"/>
    <n v="2"/>
    <n v="2"/>
    <n v="1"/>
    <n v="2"/>
    <n v="2"/>
    <n v="2"/>
    <m/>
    <n v="1"/>
    <n v="4"/>
    <n v="3"/>
    <n v="2"/>
    <n v="1"/>
    <n v="3"/>
    <n v="2"/>
    <n v="8"/>
    <n v="2"/>
    <n v="1"/>
    <m/>
    <m/>
    <m/>
    <n v="2"/>
    <n v="1"/>
    <n v="2"/>
    <n v="2"/>
    <n v="1"/>
    <n v="2"/>
    <n v="1"/>
    <n v="1"/>
    <n v="2"/>
    <n v="2"/>
    <m/>
    <n v="1"/>
    <n v="1"/>
    <n v="1"/>
    <m/>
    <n v="8"/>
    <n v="3"/>
    <n v="5"/>
    <x v="1"/>
    <n v="1975"/>
    <n v="3"/>
    <m/>
    <n v="2"/>
    <m/>
    <n v="4"/>
    <m/>
    <n v="2"/>
    <m/>
    <n v="3"/>
    <n v="1"/>
    <n v="38"/>
    <x v="1"/>
    <n v="2"/>
    <n v="2"/>
    <n v="1"/>
  </r>
  <r>
    <x v="4"/>
    <n v="3"/>
    <n v="2"/>
    <n v="3"/>
    <n v="4"/>
    <n v="1"/>
    <n v="2"/>
    <n v="2"/>
    <n v="1"/>
    <n v="1"/>
    <m/>
    <m/>
    <n v="1"/>
    <m/>
    <m/>
    <n v="1"/>
    <m/>
    <n v="1"/>
    <m/>
    <n v="1"/>
    <m/>
    <n v="2"/>
    <n v="2"/>
    <n v="1"/>
    <n v="1"/>
    <n v="2"/>
    <n v="2"/>
    <n v="2"/>
    <n v="2"/>
    <n v="2"/>
    <m/>
    <n v="2"/>
    <n v="1"/>
    <n v="4"/>
    <n v="2"/>
    <n v="2"/>
    <n v="2"/>
    <n v="1"/>
    <n v="8"/>
    <n v="3"/>
    <n v="3"/>
    <n v="3"/>
    <m/>
    <m/>
    <n v="2"/>
    <n v="2"/>
    <n v="2"/>
    <n v="2"/>
    <n v="2"/>
    <n v="2"/>
    <n v="1"/>
    <n v="1"/>
    <n v="2"/>
    <n v="3"/>
    <m/>
    <n v="1"/>
    <n v="2"/>
    <n v="5"/>
    <m/>
    <n v="2"/>
    <n v="2"/>
    <n v="5"/>
    <x v="1"/>
    <n v="1979"/>
    <n v="3"/>
    <m/>
    <n v="1"/>
    <m/>
    <n v="1"/>
    <m/>
    <n v="1"/>
    <m/>
    <n v="2"/>
    <n v="1"/>
    <n v="34"/>
    <x v="1"/>
    <n v="1"/>
    <n v="1"/>
    <n v="1"/>
  </r>
  <r>
    <x v="2"/>
    <n v="2"/>
    <n v="4"/>
    <n v="2"/>
    <n v="1"/>
    <n v="4"/>
    <n v="2"/>
    <n v="3"/>
    <n v="1"/>
    <n v="2"/>
    <m/>
    <m/>
    <n v="1"/>
    <m/>
    <m/>
    <m/>
    <m/>
    <m/>
    <m/>
    <n v="1"/>
    <m/>
    <n v="2"/>
    <n v="2"/>
    <n v="2"/>
    <n v="1"/>
    <n v="2"/>
    <n v="1"/>
    <n v="1"/>
    <n v="1"/>
    <n v="2"/>
    <m/>
    <n v="3"/>
    <n v="2"/>
    <n v="1"/>
    <n v="2"/>
    <n v="4"/>
    <n v="4"/>
    <n v="4"/>
    <n v="3"/>
    <n v="8"/>
    <n v="1"/>
    <m/>
    <m/>
    <m/>
    <n v="2"/>
    <n v="2"/>
    <n v="2"/>
    <n v="2"/>
    <n v="2"/>
    <n v="2"/>
    <n v="2"/>
    <n v="2"/>
    <n v="3"/>
    <n v="5"/>
    <m/>
    <n v="2"/>
    <m/>
    <m/>
    <m/>
    <n v="1"/>
    <n v="1"/>
    <n v="5"/>
    <x v="1"/>
    <n v="1957"/>
    <n v="3"/>
    <m/>
    <n v="1"/>
    <m/>
    <n v="3"/>
    <m/>
    <n v="4"/>
    <m/>
    <n v="3"/>
    <n v="1"/>
    <n v="56"/>
    <x v="2"/>
    <n v="1"/>
    <n v="1"/>
    <n v="1"/>
  </r>
  <r>
    <x v="4"/>
    <n v="4"/>
    <n v="2"/>
    <n v="1"/>
    <n v="2"/>
    <n v="1"/>
    <n v="3"/>
    <n v="1"/>
    <n v="2"/>
    <n v="1"/>
    <n v="1"/>
    <n v="1"/>
    <n v="1"/>
    <m/>
    <m/>
    <m/>
    <n v="1"/>
    <m/>
    <m/>
    <n v="1"/>
    <m/>
    <n v="1"/>
    <n v="2"/>
    <n v="1"/>
    <n v="1"/>
    <n v="1"/>
    <n v="2"/>
    <n v="2"/>
    <n v="1"/>
    <n v="1"/>
    <n v="2"/>
    <n v="1"/>
    <n v="3"/>
    <n v="7"/>
    <n v="3"/>
    <n v="1"/>
    <n v="2"/>
    <n v="2"/>
    <n v="2"/>
    <n v="2"/>
    <n v="4"/>
    <n v="4"/>
    <m/>
    <m/>
    <n v="1"/>
    <n v="1"/>
    <n v="1"/>
    <n v="2"/>
    <n v="2"/>
    <n v="1"/>
    <n v="2"/>
    <n v="2"/>
    <n v="3"/>
    <n v="98"/>
    <m/>
    <n v="1"/>
    <n v="4"/>
    <n v="4"/>
    <m/>
    <n v="2"/>
    <n v="3"/>
    <m/>
    <x v="2"/>
    <n v="1946"/>
    <n v="2"/>
    <m/>
    <n v="5"/>
    <m/>
    <n v="2"/>
    <m/>
    <n v="2"/>
    <m/>
    <n v="2"/>
    <n v="1"/>
    <n v="67"/>
    <x v="3"/>
    <n v="2"/>
    <n v="4"/>
    <n v="3"/>
  </r>
  <r>
    <x v="1"/>
    <n v="2"/>
    <n v="3"/>
    <n v="1"/>
    <n v="3"/>
    <n v="2"/>
    <n v="2"/>
    <n v="2"/>
    <n v="2"/>
    <n v="2"/>
    <n v="1"/>
    <m/>
    <m/>
    <m/>
    <n v="1"/>
    <n v="1"/>
    <m/>
    <m/>
    <m/>
    <n v="1"/>
    <m/>
    <n v="1"/>
    <n v="2"/>
    <n v="2"/>
    <n v="2"/>
    <n v="1"/>
    <n v="1"/>
    <n v="1"/>
    <n v="1"/>
    <n v="2"/>
    <m/>
    <n v="2"/>
    <n v="1"/>
    <n v="4"/>
    <n v="3"/>
    <n v="3"/>
    <n v="3"/>
    <n v="3"/>
    <n v="1"/>
    <n v="1"/>
    <n v="1"/>
    <m/>
    <m/>
    <m/>
    <n v="1"/>
    <n v="2"/>
    <n v="1"/>
    <n v="1"/>
    <n v="1"/>
    <n v="1"/>
    <n v="1"/>
    <n v="1"/>
    <n v="2"/>
    <n v="1"/>
    <m/>
    <n v="1"/>
    <n v="2"/>
    <n v="98"/>
    <m/>
    <n v="3"/>
    <n v="2"/>
    <n v="1"/>
    <x v="1"/>
    <n v="1947"/>
    <n v="1"/>
    <m/>
    <n v="6"/>
    <m/>
    <n v="4"/>
    <m/>
    <n v="1"/>
    <m/>
    <n v="2"/>
    <n v="1"/>
    <n v="66"/>
    <x v="3"/>
    <n v="2"/>
    <n v="3"/>
    <n v="2"/>
  </r>
  <r>
    <x v="2"/>
    <n v="3"/>
    <n v="2"/>
    <n v="2"/>
    <n v="2"/>
    <n v="3"/>
    <n v="3"/>
    <n v="4"/>
    <n v="2"/>
    <n v="1"/>
    <m/>
    <n v="1"/>
    <n v="1"/>
    <n v="1"/>
    <m/>
    <m/>
    <m/>
    <m/>
    <m/>
    <n v="2"/>
    <m/>
    <n v="1"/>
    <n v="2"/>
    <n v="1"/>
    <n v="2"/>
    <n v="1"/>
    <n v="2"/>
    <n v="2"/>
    <n v="1"/>
    <n v="2"/>
    <m/>
    <n v="3"/>
    <n v="7"/>
    <n v="1"/>
    <n v="1"/>
    <n v="2"/>
    <n v="2"/>
    <n v="2"/>
    <n v="3"/>
    <n v="3"/>
    <n v="2"/>
    <n v="3"/>
    <m/>
    <m/>
    <n v="2"/>
    <n v="1"/>
    <n v="1"/>
    <n v="1"/>
    <n v="2"/>
    <n v="2"/>
    <n v="2"/>
    <n v="2"/>
    <n v="4"/>
    <m/>
    <m/>
    <n v="2"/>
    <m/>
    <m/>
    <m/>
    <n v="5"/>
    <n v="4"/>
    <n v="3"/>
    <x v="2"/>
    <n v="1984"/>
    <n v="3"/>
    <m/>
    <n v="4"/>
    <m/>
    <n v="6"/>
    <m/>
    <n v="3"/>
    <m/>
    <n v="1"/>
    <n v="1"/>
    <n v="29"/>
    <x v="1"/>
    <n v="2"/>
    <n v="4"/>
    <n v="2"/>
  </r>
  <r>
    <x v="3"/>
    <n v="2"/>
    <n v="1"/>
    <n v="4"/>
    <n v="1"/>
    <n v="3"/>
    <n v="1"/>
    <n v="1"/>
    <n v="1"/>
    <n v="2"/>
    <n v="1"/>
    <m/>
    <n v="1"/>
    <m/>
    <m/>
    <n v="1"/>
    <n v="1"/>
    <m/>
    <m/>
    <n v="2"/>
    <m/>
    <n v="2"/>
    <n v="1"/>
    <n v="2"/>
    <n v="1"/>
    <n v="1"/>
    <n v="1"/>
    <n v="1"/>
    <n v="2"/>
    <n v="1"/>
    <n v="1"/>
    <n v="4"/>
    <n v="1"/>
    <n v="2"/>
    <n v="1"/>
    <n v="2"/>
    <n v="1"/>
    <n v="1"/>
    <n v="2"/>
    <n v="8"/>
    <n v="3"/>
    <n v="2"/>
    <m/>
    <m/>
    <n v="1"/>
    <n v="2"/>
    <n v="2"/>
    <n v="2"/>
    <n v="2"/>
    <n v="2"/>
    <n v="1"/>
    <n v="1"/>
    <n v="1"/>
    <n v="8"/>
    <m/>
    <n v="2"/>
    <m/>
    <m/>
    <m/>
    <n v="3"/>
    <n v="3"/>
    <n v="1"/>
    <x v="1"/>
    <n v="1989"/>
    <n v="2"/>
    <m/>
    <n v="7"/>
    <m/>
    <n v="4"/>
    <m/>
    <n v="2"/>
    <m/>
    <n v="2"/>
    <n v="1"/>
    <n v="24"/>
    <x v="1"/>
    <n v="2"/>
    <n v="2"/>
    <n v="2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7"/>
    <m/>
    <m/>
    <m/>
    <m/>
    <m/>
    <m/>
    <m/>
    <m/>
    <m/>
    <n v="1"/>
    <n v="26"/>
    <x v="1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3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1"/>
    <m/>
    <m/>
    <m/>
    <m/>
    <m/>
    <m/>
    <m/>
    <m/>
    <m/>
    <n v="1"/>
    <n v="32"/>
    <x v="1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70"/>
    <m/>
    <m/>
    <m/>
    <m/>
    <m/>
    <m/>
    <m/>
    <m/>
    <m/>
    <n v="1"/>
    <n v="43"/>
    <x v="2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</pivotCacheRecords>
</file>

<file path=xl/pivotCache/pivotCacheRecords29.xml><?xml version="1.0" encoding="utf-8"?>
<pivotCacheRecords xmlns="http://schemas.openxmlformats.org/spreadsheetml/2006/main" xmlns:r="http://schemas.openxmlformats.org/officeDocument/2006/relationships" count="632">
  <r>
    <x v="0"/>
    <s v="Dans votre quartier, les conflits entre les groupes d'origines ethniques différentes sont … ?"/>
    <s v="Dans votre quartier, les conflits entre d'autres groupes d'individus sont … ?"/>
    <s v="Dans votre quartier, les graffiti sont … ?"/>
    <s v="Dans votre quartier, les immeubles ou bâtiments abandonnés ou mal entretenus sont... ?"/>
    <s v="Dans votre quartier, le niveau d'entraide entre les personnes est... ?"/>
    <s v="Dans votre quartier, le niveau de confiance qui règne entre la plupart des personnes est... ?"/>
    <s v="Dans votre quartier, les comportements des jeunes ou des groupes de jeunes sont-ils pour vous une source de menace ou d'insécurité ?"/>
    <s v="Y a-t-il d'autres individus ou des groupes d'individus dont les comportements sont pour vous une source de menace ou d'insécurité ?"/>
    <s v="De quel type ou groupe d'individus s'agit-il ?  Toxicomanes ou revendeur de drogue"/>
    <s v="De quel type ou groupe d'individus s'agit-il ? Gangs de motards / milieu criminel"/>
    <s v="De quel type ou groupe d'individus s'agit-il ? Sollicitation (vendeurs, mouvements religieux, ex-détenus, etc.)"/>
    <s v="De quel type ou groupe d'individus s'agit-il ? Itinérants"/>
    <s v="De quel type ou groupe d'individus s'agit-il ? Individus ou groupes d'individus en état d'ébriété"/>
    <s v="De quel type ou groupe d'individus s'agit-il ? Personnes d'une communauté culturelle différente de la mienne"/>
    <s v="De quel type ou groupe d'individus s'agit-il ? Voisins"/>
    <s v="De quel type ou groupe d'individus s'agit-il ? Autre"/>
    <s v="De quel type ou groupe d'individus s'agit-il ? Autre, précisez"/>
    <s v="Y a-t-il dans votre quartier des endroits que vous évitez de fréquenter pour des raisons de sécurité ?"/>
    <s v="Lesquels ?"/>
    <s v="Veuillez répondre à chacun des énoncés suivants. Quand je me déplace dans mon quartier, j'apporte habituellement quelque chose pour assurer ma protection. "/>
    <s v="Veuillez répondre à chacun des énoncés suivants. Lorsque je suis dans mon quartier, je vérifie qu'aucun intrus ne se trouve à l'intérieur de ma voiture avant d'y monter."/>
    <s v="Veuillez répondre à chacun des énoncés suivants. À mon domicile, j'évite d'ouvrir la porte à des inconnus, pour des raisons de sécurité. "/>
    <s v="Veuillez répondre à chacun des énoncés suivants. Je garde les portes extérieures de mon domicile constamment verrouillées, même lorsque je suis chez moi. "/>
    <s v="Veuillez répondre à chacun des énoncés suivants. Spécialement par mesure de protection, il y a un chien à mon domicile. "/>
    <s v="Veuillez répondre à chacun des énoncés suivants. J'ai un système d'alarme que j'active régulièrement pour protéger mon domicile contre le vol."/>
    <s v="Veuillez répondre à chacun des énoncés suivants. Spécialement par mesure de protection, j'ai suivi un cours d'autodéfense. "/>
    <s v="Veuillez répondre à chacun des énoncés suivants. Spécialement par mesure de protection, il y a une arme à feu à mon domicile. "/>
    <s v="Est-ce qu'il y a à votre domicile au moins un détecteur de fumée fonctionnel par étage ? "/>
    <s v="Le bon fonctionnement de cet/ces appareil(s) a-t-il été vérifié, au cours des douze (12) derniers mois ?"/>
    <s v="Veuillez nous dire votre degré de satisfaction à l'égard : du déneigement et du déglaçage des rues et des trottoirs de votre quartier ? "/>
    <s v="Veuillez nous dire votre degré de satisfaction à l'égard :  de la propreté et de l'entretien des parcs et terrains de jeux de votre quartier ?"/>
    <s v="Veuillez nous dire votre degré de satisfaction à l'égard :  de la sécurité des équipements dans les parcs, aires de jeux ou centre récréatif ou sportif de votre quartier ? "/>
    <s v="Votre quartier est-il desservi par un service de police municipal, une régie intermunicipale ou par la Sûreté du Québec ?"/>
    <s v="Quel est votre niveau de satisfaction à l'égard de la présence des policiers dans votre quartier ?"/>
    <s v="Quel est votre niveau de satisfaction à l'égard du travail effectué par les policiers dans votre quartier ?"/>
    <s v="De façon plus spécifique, quel est votre niveau de satisfaction à l'égard du travail effectué par les policiers : auprès des jeunes de votre quartier"/>
    <s v="De façon plus spécifique, quel est votre niveau de satisfaction à l'égard du travail effectué par les policiers : pour assurer la sécurité routière dans votre quartier"/>
    <s v="De façon plus spécifique, quel est votre niveau de satisfaction à l'égard du travail effectué par les policiers : pour régler des problèmes de délinquance ou de désordres qui surviennent dans votre quartier"/>
    <s v="Au cours des deux dernières années, combien de fois avez-vous fait appel au service de police qui dessert votre quartier ?"/>
    <s v="En vous référant à l'événement le plus récent, quel est votre niveau de satisfaction à l'égard de la réponse que vous avez reçue ?"/>
    <s v="Pourquoi ? Peu"/>
    <s v="Pourquoi ? Pas"/>
    <s v="Au cours des deux dernières années, vous êtes vous IMPLIQUÉ SUR UNE BASE RÉGULIÈRE dans les activités suivantes de votre quartier : Dans un comité ou un organisme préoccupé par les problèmes de sécurité de votre quartier ?"/>
    <s v="Au cours des deux dernières années, vous êtes vous IMPLIQUÉ SUR UNE BASE RÉGULIÈRE dans les activités suivantes de votre quartier : Dans des assemblées du conseil municipal ?"/>
    <s v="Au cours des deux dernières années, vous êtes vous IMPLIQUÉ SUR UNE BASE RÉGULIÈRE dans les activités suivantes de votre quartier : Dans un conseil de quartier ou d'arrondissement ?"/>
    <s v="Au cours des deux dernières années, vous êtes vous IMPLIQUÉ SUR UNE BASE RÉGULIÈRE dans les activités suivantes de votre quartier : Dans un comité de citoyens ?"/>
    <s v="Au cours des deux dernières années, vous êtes vous IMPLIQUÉ SUR UNE BASE RÉGULIÈRE dans les activités suivantes de votre quartier : Dans des activités communautaires, d'entraide ou de bénévolat (cuisine communautaire, bazar)"/>
    <s v="Au cours des deux dernières années, vous êtes vous IMPLIQUÉ SUR UNE BASE RÉGULIÈRE dans les activités suivantes de votre quartier : Dans des activités sociales, culturelles ou sportives organisées par les gens de votre quartier ou de votre municipalité ?"/>
    <s v="Au cours des deux dernières années, avez-vous été victime de vol, de vandalisme ou de tout autre crime contre vos biens, chez vous ou dans votre quartier ?"/>
    <s v="Au cours des deux dernières années, avez-vous été victime d'une agression, d'intimidation ou de tout autre acte de violence, chez vous ou dans votre quartier ?"/>
    <s v="Au cours des deux dernières années avez-vous été victime dans votre quartier d'une quelconque forme de discrimination ?"/>
    <s v="À votre avis, le motif de cette discrimination était lié …"/>
    <s v="Autre, précisez :"/>
    <s v="Au cours des deux dernières années, avez-vous subi un accident qui vous a occasionné une blessure pour laquelle vous avez dû consulter un professionnel de la santé ou limiter vos activités ?"/>
    <s v="Combien de fois cela s'est-il produit ?"/>
    <s v="En se référant au dernier événement, était-ce … ?"/>
    <s v="Autre, précisez :"/>
    <s v="Maintenant, comparativement à d'autres personnes de votre âge, dirirez-vous que votre santé est en général …"/>
    <s v="Dans quel quartier habitez-vous ?"/>
    <s v="Combien de personne de moins de 18 ans habitent dans votre foyer ?"/>
    <x v="0"/>
    <s v="Quelle est votre année de naissance ?"/>
    <s v="Êtes-vous propriétaire ou locataire du logement que vous habitez ?"/>
    <s v="Autre, précisez : "/>
    <s v="Habitez-vous dans …"/>
    <s v="Autre, précisez : "/>
    <s v="Quel est votre état civil ?"/>
    <s v="Autre, précisez : "/>
    <s v="Où est situé votre lieu de travail habituel ?"/>
    <s v="Autre, précisez : "/>
    <s v="Quel est le plus haut niveau de scolarité que vous avez complété ?"/>
    <m/>
    <m/>
    <x v="0"/>
    <m/>
    <m/>
    <m/>
  </r>
  <r>
    <x v="1"/>
    <n v="1"/>
    <n v="2"/>
    <n v="2"/>
    <n v="4"/>
    <n v="3"/>
    <n v="1"/>
    <n v="1"/>
    <n v="1"/>
    <m/>
    <n v="1"/>
    <m/>
    <n v="1"/>
    <n v="1"/>
    <n v="1"/>
    <n v="1"/>
    <m/>
    <m/>
    <n v="1"/>
    <m/>
    <n v="2"/>
    <n v="2"/>
    <n v="1"/>
    <n v="1"/>
    <n v="1"/>
    <n v="2"/>
    <n v="1"/>
    <n v="2"/>
    <n v="2"/>
    <m/>
    <n v="1"/>
    <n v="7"/>
    <n v="4"/>
    <n v="8"/>
    <n v="1"/>
    <n v="4"/>
    <n v="8"/>
    <n v="2"/>
    <n v="2"/>
    <n v="1"/>
    <m/>
    <m/>
    <m/>
    <n v="1"/>
    <n v="2"/>
    <n v="1"/>
    <n v="2"/>
    <n v="2"/>
    <n v="1"/>
    <n v="1"/>
    <n v="2"/>
    <n v="1"/>
    <n v="2"/>
    <m/>
    <n v="1"/>
    <n v="4"/>
    <n v="5"/>
    <m/>
    <n v="2"/>
    <n v="4"/>
    <n v="5"/>
    <x v="1"/>
    <n v="1981"/>
    <n v="2"/>
    <m/>
    <n v="7"/>
    <m/>
    <n v="1"/>
    <m/>
    <n v="1"/>
    <m/>
    <n v="4"/>
    <n v="1"/>
    <n v="32"/>
    <x v="1"/>
    <n v="1"/>
    <n v="1"/>
    <n v="1"/>
  </r>
  <r>
    <x v="1"/>
    <n v="1"/>
    <n v="2"/>
    <n v="1"/>
    <n v="2"/>
    <n v="2"/>
    <n v="1"/>
    <n v="2"/>
    <n v="1"/>
    <m/>
    <m/>
    <n v="1"/>
    <m/>
    <n v="1"/>
    <m/>
    <n v="1"/>
    <m/>
    <m/>
    <n v="2"/>
    <m/>
    <n v="1"/>
    <n v="1"/>
    <n v="2"/>
    <n v="1"/>
    <n v="1"/>
    <n v="1"/>
    <n v="1"/>
    <n v="1"/>
    <n v="1"/>
    <n v="1"/>
    <n v="2"/>
    <n v="4"/>
    <n v="1"/>
    <n v="1"/>
    <n v="4"/>
    <n v="8"/>
    <n v="1"/>
    <n v="4"/>
    <n v="1"/>
    <n v="2"/>
    <n v="1"/>
    <m/>
    <m/>
    <n v="2"/>
    <n v="1"/>
    <n v="1"/>
    <n v="2"/>
    <n v="2"/>
    <n v="1"/>
    <n v="2"/>
    <n v="1"/>
    <n v="2"/>
    <n v="1"/>
    <m/>
    <n v="2"/>
    <m/>
    <m/>
    <m/>
    <n v="4"/>
    <n v="1"/>
    <n v="2"/>
    <x v="2"/>
    <n v="1970"/>
    <n v="1"/>
    <m/>
    <n v="5"/>
    <m/>
    <n v="2"/>
    <m/>
    <n v="2"/>
    <m/>
    <n v="1"/>
    <n v="1"/>
    <n v="43"/>
    <x v="2"/>
    <n v="2"/>
    <n v="3"/>
    <n v="2"/>
  </r>
  <r>
    <x v="1"/>
    <n v="1"/>
    <n v="3"/>
    <n v="2"/>
    <n v="3"/>
    <n v="1"/>
    <n v="2"/>
    <n v="1"/>
    <n v="2"/>
    <n v="1"/>
    <m/>
    <m/>
    <m/>
    <n v="1"/>
    <n v="1"/>
    <m/>
    <n v="1"/>
    <m/>
    <n v="2"/>
    <m/>
    <n v="1"/>
    <n v="1"/>
    <n v="2"/>
    <n v="1"/>
    <n v="1"/>
    <n v="1"/>
    <n v="2"/>
    <n v="1"/>
    <n v="1"/>
    <n v="2"/>
    <n v="3"/>
    <n v="1"/>
    <n v="2"/>
    <n v="3"/>
    <n v="2"/>
    <n v="1"/>
    <n v="2"/>
    <n v="3"/>
    <n v="4"/>
    <n v="3"/>
    <n v="3"/>
    <m/>
    <m/>
    <n v="2"/>
    <n v="1"/>
    <n v="2"/>
    <n v="2"/>
    <n v="2"/>
    <n v="2"/>
    <n v="2"/>
    <n v="1"/>
    <n v="3"/>
    <n v="3"/>
    <m/>
    <n v="1"/>
    <n v="2"/>
    <n v="8"/>
    <m/>
    <n v="5"/>
    <n v="4"/>
    <n v="4"/>
    <x v="2"/>
    <n v="1990"/>
    <n v="3"/>
    <m/>
    <n v="4"/>
    <m/>
    <n v="4"/>
    <m/>
    <n v="3"/>
    <m/>
    <n v="2"/>
    <n v="1"/>
    <n v="23"/>
    <x v="1"/>
    <n v="2"/>
    <n v="4"/>
    <n v="2"/>
  </r>
  <r>
    <x v="1"/>
    <n v="1"/>
    <n v="2"/>
    <n v="3"/>
    <n v="3"/>
    <n v="1"/>
    <n v="3"/>
    <n v="1"/>
    <n v="1"/>
    <n v="1"/>
    <n v="1"/>
    <m/>
    <n v="1"/>
    <n v="1"/>
    <n v="1"/>
    <n v="1"/>
    <m/>
    <m/>
    <n v="2"/>
    <m/>
    <n v="1"/>
    <n v="1"/>
    <n v="2"/>
    <n v="2"/>
    <n v="1"/>
    <n v="2"/>
    <n v="2"/>
    <n v="1"/>
    <n v="1"/>
    <n v="1"/>
    <n v="4"/>
    <n v="3"/>
    <n v="3"/>
    <n v="2"/>
    <n v="3"/>
    <n v="1"/>
    <n v="3"/>
    <n v="2"/>
    <n v="2"/>
    <n v="4"/>
    <n v="2"/>
    <m/>
    <m/>
    <n v="2"/>
    <n v="1"/>
    <n v="2"/>
    <n v="2"/>
    <n v="1"/>
    <n v="2"/>
    <n v="2"/>
    <n v="2"/>
    <n v="4"/>
    <m/>
    <m/>
    <n v="1"/>
    <n v="2"/>
    <n v="7"/>
    <m/>
    <n v="1"/>
    <n v="2"/>
    <n v="1"/>
    <x v="2"/>
    <n v="1983"/>
    <n v="1"/>
    <m/>
    <n v="1"/>
    <m/>
    <n v="1"/>
    <m/>
    <n v="4"/>
    <m/>
    <n v="3"/>
    <n v="1"/>
    <n v="30"/>
    <x v="1"/>
    <n v="2"/>
    <n v="3"/>
    <n v="2"/>
  </r>
  <r>
    <x v="2"/>
    <n v="2"/>
    <n v="2"/>
    <n v="3"/>
    <n v="2"/>
    <n v="1"/>
    <n v="2"/>
    <n v="2"/>
    <n v="1"/>
    <m/>
    <n v="1"/>
    <n v="1"/>
    <n v="1"/>
    <n v="1"/>
    <n v="1"/>
    <m/>
    <m/>
    <m/>
    <n v="2"/>
    <m/>
    <n v="1"/>
    <n v="1"/>
    <n v="1"/>
    <n v="2"/>
    <n v="2"/>
    <n v="2"/>
    <n v="1"/>
    <n v="2"/>
    <n v="2"/>
    <m/>
    <n v="7"/>
    <n v="3"/>
    <n v="3"/>
    <n v="1"/>
    <n v="2"/>
    <n v="3"/>
    <n v="2"/>
    <n v="1"/>
    <n v="3"/>
    <n v="2"/>
    <n v="4"/>
    <m/>
    <m/>
    <n v="1"/>
    <n v="2"/>
    <n v="2"/>
    <n v="1"/>
    <n v="1"/>
    <n v="2"/>
    <n v="2"/>
    <n v="1"/>
    <n v="1"/>
    <n v="6"/>
    <m/>
    <n v="2"/>
    <m/>
    <m/>
    <m/>
    <n v="3"/>
    <n v="3"/>
    <m/>
    <x v="2"/>
    <n v="1967"/>
    <n v="1"/>
    <m/>
    <n v="2"/>
    <m/>
    <n v="3"/>
    <m/>
    <n v="4"/>
    <m/>
    <n v="2"/>
    <n v="1"/>
    <n v="46"/>
    <x v="2"/>
    <n v="3"/>
    <n v="5"/>
    <n v="3"/>
  </r>
  <r>
    <x v="2"/>
    <n v="2"/>
    <n v="1"/>
    <n v="3"/>
    <n v="1"/>
    <n v="1"/>
    <n v="2"/>
    <n v="1"/>
    <n v="1"/>
    <m/>
    <n v="1"/>
    <m/>
    <m/>
    <m/>
    <n v="1"/>
    <m/>
    <m/>
    <m/>
    <n v="2"/>
    <m/>
    <n v="1"/>
    <n v="1"/>
    <n v="1"/>
    <n v="2"/>
    <n v="2"/>
    <n v="1"/>
    <n v="1"/>
    <n v="2"/>
    <n v="1"/>
    <n v="1"/>
    <n v="4"/>
    <n v="2"/>
    <n v="2"/>
    <n v="2"/>
    <n v="3"/>
    <n v="2"/>
    <n v="4"/>
    <n v="4"/>
    <n v="2"/>
    <n v="1"/>
    <m/>
    <m/>
    <m/>
    <n v="1"/>
    <n v="2"/>
    <n v="1"/>
    <n v="1"/>
    <n v="2"/>
    <n v="1"/>
    <n v="1"/>
    <n v="2"/>
    <n v="4"/>
    <m/>
    <m/>
    <n v="2"/>
    <m/>
    <m/>
    <m/>
    <n v="2"/>
    <n v="2"/>
    <n v="1"/>
    <x v="2"/>
    <n v="1962"/>
    <n v="2"/>
    <m/>
    <n v="3"/>
    <m/>
    <n v="3"/>
    <m/>
    <n v="1"/>
    <m/>
    <n v="1"/>
    <n v="1"/>
    <n v="51"/>
    <x v="2"/>
    <n v="2"/>
    <n v="2"/>
    <n v="2"/>
  </r>
  <r>
    <x v="1"/>
    <n v="3"/>
    <n v="4"/>
    <n v="2"/>
    <n v="2"/>
    <n v="4"/>
    <n v="1"/>
    <n v="1"/>
    <n v="2"/>
    <m/>
    <m/>
    <m/>
    <n v="1"/>
    <m/>
    <n v="1"/>
    <m/>
    <m/>
    <m/>
    <n v="2"/>
    <m/>
    <n v="2"/>
    <n v="2"/>
    <n v="1"/>
    <n v="2"/>
    <n v="2"/>
    <n v="1"/>
    <n v="2"/>
    <n v="2"/>
    <n v="2"/>
    <m/>
    <n v="2"/>
    <n v="1"/>
    <n v="1"/>
    <n v="1"/>
    <n v="3"/>
    <n v="3"/>
    <n v="1"/>
    <n v="8"/>
    <n v="1"/>
    <n v="3"/>
    <n v="2"/>
    <m/>
    <m/>
    <n v="1"/>
    <n v="2"/>
    <n v="1"/>
    <n v="1"/>
    <n v="1"/>
    <n v="1"/>
    <n v="1"/>
    <n v="1"/>
    <n v="1"/>
    <n v="7"/>
    <m/>
    <n v="1"/>
    <n v="2"/>
    <n v="6"/>
    <m/>
    <n v="1"/>
    <n v="3"/>
    <n v="3"/>
    <x v="2"/>
    <n v="1994"/>
    <n v="3"/>
    <m/>
    <n v="3"/>
    <m/>
    <n v="2"/>
    <m/>
    <n v="2"/>
    <m/>
    <n v="4"/>
    <n v="1"/>
    <n v="19"/>
    <x v="1"/>
    <n v="2"/>
    <n v="4"/>
    <n v="2"/>
  </r>
  <r>
    <x v="3"/>
    <n v="2"/>
    <n v="1"/>
    <n v="4"/>
    <n v="1"/>
    <n v="4"/>
    <n v="4"/>
    <n v="2"/>
    <n v="2"/>
    <m/>
    <m/>
    <n v="1"/>
    <n v="1"/>
    <m/>
    <m/>
    <n v="1"/>
    <m/>
    <m/>
    <n v="1"/>
    <m/>
    <n v="2"/>
    <n v="2"/>
    <n v="1"/>
    <n v="2"/>
    <n v="2"/>
    <n v="2"/>
    <n v="1"/>
    <n v="2"/>
    <n v="1"/>
    <n v="2"/>
    <n v="3"/>
    <n v="1"/>
    <n v="2"/>
    <n v="3"/>
    <n v="4"/>
    <n v="2"/>
    <n v="3"/>
    <n v="8"/>
    <n v="4"/>
    <n v="2"/>
    <n v="1"/>
    <m/>
    <m/>
    <n v="1"/>
    <n v="1"/>
    <n v="1"/>
    <n v="1"/>
    <n v="1"/>
    <n v="1"/>
    <n v="1"/>
    <n v="2"/>
    <n v="3"/>
    <n v="2"/>
    <m/>
    <n v="2"/>
    <m/>
    <m/>
    <m/>
    <n v="3"/>
    <n v="2"/>
    <n v="2"/>
    <x v="1"/>
    <n v="1983"/>
    <n v="2"/>
    <m/>
    <n v="2"/>
    <m/>
    <n v="1"/>
    <m/>
    <n v="3"/>
    <m/>
    <n v="1"/>
    <n v="1"/>
    <n v="30"/>
    <x v="1"/>
    <n v="2"/>
    <n v="4"/>
    <n v="2"/>
  </r>
  <r>
    <x v="1"/>
    <n v="3"/>
    <n v="2"/>
    <n v="4"/>
    <n v="4"/>
    <n v="3"/>
    <n v="1"/>
    <n v="2"/>
    <n v="2"/>
    <n v="1"/>
    <n v="1"/>
    <m/>
    <n v="1"/>
    <n v="1"/>
    <n v="1"/>
    <m/>
    <m/>
    <m/>
    <n v="1"/>
    <m/>
    <n v="2"/>
    <n v="2"/>
    <n v="1"/>
    <n v="2"/>
    <n v="2"/>
    <n v="1"/>
    <n v="2"/>
    <n v="2"/>
    <n v="2"/>
    <m/>
    <n v="1"/>
    <n v="4"/>
    <n v="3"/>
    <n v="2"/>
    <n v="1"/>
    <n v="3"/>
    <n v="2"/>
    <n v="8"/>
    <n v="2"/>
    <n v="1"/>
    <m/>
    <m/>
    <m/>
    <n v="2"/>
    <n v="1"/>
    <n v="2"/>
    <n v="2"/>
    <n v="1"/>
    <n v="2"/>
    <n v="1"/>
    <n v="1"/>
    <n v="2"/>
    <n v="2"/>
    <m/>
    <n v="1"/>
    <n v="1"/>
    <n v="1"/>
    <m/>
    <n v="8"/>
    <n v="3"/>
    <n v="5"/>
    <x v="1"/>
    <n v="1975"/>
    <n v="3"/>
    <m/>
    <n v="2"/>
    <m/>
    <n v="4"/>
    <m/>
    <n v="2"/>
    <m/>
    <n v="3"/>
    <n v="1"/>
    <n v="38"/>
    <x v="1"/>
    <n v="2"/>
    <n v="2"/>
    <n v="1"/>
  </r>
  <r>
    <x v="3"/>
    <n v="2"/>
    <n v="3"/>
    <n v="4"/>
    <n v="1"/>
    <n v="2"/>
    <n v="2"/>
    <n v="1"/>
    <n v="1"/>
    <m/>
    <m/>
    <n v="1"/>
    <m/>
    <m/>
    <n v="1"/>
    <m/>
    <n v="1"/>
    <m/>
    <n v="1"/>
    <m/>
    <n v="2"/>
    <n v="2"/>
    <n v="1"/>
    <n v="1"/>
    <n v="2"/>
    <n v="2"/>
    <n v="2"/>
    <n v="2"/>
    <n v="2"/>
    <m/>
    <n v="2"/>
    <n v="1"/>
    <n v="4"/>
    <n v="2"/>
    <n v="2"/>
    <n v="2"/>
    <n v="1"/>
    <n v="8"/>
    <n v="3"/>
    <n v="3"/>
    <n v="3"/>
    <m/>
    <m/>
    <n v="2"/>
    <n v="2"/>
    <n v="2"/>
    <n v="2"/>
    <n v="2"/>
    <n v="2"/>
    <n v="1"/>
    <n v="1"/>
    <n v="2"/>
    <n v="3"/>
    <m/>
    <n v="1"/>
    <n v="2"/>
    <n v="5"/>
    <m/>
    <n v="2"/>
    <n v="2"/>
    <n v="5"/>
    <x v="1"/>
    <n v="1979"/>
    <n v="3"/>
    <m/>
    <n v="1"/>
    <m/>
    <n v="1"/>
    <m/>
    <n v="1"/>
    <m/>
    <n v="2"/>
    <n v="1"/>
    <n v="34"/>
    <x v="1"/>
    <n v="1"/>
    <n v="1"/>
    <n v="1"/>
  </r>
  <r>
    <x v="1"/>
    <n v="4"/>
    <n v="2"/>
    <n v="1"/>
    <n v="4"/>
    <n v="2"/>
    <n v="3"/>
    <n v="1"/>
    <n v="2"/>
    <m/>
    <m/>
    <n v="1"/>
    <m/>
    <m/>
    <m/>
    <m/>
    <m/>
    <m/>
    <n v="1"/>
    <m/>
    <n v="2"/>
    <n v="2"/>
    <n v="2"/>
    <n v="1"/>
    <n v="2"/>
    <n v="1"/>
    <n v="1"/>
    <n v="1"/>
    <n v="2"/>
    <m/>
    <n v="3"/>
    <n v="2"/>
    <n v="1"/>
    <n v="2"/>
    <n v="4"/>
    <n v="4"/>
    <n v="4"/>
    <n v="3"/>
    <n v="8"/>
    <n v="1"/>
    <m/>
    <m/>
    <m/>
    <n v="2"/>
    <n v="2"/>
    <n v="2"/>
    <n v="2"/>
    <n v="2"/>
    <n v="2"/>
    <n v="2"/>
    <n v="2"/>
    <n v="3"/>
    <n v="5"/>
    <m/>
    <n v="2"/>
    <m/>
    <m/>
    <m/>
    <n v="1"/>
    <n v="1"/>
    <n v="5"/>
    <x v="1"/>
    <n v="1957"/>
    <n v="3"/>
    <m/>
    <n v="1"/>
    <m/>
    <n v="3"/>
    <m/>
    <n v="4"/>
    <m/>
    <n v="3"/>
    <n v="1"/>
    <n v="56"/>
    <x v="2"/>
    <n v="1"/>
    <n v="1"/>
    <n v="1"/>
  </r>
  <r>
    <x v="4"/>
    <n v="2"/>
    <n v="1"/>
    <n v="2"/>
    <n v="1"/>
    <n v="3"/>
    <n v="1"/>
    <n v="2"/>
    <n v="1"/>
    <n v="1"/>
    <n v="1"/>
    <n v="1"/>
    <m/>
    <m/>
    <m/>
    <n v="1"/>
    <m/>
    <m/>
    <n v="1"/>
    <m/>
    <n v="1"/>
    <n v="2"/>
    <n v="1"/>
    <n v="1"/>
    <n v="1"/>
    <n v="2"/>
    <n v="2"/>
    <n v="1"/>
    <n v="1"/>
    <n v="2"/>
    <n v="1"/>
    <n v="3"/>
    <n v="7"/>
    <n v="3"/>
    <n v="1"/>
    <n v="2"/>
    <n v="2"/>
    <n v="2"/>
    <n v="2"/>
    <n v="4"/>
    <n v="4"/>
    <m/>
    <m/>
    <n v="1"/>
    <n v="1"/>
    <n v="1"/>
    <n v="2"/>
    <n v="2"/>
    <n v="1"/>
    <n v="2"/>
    <n v="2"/>
    <n v="3"/>
    <n v="98"/>
    <m/>
    <n v="1"/>
    <n v="4"/>
    <n v="4"/>
    <m/>
    <n v="2"/>
    <n v="3"/>
    <m/>
    <x v="2"/>
    <n v="1946"/>
    <n v="2"/>
    <m/>
    <n v="5"/>
    <m/>
    <n v="2"/>
    <m/>
    <n v="2"/>
    <m/>
    <n v="2"/>
    <n v="1"/>
    <n v="67"/>
    <x v="3"/>
    <n v="2"/>
    <n v="4"/>
    <n v="3"/>
  </r>
  <r>
    <x v="1"/>
    <n v="3"/>
    <n v="1"/>
    <n v="3"/>
    <n v="2"/>
    <n v="2"/>
    <n v="2"/>
    <n v="2"/>
    <n v="2"/>
    <n v="1"/>
    <m/>
    <m/>
    <m/>
    <n v="1"/>
    <n v="1"/>
    <m/>
    <m/>
    <m/>
    <n v="1"/>
    <m/>
    <n v="1"/>
    <n v="2"/>
    <n v="2"/>
    <n v="2"/>
    <n v="1"/>
    <n v="1"/>
    <n v="1"/>
    <n v="1"/>
    <n v="2"/>
    <m/>
    <n v="2"/>
    <n v="1"/>
    <n v="4"/>
    <n v="3"/>
    <n v="3"/>
    <n v="3"/>
    <n v="3"/>
    <n v="1"/>
    <n v="1"/>
    <n v="1"/>
    <m/>
    <m/>
    <m/>
    <n v="1"/>
    <n v="2"/>
    <n v="1"/>
    <n v="1"/>
    <n v="1"/>
    <n v="1"/>
    <n v="1"/>
    <n v="1"/>
    <n v="2"/>
    <n v="1"/>
    <m/>
    <n v="1"/>
    <n v="2"/>
    <n v="98"/>
    <m/>
    <n v="3"/>
    <n v="2"/>
    <n v="1"/>
    <x v="1"/>
    <n v="1947"/>
    <n v="1"/>
    <m/>
    <n v="6"/>
    <m/>
    <n v="4"/>
    <m/>
    <n v="1"/>
    <m/>
    <n v="2"/>
    <n v="1"/>
    <n v="66"/>
    <x v="3"/>
    <n v="2"/>
    <n v="3"/>
    <n v="2"/>
  </r>
  <r>
    <x v="3"/>
    <n v="2"/>
    <n v="2"/>
    <n v="2"/>
    <n v="3"/>
    <n v="3"/>
    <n v="4"/>
    <n v="2"/>
    <n v="1"/>
    <m/>
    <n v="1"/>
    <n v="1"/>
    <n v="1"/>
    <m/>
    <m/>
    <m/>
    <m/>
    <m/>
    <n v="2"/>
    <m/>
    <n v="1"/>
    <n v="2"/>
    <n v="1"/>
    <n v="2"/>
    <n v="1"/>
    <n v="2"/>
    <n v="2"/>
    <n v="1"/>
    <n v="2"/>
    <m/>
    <n v="3"/>
    <n v="7"/>
    <n v="1"/>
    <n v="1"/>
    <n v="2"/>
    <n v="2"/>
    <n v="2"/>
    <n v="3"/>
    <n v="3"/>
    <n v="2"/>
    <n v="3"/>
    <m/>
    <m/>
    <n v="2"/>
    <n v="1"/>
    <n v="1"/>
    <n v="1"/>
    <n v="2"/>
    <n v="2"/>
    <n v="2"/>
    <n v="2"/>
    <n v="4"/>
    <m/>
    <m/>
    <n v="2"/>
    <m/>
    <m/>
    <m/>
    <n v="5"/>
    <n v="4"/>
    <n v="3"/>
    <x v="2"/>
    <n v="1984"/>
    <n v="3"/>
    <m/>
    <n v="4"/>
    <m/>
    <n v="6"/>
    <m/>
    <n v="3"/>
    <m/>
    <n v="1"/>
    <n v="1"/>
    <n v="29"/>
    <x v="1"/>
    <n v="2"/>
    <n v="4"/>
    <n v="2"/>
  </r>
  <r>
    <x v="1"/>
    <n v="1"/>
    <n v="4"/>
    <n v="1"/>
    <n v="3"/>
    <n v="1"/>
    <n v="1"/>
    <n v="1"/>
    <n v="2"/>
    <n v="1"/>
    <m/>
    <n v="1"/>
    <m/>
    <m/>
    <n v="1"/>
    <n v="1"/>
    <m/>
    <m/>
    <n v="2"/>
    <m/>
    <n v="2"/>
    <n v="1"/>
    <n v="2"/>
    <n v="1"/>
    <n v="1"/>
    <n v="1"/>
    <n v="1"/>
    <n v="2"/>
    <n v="1"/>
    <n v="1"/>
    <n v="4"/>
    <n v="1"/>
    <n v="2"/>
    <n v="1"/>
    <n v="2"/>
    <n v="1"/>
    <n v="1"/>
    <n v="2"/>
    <n v="8"/>
    <n v="3"/>
    <n v="2"/>
    <m/>
    <m/>
    <n v="1"/>
    <n v="2"/>
    <n v="2"/>
    <n v="2"/>
    <n v="2"/>
    <n v="2"/>
    <n v="1"/>
    <n v="1"/>
    <n v="1"/>
    <n v="8"/>
    <m/>
    <n v="2"/>
    <m/>
    <m/>
    <m/>
    <n v="3"/>
    <n v="3"/>
    <n v="1"/>
    <x v="1"/>
    <n v="1989"/>
    <n v="2"/>
    <m/>
    <n v="7"/>
    <m/>
    <n v="4"/>
    <m/>
    <n v="2"/>
    <m/>
    <n v="2"/>
    <n v="1"/>
    <n v="24"/>
    <x v="1"/>
    <n v="2"/>
    <n v="2"/>
    <n v="2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7"/>
    <m/>
    <m/>
    <m/>
    <m/>
    <m/>
    <m/>
    <m/>
    <m/>
    <m/>
    <n v="1"/>
    <n v="26"/>
    <x v="1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3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1"/>
    <m/>
    <m/>
    <m/>
    <m/>
    <m/>
    <m/>
    <m/>
    <m/>
    <m/>
    <n v="1"/>
    <n v="32"/>
    <x v="1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70"/>
    <m/>
    <m/>
    <m/>
    <m/>
    <m/>
    <m/>
    <m/>
    <m/>
    <m/>
    <n v="1"/>
    <n v="43"/>
    <x v="2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608">
  <r>
    <x v="0"/>
    <s v="Au cours des deux dernières années avez-vous été victime dans votre quartier d'une quelconque forme de discrimination ?"/>
    <s v="À votre avis, le motif de cette discrimination était lié …"/>
    <s v="Autre, précisez :"/>
    <s v="Au cours des deux dernières années, avez-vous subi un accident qui vous a occasionné une blessure pour laquelle vous avez dû consulter un professionnel de la santé ou limiter vos activités ?"/>
    <s v="Combien de fois cela s'est-il produit ?"/>
    <s v="En se référant au dernier événement, était-ce … ?"/>
    <s v="Autre, précisez :"/>
    <s v="Maintenant, comparativement à d'autres personnes de votre âge, dirirez-vous que votre santé est en général …"/>
    <s v="Dans quel quartier habitez-vous ?"/>
    <s v="Combien de personne de moins de 18 ans habitent dans votre foyer ?"/>
    <s v="Êtes-vous :"/>
    <s v="Quelle est votre année de naissance ?"/>
    <s v="Êtes-vous propriétaire ou locataire du logement que vous habitez ?"/>
    <s v="Autre, précisez : "/>
    <s v="Habitez-vous dans …"/>
    <s v="Autre, précisez : "/>
    <s v="Quel est votre état civil ?"/>
    <s v="Autre, précisez : "/>
    <s v="Où est situé votre lieu de travail habituel ?"/>
    <s v="Autre, précisez : "/>
    <s v="Quel est le plus haut niveau de scolarité que vous avez complété ?"/>
    <m/>
    <m/>
    <x v="0"/>
    <m/>
    <m/>
    <m/>
  </r>
  <r>
    <x v="1"/>
    <n v="1"/>
    <n v="2"/>
    <m/>
    <n v="1"/>
    <n v="4"/>
    <n v="5"/>
    <m/>
    <n v="2"/>
    <n v="4"/>
    <n v="5"/>
    <n v="1"/>
    <n v="1981"/>
    <n v="2"/>
    <m/>
    <n v="7"/>
    <m/>
    <n v="1"/>
    <m/>
    <n v="1"/>
    <m/>
    <n v="4"/>
    <n v="1"/>
    <n v="32"/>
    <x v="1"/>
    <n v="1"/>
    <n v="1"/>
    <n v="1"/>
  </r>
  <r>
    <x v="2"/>
    <n v="2"/>
    <n v="1"/>
    <m/>
    <n v="2"/>
    <m/>
    <m/>
    <m/>
    <n v="4"/>
    <n v="1"/>
    <n v="2"/>
    <n v="2"/>
    <n v="1970"/>
    <n v="1"/>
    <m/>
    <n v="5"/>
    <m/>
    <n v="2"/>
    <m/>
    <n v="2"/>
    <m/>
    <n v="1"/>
    <n v="1"/>
    <n v="43"/>
    <x v="2"/>
    <n v="2"/>
    <n v="3"/>
    <n v="2"/>
  </r>
  <r>
    <x v="2"/>
    <n v="3"/>
    <n v="3"/>
    <m/>
    <n v="1"/>
    <n v="2"/>
    <n v="8"/>
    <m/>
    <n v="5"/>
    <n v="4"/>
    <n v="4"/>
    <n v="2"/>
    <n v="1990"/>
    <n v="3"/>
    <m/>
    <n v="4"/>
    <m/>
    <n v="4"/>
    <m/>
    <n v="3"/>
    <m/>
    <n v="2"/>
    <n v="1"/>
    <n v="23"/>
    <x v="1"/>
    <n v="2"/>
    <n v="4"/>
    <n v="2"/>
  </r>
  <r>
    <x v="1"/>
    <n v="4"/>
    <m/>
    <m/>
    <n v="1"/>
    <n v="2"/>
    <n v="7"/>
    <m/>
    <n v="1"/>
    <n v="2"/>
    <n v="1"/>
    <n v="2"/>
    <n v="1983"/>
    <n v="1"/>
    <m/>
    <n v="1"/>
    <m/>
    <n v="1"/>
    <m/>
    <n v="4"/>
    <m/>
    <n v="3"/>
    <n v="1"/>
    <n v="30"/>
    <x v="1"/>
    <n v="2"/>
    <n v="3"/>
    <n v="2"/>
  </r>
  <r>
    <x v="2"/>
    <n v="1"/>
    <n v="6"/>
    <m/>
    <n v="2"/>
    <m/>
    <m/>
    <m/>
    <n v="3"/>
    <n v="3"/>
    <m/>
    <n v="2"/>
    <n v="1967"/>
    <n v="1"/>
    <m/>
    <n v="2"/>
    <m/>
    <n v="3"/>
    <m/>
    <n v="4"/>
    <m/>
    <n v="2"/>
    <n v="1"/>
    <n v="46"/>
    <x v="2"/>
    <n v="3"/>
    <n v="5"/>
    <n v="3"/>
  </r>
  <r>
    <x v="1"/>
    <n v="4"/>
    <m/>
    <m/>
    <n v="2"/>
    <m/>
    <m/>
    <m/>
    <n v="2"/>
    <n v="2"/>
    <n v="1"/>
    <n v="2"/>
    <n v="1962"/>
    <n v="2"/>
    <m/>
    <n v="3"/>
    <m/>
    <n v="3"/>
    <m/>
    <n v="1"/>
    <m/>
    <n v="1"/>
    <n v="1"/>
    <n v="51"/>
    <x v="2"/>
    <n v="2"/>
    <n v="2"/>
    <n v="2"/>
  </r>
  <r>
    <x v="2"/>
    <n v="1"/>
    <n v="7"/>
    <m/>
    <n v="1"/>
    <n v="2"/>
    <n v="6"/>
    <m/>
    <n v="1"/>
    <n v="3"/>
    <n v="3"/>
    <n v="2"/>
    <n v="1994"/>
    <n v="3"/>
    <m/>
    <n v="3"/>
    <m/>
    <n v="2"/>
    <m/>
    <n v="2"/>
    <m/>
    <n v="4"/>
    <n v="1"/>
    <n v="19"/>
    <x v="1"/>
    <n v="2"/>
    <n v="4"/>
    <n v="2"/>
  </r>
  <r>
    <x v="1"/>
    <n v="3"/>
    <n v="2"/>
    <m/>
    <n v="2"/>
    <m/>
    <m/>
    <m/>
    <n v="3"/>
    <n v="2"/>
    <n v="2"/>
    <n v="1"/>
    <n v="1983"/>
    <n v="2"/>
    <m/>
    <n v="2"/>
    <m/>
    <n v="1"/>
    <m/>
    <n v="3"/>
    <m/>
    <n v="1"/>
    <n v="1"/>
    <n v="30"/>
    <x v="1"/>
    <n v="2"/>
    <n v="4"/>
    <n v="2"/>
  </r>
  <r>
    <x v="2"/>
    <n v="2"/>
    <n v="2"/>
    <m/>
    <n v="1"/>
    <n v="1"/>
    <n v="1"/>
    <m/>
    <n v="8"/>
    <n v="3"/>
    <n v="5"/>
    <n v="1"/>
    <n v="1975"/>
    <n v="3"/>
    <m/>
    <n v="2"/>
    <m/>
    <n v="4"/>
    <m/>
    <n v="2"/>
    <m/>
    <n v="3"/>
    <n v="1"/>
    <n v="38"/>
    <x v="1"/>
    <n v="2"/>
    <n v="2"/>
    <n v="1"/>
  </r>
  <r>
    <x v="2"/>
    <n v="2"/>
    <n v="3"/>
    <m/>
    <n v="1"/>
    <n v="2"/>
    <n v="5"/>
    <m/>
    <n v="2"/>
    <n v="2"/>
    <n v="5"/>
    <n v="1"/>
    <n v="1979"/>
    <n v="3"/>
    <m/>
    <n v="1"/>
    <m/>
    <n v="1"/>
    <m/>
    <n v="1"/>
    <m/>
    <n v="2"/>
    <n v="1"/>
    <n v="34"/>
    <x v="1"/>
    <n v="1"/>
    <n v="1"/>
    <n v="1"/>
  </r>
  <r>
    <x v="1"/>
    <n v="3"/>
    <n v="5"/>
    <m/>
    <n v="2"/>
    <m/>
    <m/>
    <m/>
    <n v="1"/>
    <n v="1"/>
    <n v="5"/>
    <n v="1"/>
    <n v="1957"/>
    <n v="3"/>
    <m/>
    <n v="1"/>
    <m/>
    <n v="3"/>
    <m/>
    <n v="4"/>
    <m/>
    <n v="3"/>
    <n v="1"/>
    <n v="56"/>
    <x v="2"/>
    <n v="1"/>
    <n v="1"/>
    <n v="1"/>
  </r>
  <r>
    <x v="1"/>
    <n v="3"/>
    <n v="98"/>
    <m/>
    <n v="1"/>
    <n v="4"/>
    <n v="4"/>
    <m/>
    <n v="2"/>
    <n v="3"/>
    <m/>
    <n v="2"/>
    <n v="1946"/>
    <n v="2"/>
    <m/>
    <n v="5"/>
    <m/>
    <n v="2"/>
    <m/>
    <n v="2"/>
    <m/>
    <n v="2"/>
    <n v="1"/>
    <n v="67"/>
    <x v="3"/>
    <n v="2"/>
    <n v="4"/>
    <n v="3"/>
  </r>
  <r>
    <x v="2"/>
    <n v="2"/>
    <n v="1"/>
    <m/>
    <n v="1"/>
    <n v="2"/>
    <n v="98"/>
    <m/>
    <n v="3"/>
    <n v="2"/>
    <n v="1"/>
    <n v="1"/>
    <n v="1947"/>
    <n v="1"/>
    <m/>
    <n v="6"/>
    <m/>
    <n v="4"/>
    <m/>
    <n v="1"/>
    <m/>
    <n v="2"/>
    <n v="1"/>
    <n v="66"/>
    <x v="3"/>
    <n v="2"/>
    <n v="3"/>
    <n v="2"/>
  </r>
  <r>
    <x v="1"/>
    <n v="4"/>
    <m/>
    <m/>
    <n v="2"/>
    <m/>
    <m/>
    <m/>
    <n v="5"/>
    <n v="4"/>
    <n v="3"/>
    <n v="2"/>
    <n v="1984"/>
    <n v="3"/>
    <m/>
    <n v="4"/>
    <m/>
    <n v="6"/>
    <m/>
    <n v="3"/>
    <m/>
    <n v="1"/>
    <n v="1"/>
    <n v="29"/>
    <x v="1"/>
    <n v="2"/>
    <n v="4"/>
    <n v="2"/>
  </r>
  <r>
    <x v="2"/>
    <n v="1"/>
    <n v="8"/>
    <m/>
    <n v="2"/>
    <m/>
    <m/>
    <m/>
    <n v="3"/>
    <n v="3"/>
    <n v="1"/>
    <n v="1"/>
    <n v="1989"/>
    <n v="2"/>
    <m/>
    <n v="7"/>
    <m/>
    <n v="4"/>
    <m/>
    <n v="2"/>
    <m/>
    <n v="2"/>
    <n v="1"/>
    <n v="24"/>
    <x v="1"/>
    <n v="2"/>
    <n v="2"/>
    <n v="2"/>
  </r>
  <r>
    <x v="3"/>
    <m/>
    <m/>
    <m/>
    <m/>
    <m/>
    <m/>
    <m/>
    <m/>
    <m/>
    <m/>
    <n v="2"/>
    <n v="1990"/>
    <m/>
    <m/>
    <m/>
    <m/>
    <m/>
    <m/>
    <m/>
    <m/>
    <m/>
    <n v="1"/>
    <n v="23"/>
    <x v="1"/>
    <n v="2"/>
    <n v="4"/>
    <n v="3"/>
  </r>
  <r>
    <x v="3"/>
    <m/>
    <m/>
    <m/>
    <m/>
    <m/>
    <m/>
    <m/>
    <m/>
    <m/>
    <m/>
    <n v="2"/>
    <n v="1987"/>
    <m/>
    <m/>
    <m/>
    <m/>
    <m/>
    <m/>
    <m/>
    <m/>
    <m/>
    <n v="1"/>
    <n v="26"/>
    <x v="1"/>
    <n v="2"/>
    <n v="4"/>
    <n v="3"/>
  </r>
  <r>
    <x v="3"/>
    <m/>
    <m/>
    <m/>
    <m/>
    <m/>
    <m/>
    <m/>
    <m/>
    <m/>
    <m/>
    <n v="2"/>
    <n v="1990"/>
    <m/>
    <m/>
    <m/>
    <m/>
    <m/>
    <m/>
    <m/>
    <m/>
    <m/>
    <n v="1"/>
    <n v="23"/>
    <x v="1"/>
    <n v="2"/>
    <n v="3"/>
    <n v="3"/>
  </r>
  <r>
    <x v="3"/>
    <m/>
    <m/>
    <m/>
    <m/>
    <m/>
    <m/>
    <m/>
    <m/>
    <m/>
    <m/>
    <n v="2"/>
    <n v="1981"/>
    <m/>
    <m/>
    <m/>
    <m/>
    <m/>
    <m/>
    <m/>
    <m/>
    <m/>
    <n v="1"/>
    <n v="32"/>
    <x v="1"/>
    <n v="2"/>
    <n v="4"/>
    <n v="3"/>
  </r>
  <r>
    <x v="3"/>
    <m/>
    <m/>
    <m/>
    <m/>
    <m/>
    <m/>
    <m/>
    <m/>
    <m/>
    <m/>
    <n v="2"/>
    <n v="1970"/>
    <m/>
    <m/>
    <m/>
    <m/>
    <m/>
    <m/>
    <m/>
    <m/>
    <m/>
    <n v="1"/>
    <n v="43"/>
    <x v="2"/>
    <n v="2"/>
    <n v="4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2"/>
    <n v="4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x v="0"/>
    <m/>
    <m/>
    <m/>
  </r>
</pivotCacheRecords>
</file>

<file path=xl/pivotCache/pivotCacheRecords30.xml><?xml version="1.0" encoding="utf-8"?>
<pivotCacheRecords xmlns="http://schemas.openxmlformats.org/spreadsheetml/2006/main" xmlns:r="http://schemas.openxmlformats.org/officeDocument/2006/relationships" count="632">
  <r>
    <x v="0"/>
    <s v="Dans votre quartier, les conflits entre d'autres groupes d'individus sont … ?"/>
    <s v="Dans votre quartier, les graffiti sont … ?"/>
    <s v="Dans votre quartier, les immeubles ou bâtiments abandonnés ou mal entretenus sont... ?"/>
    <s v="Dans votre quartier, le niveau d'entraide entre les personnes est... ?"/>
    <s v="Dans votre quartier, le niveau de confiance qui règne entre la plupart des personnes est... ?"/>
    <s v="Dans votre quartier, les comportements des jeunes ou des groupes de jeunes sont-ils pour vous une source de menace ou d'insécurité ?"/>
    <s v="Y a-t-il d'autres individus ou des groupes d'individus dont les comportements sont pour vous une source de menace ou d'insécurité ?"/>
    <s v="De quel type ou groupe d'individus s'agit-il ?  Toxicomanes ou revendeur de drogue"/>
    <s v="De quel type ou groupe d'individus s'agit-il ? Gangs de motards / milieu criminel"/>
    <s v="De quel type ou groupe d'individus s'agit-il ? Sollicitation (vendeurs, mouvements religieux, ex-détenus, etc.)"/>
    <s v="De quel type ou groupe d'individus s'agit-il ? Itinérants"/>
    <s v="De quel type ou groupe d'individus s'agit-il ? Individus ou groupes d'individus en état d'ébriété"/>
    <s v="De quel type ou groupe d'individus s'agit-il ? Personnes d'une communauté culturelle différente de la mienne"/>
    <s v="De quel type ou groupe d'individus s'agit-il ? Voisins"/>
    <s v="De quel type ou groupe d'individus s'agit-il ? Autre"/>
    <s v="De quel type ou groupe d'individus s'agit-il ? Autre, précisez"/>
    <s v="Y a-t-il dans votre quartier des endroits que vous évitez de fréquenter pour des raisons de sécurité ?"/>
    <s v="Lesquels ?"/>
    <s v="Veuillez répondre à chacun des énoncés suivants. Quand je me déplace dans mon quartier, j'apporte habituellement quelque chose pour assurer ma protection. "/>
    <s v="Veuillez répondre à chacun des énoncés suivants. Lorsque je suis dans mon quartier, je vérifie qu'aucun intrus ne se trouve à l'intérieur de ma voiture avant d'y monter."/>
    <s v="Veuillez répondre à chacun des énoncés suivants. À mon domicile, j'évite d'ouvrir la porte à des inconnus, pour des raisons de sécurité. "/>
    <s v="Veuillez répondre à chacun des énoncés suivants. Je garde les portes extérieures de mon domicile constamment verrouillées, même lorsque je suis chez moi. "/>
    <s v="Veuillez répondre à chacun des énoncés suivants. Spécialement par mesure de protection, il y a un chien à mon domicile. "/>
    <s v="Veuillez répondre à chacun des énoncés suivants. J'ai un système d'alarme que j'active régulièrement pour protéger mon domicile contre le vol."/>
    <s v="Veuillez répondre à chacun des énoncés suivants. Spécialement par mesure de protection, j'ai suivi un cours d'autodéfense. "/>
    <s v="Veuillez répondre à chacun des énoncés suivants. Spécialement par mesure de protection, il y a une arme à feu à mon domicile. "/>
    <s v="Est-ce qu'il y a à votre domicile au moins un détecteur de fumée fonctionnel par étage ? "/>
    <s v="Le bon fonctionnement de cet/ces appareil(s) a-t-il été vérifié, au cours des douze (12) derniers mois ?"/>
    <s v="Veuillez nous dire votre degré de satisfaction à l'égard : du déneigement et du déglaçage des rues et des trottoirs de votre quartier ? "/>
    <s v="Veuillez nous dire votre degré de satisfaction à l'égard :  de la propreté et de l'entretien des parcs et terrains de jeux de votre quartier ?"/>
    <s v="Veuillez nous dire votre degré de satisfaction à l'égard :  de la sécurité des équipements dans les parcs, aires de jeux ou centre récréatif ou sportif de votre quartier ? "/>
    <s v="Votre quartier est-il desservi par un service de police municipal, une régie intermunicipale ou par la Sûreté du Québec ?"/>
    <s v="Quel est votre niveau de satisfaction à l'égard de la présence des policiers dans votre quartier ?"/>
    <s v="Quel est votre niveau de satisfaction à l'égard du travail effectué par les policiers dans votre quartier ?"/>
    <s v="De façon plus spécifique, quel est votre niveau de satisfaction à l'égard du travail effectué par les policiers : auprès des jeunes de votre quartier"/>
    <s v="De façon plus spécifique, quel est votre niveau de satisfaction à l'égard du travail effectué par les policiers : pour assurer la sécurité routière dans votre quartier"/>
    <s v="De façon plus spécifique, quel est votre niveau de satisfaction à l'égard du travail effectué par les policiers : pour régler des problèmes de délinquance ou de désordres qui surviennent dans votre quartier"/>
    <s v="Au cours des deux dernières années, combien de fois avez-vous fait appel au service de police qui dessert votre quartier ?"/>
    <s v="En vous référant à l'événement le plus récent, quel est votre niveau de satisfaction à l'égard de la réponse que vous avez reçue ?"/>
    <s v="Pourquoi ? Peu"/>
    <s v="Pourquoi ? Pas"/>
    <s v="Au cours des deux dernières années, vous êtes vous IMPLIQUÉ SUR UNE BASE RÉGULIÈRE dans les activités suivantes de votre quartier : Dans un comité ou un organisme préoccupé par les problèmes de sécurité de votre quartier ?"/>
    <s v="Au cours des deux dernières années, vous êtes vous IMPLIQUÉ SUR UNE BASE RÉGULIÈRE dans les activités suivantes de votre quartier : Dans des assemblées du conseil municipal ?"/>
    <s v="Au cours des deux dernières années, vous êtes vous IMPLIQUÉ SUR UNE BASE RÉGULIÈRE dans les activités suivantes de votre quartier : Dans un conseil de quartier ou d'arrondissement ?"/>
    <s v="Au cours des deux dernières années, vous êtes vous IMPLIQUÉ SUR UNE BASE RÉGULIÈRE dans les activités suivantes de votre quartier : Dans un comité de citoyens ?"/>
    <s v="Au cours des deux dernières années, vous êtes vous IMPLIQUÉ SUR UNE BASE RÉGULIÈRE dans les activités suivantes de votre quartier : Dans des activités communautaires, d'entraide ou de bénévolat (cuisine communautaire, bazar)"/>
    <s v="Au cours des deux dernières années, vous êtes vous IMPLIQUÉ SUR UNE BASE RÉGULIÈRE dans les activités suivantes de votre quartier : Dans des activités sociales, culturelles ou sportives organisées par les gens de votre quartier ou de votre municipalité ?"/>
    <s v="Au cours des deux dernières années, avez-vous été victime de vol, de vandalisme ou de tout autre crime contre vos biens, chez vous ou dans votre quartier ?"/>
    <s v="Au cours des deux dernières années, avez-vous été victime d'une agression, d'intimidation ou de tout autre acte de violence, chez vous ou dans votre quartier ?"/>
    <s v="Au cours des deux dernières années avez-vous été victime dans votre quartier d'une quelconque forme de discrimination ?"/>
    <s v="À votre avis, le motif de cette discrimination était lié …"/>
    <s v="Autre, précisez :"/>
    <s v="Au cours des deux dernières années, avez-vous subi un accident qui vous a occasionné une blessure pour laquelle vous avez dû consulter un professionnel de la santé ou limiter vos activités ?"/>
    <s v="Combien de fois cela s'est-il produit ?"/>
    <s v="En se référant au dernier événement, était-ce … ?"/>
    <s v="Autre, précisez :"/>
    <s v="Maintenant, comparativement à d'autres personnes de votre âge, dirirez-vous que votre santé est en général …"/>
    <s v="Dans quel quartier habitez-vous ?"/>
    <s v="Combien de personne de moins de 18 ans habitent dans votre foyer ?"/>
    <x v="0"/>
    <s v="Quelle est votre année de naissance ?"/>
    <s v="Êtes-vous propriétaire ou locataire du logement que vous habitez ?"/>
    <s v="Autre, précisez : "/>
    <s v="Habitez-vous dans …"/>
    <s v="Autre, précisez : "/>
    <s v="Quel est votre état civil ?"/>
    <s v="Autre, précisez : "/>
    <s v="Où est situé votre lieu de travail habituel ?"/>
    <s v="Autre, précisez : "/>
    <s v="Quel est le plus haut niveau de scolarité que vous avez complété ?"/>
    <m/>
    <m/>
    <x v="0"/>
    <m/>
    <m/>
    <m/>
  </r>
  <r>
    <x v="1"/>
    <n v="2"/>
    <n v="2"/>
    <n v="4"/>
    <n v="3"/>
    <n v="1"/>
    <n v="1"/>
    <n v="1"/>
    <m/>
    <n v="1"/>
    <m/>
    <n v="1"/>
    <n v="1"/>
    <n v="1"/>
    <n v="1"/>
    <m/>
    <m/>
    <n v="1"/>
    <m/>
    <n v="2"/>
    <n v="2"/>
    <n v="1"/>
    <n v="1"/>
    <n v="1"/>
    <n v="2"/>
    <n v="1"/>
    <n v="2"/>
    <n v="2"/>
    <m/>
    <n v="1"/>
    <n v="7"/>
    <n v="4"/>
    <n v="8"/>
    <n v="1"/>
    <n v="4"/>
    <n v="8"/>
    <n v="2"/>
    <n v="2"/>
    <n v="1"/>
    <m/>
    <m/>
    <m/>
    <n v="1"/>
    <n v="2"/>
    <n v="1"/>
    <n v="2"/>
    <n v="2"/>
    <n v="1"/>
    <n v="1"/>
    <n v="2"/>
    <n v="1"/>
    <n v="2"/>
    <m/>
    <n v="1"/>
    <n v="4"/>
    <n v="5"/>
    <m/>
    <n v="2"/>
    <n v="4"/>
    <n v="5"/>
    <x v="1"/>
    <n v="1981"/>
    <n v="2"/>
    <m/>
    <n v="7"/>
    <m/>
    <n v="1"/>
    <m/>
    <n v="1"/>
    <m/>
    <n v="4"/>
    <n v="1"/>
    <n v="32"/>
    <x v="1"/>
    <n v="1"/>
    <n v="1"/>
    <n v="1"/>
  </r>
  <r>
    <x v="1"/>
    <n v="2"/>
    <n v="1"/>
    <n v="2"/>
    <n v="2"/>
    <n v="1"/>
    <n v="2"/>
    <n v="1"/>
    <m/>
    <m/>
    <n v="1"/>
    <m/>
    <n v="1"/>
    <m/>
    <n v="1"/>
    <m/>
    <m/>
    <n v="2"/>
    <m/>
    <n v="1"/>
    <n v="1"/>
    <n v="2"/>
    <n v="1"/>
    <n v="1"/>
    <n v="1"/>
    <n v="1"/>
    <n v="1"/>
    <n v="1"/>
    <n v="1"/>
    <n v="2"/>
    <n v="4"/>
    <n v="1"/>
    <n v="1"/>
    <n v="4"/>
    <n v="8"/>
    <n v="1"/>
    <n v="4"/>
    <n v="1"/>
    <n v="2"/>
    <n v="1"/>
    <m/>
    <m/>
    <n v="2"/>
    <n v="1"/>
    <n v="1"/>
    <n v="2"/>
    <n v="2"/>
    <n v="1"/>
    <n v="2"/>
    <n v="1"/>
    <n v="2"/>
    <n v="1"/>
    <m/>
    <n v="2"/>
    <m/>
    <m/>
    <m/>
    <n v="4"/>
    <n v="1"/>
    <n v="2"/>
    <x v="2"/>
    <n v="1970"/>
    <n v="1"/>
    <m/>
    <n v="5"/>
    <m/>
    <n v="2"/>
    <m/>
    <n v="2"/>
    <m/>
    <n v="1"/>
    <n v="1"/>
    <n v="43"/>
    <x v="2"/>
    <n v="2"/>
    <n v="3"/>
    <n v="2"/>
  </r>
  <r>
    <x v="1"/>
    <n v="3"/>
    <n v="2"/>
    <n v="3"/>
    <n v="1"/>
    <n v="2"/>
    <n v="1"/>
    <n v="2"/>
    <n v="1"/>
    <m/>
    <m/>
    <m/>
    <n v="1"/>
    <n v="1"/>
    <m/>
    <n v="1"/>
    <m/>
    <n v="2"/>
    <m/>
    <n v="1"/>
    <n v="1"/>
    <n v="2"/>
    <n v="1"/>
    <n v="1"/>
    <n v="1"/>
    <n v="2"/>
    <n v="1"/>
    <n v="1"/>
    <n v="2"/>
    <n v="3"/>
    <n v="1"/>
    <n v="2"/>
    <n v="3"/>
    <n v="2"/>
    <n v="1"/>
    <n v="2"/>
    <n v="3"/>
    <n v="4"/>
    <n v="3"/>
    <n v="3"/>
    <m/>
    <m/>
    <n v="2"/>
    <n v="1"/>
    <n v="2"/>
    <n v="2"/>
    <n v="2"/>
    <n v="2"/>
    <n v="2"/>
    <n v="1"/>
    <n v="3"/>
    <n v="3"/>
    <m/>
    <n v="1"/>
    <n v="2"/>
    <n v="8"/>
    <m/>
    <n v="5"/>
    <n v="4"/>
    <n v="4"/>
    <x v="2"/>
    <n v="1990"/>
    <n v="3"/>
    <m/>
    <n v="4"/>
    <m/>
    <n v="4"/>
    <m/>
    <n v="3"/>
    <m/>
    <n v="2"/>
    <n v="1"/>
    <n v="23"/>
    <x v="1"/>
    <n v="2"/>
    <n v="4"/>
    <n v="2"/>
  </r>
  <r>
    <x v="1"/>
    <n v="2"/>
    <n v="3"/>
    <n v="3"/>
    <n v="1"/>
    <n v="3"/>
    <n v="1"/>
    <n v="1"/>
    <n v="1"/>
    <n v="1"/>
    <m/>
    <n v="1"/>
    <n v="1"/>
    <n v="1"/>
    <n v="1"/>
    <m/>
    <m/>
    <n v="2"/>
    <m/>
    <n v="1"/>
    <n v="1"/>
    <n v="2"/>
    <n v="2"/>
    <n v="1"/>
    <n v="2"/>
    <n v="2"/>
    <n v="1"/>
    <n v="1"/>
    <n v="1"/>
    <n v="4"/>
    <n v="3"/>
    <n v="3"/>
    <n v="2"/>
    <n v="3"/>
    <n v="1"/>
    <n v="3"/>
    <n v="2"/>
    <n v="2"/>
    <n v="4"/>
    <n v="2"/>
    <m/>
    <m/>
    <n v="2"/>
    <n v="1"/>
    <n v="2"/>
    <n v="2"/>
    <n v="1"/>
    <n v="2"/>
    <n v="2"/>
    <n v="2"/>
    <n v="4"/>
    <m/>
    <m/>
    <n v="1"/>
    <n v="2"/>
    <n v="7"/>
    <m/>
    <n v="1"/>
    <n v="2"/>
    <n v="1"/>
    <x v="2"/>
    <n v="1983"/>
    <n v="1"/>
    <m/>
    <n v="1"/>
    <m/>
    <n v="1"/>
    <m/>
    <n v="4"/>
    <m/>
    <n v="3"/>
    <n v="1"/>
    <n v="30"/>
    <x v="1"/>
    <n v="2"/>
    <n v="3"/>
    <n v="2"/>
  </r>
  <r>
    <x v="2"/>
    <n v="2"/>
    <n v="3"/>
    <n v="2"/>
    <n v="1"/>
    <n v="2"/>
    <n v="2"/>
    <n v="1"/>
    <m/>
    <n v="1"/>
    <n v="1"/>
    <n v="1"/>
    <n v="1"/>
    <n v="1"/>
    <m/>
    <m/>
    <m/>
    <n v="2"/>
    <m/>
    <n v="1"/>
    <n v="1"/>
    <n v="1"/>
    <n v="2"/>
    <n v="2"/>
    <n v="2"/>
    <n v="1"/>
    <n v="2"/>
    <n v="2"/>
    <m/>
    <n v="7"/>
    <n v="3"/>
    <n v="3"/>
    <n v="1"/>
    <n v="2"/>
    <n v="3"/>
    <n v="2"/>
    <n v="1"/>
    <n v="3"/>
    <n v="2"/>
    <n v="4"/>
    <m/>
    <m/>
    <n v="1"/>
    <n v="2"/>
    <n v="2"/>
    <n v="1"/>
    <n v="1"/>
    <n v="2"/>
    <n v="2"/>
    <n v="1"/>
    <n v="1"/>
    <n v="6"/>
    <m/>
    <n v="2"/>
    <m/>
    <m/>
    <m/>
    <n v="3"/>
    <n v="3"/>
    <m/>
    <x v="2"/>
    <n v="1967"/>
    <n v="1"/>
    <m/>
    <n v="2"/>
    <m/>
    <n v="3"/>
    <m/>
    <n v="4"/>
    <m/>
    <n v="2"/>
    <n v="1"/>
    <n v="46"/>
    <x v="2"/>
    <n v="3"/>
    <n v="5"/>
    <n v="3"/>
  </r>
  <r>
    <x v="2"/>
    <n v="1"/>
    <n v="3"/>
    <n v="1"/>
    <n v="1"/>
    <n v="2"/>
    <n v="1"/>
    <n v="1"/>
    <m/>
    <n v="1"/>
    <m/>
    <m/>
    <m/>
    <n v="1"/>
    <m/>
    <m/>
    <m/>
    <n v="2"/>
    <m/>
    <n v="1"/>
    <n v="1"/>
    <n v="1"/>
    <n v="2"/>
    <n v="2"/>
    <n v="1"/>
    <n v="1"/>
    <n v="2"/>
    <n v="1"/>
    <n v="1"/>
    <n v="4"/>
    <n v="2"/>
    <n v="2"/>
    <n v="2"/>
    <n v="3"/>
    <n v="2"/>
    <n v="4"/>
    <n v="4"/>
    <n v="2"/>
    <n v="1"/>
    <m/>
    <m/>
    <m/>
    <n v="1"/>
    <n v="2"/>
    <n v="1"/>
    <n v="1"/>
    <n v="2"/>
    <n v="1"/>
    <n v="1"/>
    <n v="2"/>
    <n v="4"/>
    <m/>
    <m/>
    <n v="2"/>
    <m/>
    <m/>
    <m/>
    <n v="2"/>
    <n v="2"/>
    <n v="1"/>
    <x v="2"/>
    <n v="1962"/>
    <n v="2"/>
    <m/>
    <n v="3"/>
    <m/>
    <n v="3"/>
    <m/>
    <n v="1"/>
    <m/>
    <n v="1"/>
    <n v="1"/>
    <n v="51"/>
    <x v="2"/>
    <n v="2"/>
    <n v="2"/>
    <n v="2"/>
  </r>
  <r>
    <x v="3"/>
    <n v="4"/>
    <n v="2"/>
    <n v="2"/>
    <n v="4"/>
    <n v="1"/>
    <n v="1"/>
    <n v="2"/>
    <m/>
    <m/>
    <m/>
    <n v="1"/>
    <m/>
    <n v="1"/>
    <m/>
    <m/>
    <m/>
    <n v="2"/>
    <m/>
    <n v="2"/>
    <n v="2"/>
    <n v="1"/>
    <n v="2"/>
    <n v="2"/>
    <n v="1"/>
    <n v="2"/>
    <n v="2"/>
    <n v="2"/>
    <m/>
    <n v="2"/>
    <n v="1"/>
    <n v="1"/>
    <n v="1"/>
    <n v="3"/>
    <n v="3"/>
    <n v="1"/>
    <n v="8"/>
    <n v="1"/>
    <n v="3"/>
    <n v="2"/>
    <m/>
    <m/>
    <n v="1"/>
    <n v="2"/>
    <n v="1"/>
    <n v="1"/>
    <n v="1"/>
    <n v="1"/>
    <n v="1"/>
    <n v="1"/>
    <n v="1"/>
    <n v="7"/>
    <m/>
    <n v="1"/>
    <n v="2"/>
    <n v="6"/>
    <m/>
    <n v="1"/>
    <n v="3"/>
    <n v="3"/>
    <x v="2"/>
    <n v="1994"/>
    <n v="3"/>
    <m/>
    <n v="3"/>
    <m/>
    <n v="2"/>
    <m/>
    <n v="2"/>
    <m/>
    <n v="4"/>
    <n v="1"/>
    <n v="19"/>
    <x v="1"/>
    <n v="2"/>
    <n v="4"/>
    <n v="2"/>
  </r>
  <r>
    <x v="2"/>
    <n v="1"/>
    <n v="4"/>
    <n v="1"/>
    <n v="4"/>
    <n v="4"/>
    <n v="2"/>
    <n v="2"/>
    <m/>
    <m/>
    <n v="1"/>
    <n v="1"/>
    <m/>
    <m/>
    <n v="1"/>
    <m/>
    <m/>
    <n v="1"/>
    <m/>
    <n v="2"/>
    <n v="2"/>
    <n v="1"/>
    <n v="2"/>
    <n v="2"/>
    <n v="2"/>
    <n v="1"/>
    <n v="2"/>
    <n v="1"/>
    <n v="2"/>
    <n v="3"/>
    <n v="1"/>
    <n v="2"/>
    <n v="3"/>
    <n v="4"/>
    <n v="2"/>
    <n v="3"/>
    <n v="8"/>
    <n v="4"/>
    <n v="2"/>
    <n v="1"/>
    <m/>
    <m/>
    <n v="1"/>
    <n v="1"/>
    <n v="1"/>
    <n v="1"/>
    <n v="1"/>
    <n v="1"/>
    <n v="1"/>
    <n v="2"/>
    <n v="3"/>
    <n v="2"/>
    <m/>
    <n v="2"/>
    <m/>
    <m/>
    <m/>
    <n v="3"/>
    <n v="2"/>
    <n v="2"/>
    <x v="1"/>
    <n v="1983"/>
    <n v="2"/>
    <m/>
    <n v="2"/>
    <m/>
    <n v="1"/>
    <m/>
    <n v="3"/>
    <m/>
    <n v="1"/>
    <n v="1"/>
    <n v="30"/>
    <x v="1"/>
    <n v="2"/>
    <n v="4"/>
    <n v="2"/>
  </r>
  <r>
    <x v="3"/>
    <n v="2"/>
    <n v="4"/>
    <n v="4"/>
    <n v="3"/>
    <n v="1"/>
    <n v="2"/>
    <n v="2"/>
    <n v="1"/>
    <n v="1"/>
    <m/>
    <n v="1"/>
    <n v="1"/>
    <n v="1"/>
    <m/>
    <m/>
    <m/>
    <n v="1"/>
    <m/>
    <n v="2"/>
    <n v="2"/>
    <n v="1"/>
    <n v="2"/>
    <n v="2"/>
    <n v="1"/>
    <n v="2"/>
    <n v="2"/>
    <n v="2"/>
    <m/>
    <n v="1"/>
    <n v="4"/>
    <n v="3"/>
    <n v="2"/>
    <n v="1"/>
    <n v="3"/>
    <n v="2"/>
    <n v="8"/>
    <n v="2"/>
    <n v="1"/>
    <m/>
    <m/>
    <m/>
    <n v="2"/>
    <n v="1"/>
    <n v="2"/>
    <n v="2"/>
    <n v="1"/>
    <n v="2"/>
    <n v="1"/>
    <n v="1"/>
    <n v="2"/>
    <n v="2"/>
    <m/>
    <n v="1"/>
    <n v="1"/>
    <n v="1"/>
    <m/>
    <n v="8"/>
    <n v="3"/>
    <n v="5"/>
    <x v="1"/>
    <n v="1975"/>
    <n v="3"/>
    <m/>
    <n v="2"/>
    <m/>
    <n v="4"/>
    <m/>
    <n v="2"/>
    <m/>
    <n v="3"/>
    <n v="1"/>
    <n v="38"/>
    <x v="1"/>
    <n v="2"/>
    <n v="2"/>
    <n v="1"/>
  </r>
  <r>
    <x v="2"/>
    <n v="3"/>
    <n v="4"/>
    <n v="1"/>
    <n v="2"/>
    <n v="2"/>
    <n v="1"/>
    <n v="1"/>
    <m/>
    <m/>
    <n v="1"/>
    <m/>
    <m/>
    <n v="1"/>
    <m/>
    <n v="1"/>
    <m/>
    <n v="1"/>
    <m/>
    <n v="2"/>
    <n v="2"/>
    <n v="1"/>
    <n v="1"/>
    <n v="2"/>
    <n v="2"/>
    <n v="2"/>
    <n v="2"/>
    <n v="2"/>
    <m/>
    <n v="2"/>
    <n v="1"/>
    <n v="4"/>
    <n v="2"/>
    <n v="2"/>
    <n v="2"/>
    <n v="1"/>
    <n v="8"/>
    <n v="3"/>
    <n v="3"/>
    <n v="3"/>
    <m/>
    <m/>
    <n v="2"/>
    <n v="2"/>
    <n v="2"/>
    <n v="2"/>
    <n v="2"/>
    <n v="2"/>
    <n v="1"/>
    <n v="1"/>
    <n v="2"/>
    <n v="3"/>
    <m/>
    <n v="1"/>
    <n v="2"/>
    <n v="5"/>
    <m/>
    <n v="2"/>
    <n v="2"/>
    <n v="5"/>
    <x v="1"/>
    <n v="1979"/>
    <n v="3"/>
    <m/>
    <n v="1"/>
    <m/>
    <n v="1"/>
    <m/>
    <n v="1"/>
    <m/>
    <n v="2"/>
    <n v="1"/>
    <n v="34"/>
    <x v="1"/>
    <n v="1"/>
    <n v="1"/>
    <n v="1"/>
  </r>
  <r>
    <x v="4"/>
    <n v="2"/>
    <n v="1"/>
    <n v="4"/>
    <n v="2"/>
    <n v="3"/>
    <n v="1"/>
    <n v="2"/>
    <m/>
    <m/>
    <n v="1"/>
    <m/>
    <m/>
    <m/>
    <m/>
    <m/>
    <m/>
    <n v="1"/>
    <m/>
    <n v="2"/>
    <n v="2"/>
    <n v="2"/>
    <n v="1"/>
    <n v="2"/>
    <n v="1"/>
    <n v="1"/>
    <n v="1"/>
    <n v="2"/>
    <m/>
    <n v="3"/>
    <n v="2"/>
    <n v="1"/>
    <n v="2"/>
    <n v="4"/>
    <n v="4"/>
    <n v="4"/>
    <n v="3"/>
    <n v="8"/>
    <n v="1"/>
    <m/>
    <m/>
    <m/>
    <n v="2"/>
    <n v="2"/>
    <n v="2"/>
    <n v="2"/>
    <n v="2"/>
    <n v="2"/>
    <n v="2"/>
    <n v="2"/>
    <n v="3"/>
    <n v="5"/>
    <m/>
    <n v="2"/>
    <m/>
    <m/>
    <m/>
    <n v="1"/>
    <n v="1"/>
    <n v="5"/>
    <x v="1"/>
    <n v="1957"/>
    <n v="3"/>
    <m/>
    <n v="1"/>
    <m/>
    <n v="3"/>
    <m/>
    <n v="4"/>
    <m/>
    <n v="3"/>
    <n v="1"/>
    <n v="56"/>
    <x v="2"/>
    <n v="1"/>
    <n v="1"/>
    <n v="1"/>
  </r>
  <r>
    <x v="2"/>
    <n v="1"/>
    <n v="2"/>
    <n v="1"/>
    <n v="3"/>
    <n v="1"/>
    <n v="2"/>
    <n v="1"/>
    <n v="1"/>
    <n v="1"/>
    <n v="1"/>
    <m/>
    <m/>
    <m/>
    <n v="1"/>
    <m/>
    <m/>
    <n v="1"/>
    <m/>
    <n v="1"/>
    <n v="2"/>
    <n v="1"/>
    <n v="1"/>
    <n v="1"/>
    <n v="2"/>
    <n v="2"/>
    <n v="1"/>
    <n v="1"/>
    <n v="2"/>
    <n v="1"/>
    <n v="3"/>
    <n v="7"/>
    <n v="3"/>
    <n v="1"/>
    <n v="2"/>
    <n v="2"/>
    <n v="2"/>
    <n v="2"/>
    <n v="4"/>
    <n v="4"/>
    <m/>
    <m/>
    <n v="1"/>
    <n v="1"/>
    <n v="1"/>
    <n v="2"/>
    <n v="2"/>
    <n v="1"/>
    <n v="2"/>
    <n v="2"/>
    <n v="3"/>
    <n v="98"/>
    <m/>
    <n v="1"/>
    <n v="4"/>
    <n v="4"/>
    <m/>
    <n v="2"/>
    <n v="3"/>
    <m/>
    <x v="2"/>
    <n v="1946"/>
    <n v="2"/>
    <m/>
    <n v="5"/>
    <m/>
    <n v="2"/>
    <m/>
    <n v="2"/>
    <m/>
    <n v="2"/>
    <n v="1"/>
    <n v="67"/>
    <x v="3"/>
    <n v="2"/>
    <n v="4"/>
    <n v="3"/>
  </r>
  <r>
    <x v="3"/>
    <n v="1"/>
    <n v="3"/>
    <n v="2"/>
    <n v="2"/>
    <n v="2"/>
    <n v="2"/>
    <n v="2"/>
    <n v="1"/>
    <m/>
    <m/>
    <m/>
    <n v="1"/>
    <n v="1"/>
    <m/>
    <m/>
    <m/>
    <n v="1"/>
    <m/>
    <n v="1"/>
    <n v="2"/>
    <n v="2"/>
    <n v="2"/>
    <n v="1"/>
    <n v="1"/>
    <n v="1"/>
    <n v="1"/>
    <n v="2"/>
    <m/>
    <n v="2"/>
    <n v="1"/>
    <n v="4"/>
    <n v="3"/>
    <n v="3"/>
    <n v="3"/>
    <n v="3"/>
    <n v="1"/>
    <n v="1"/>
    <n v="1"/>
    <m/>
    <m/>
    <m/>
    <n v="1"/>
    <n v="2"/>
    <n v="1"/>
    <n v="1"/>
    <n v="1"/>
    <n v="1"/>
    <n v="1"/>
    <n v="1"/>
    <n v="2"/>
    <n v="1"/>
    <m/>
    <n v="1"/>
    <n v="2"/>
    <n v="98"/>
    <m/>
    <n v="3"/>
    <n v="2"/>
    <n v="1"/>
    <x v="1"/>
    <n v="1947"/>
    <n v="1"/>
    <m/>
    <n v="6"/>
    <m/>
    <n v="4"/>
    <m/>
    <n v="1"/>
    <m/>
    <n v="2"/>
    <n v="1"/>
    <n v="66"/>
    <x v="3"/>
    <n v="2"/>
    <n v="3"/>
    <n v="2"/>
  </r>
  <r>
    <x v="2"/>
    <n v="2"/>
    <n v="2"/>
    <n v="3"/>
    <n v="3"/>
    <n v="4"/>
    <n v="2"/>
    <n v="1"/>
    <m/>
    <n v="1"/>
    <n v="1"/>
    <n v="1"/>
    <m/>
    <m/>
    <m/>
    <m/>
    <m/>
    <n v="2"/>
    <m/>
    <n v="1"/>
    <n v="2"/>
    <n v="1"/>
    <n v="2"/>
    <n v="1"/>
    <n v="2"/>
    <n v="2"/>
    <n v="1"/>
    <n v="2"/>
    <m/>
    <n v="3"/>
    <n v="7"/>
    <n v="1"/>
    <n v="1"/>
    <n v="2"/>
    <n v="2"/>
    <n v="2"/>
    <n v="3"/>
    <n v="3"/>
    <n v="2"/>
    <n v="3"/>
    <m/>
    <m/>
    <n v="2"/>
    <n v="1"/>
    <n v="1"/>
    <n v="1"/>
    <n v="2"/>
    <n v="2"/>
    <n v="2"/>
    <n v="2"/>
    <n v="4"/>
    <m/>
    <m/>
    <n v="2"/>
    <m/>
    <m/>
    <m/>
    <n v="5"/>
    <n v="4"/>
    <n v="3"/>
    <x v="2"/>
    <n v="1984"/>
    <n v="3"/>
    <m/>
    <n v="4"/>
    <m/>
    <n v="6"/>
    <m/>
    <n v="3"/>
    <m/>
    <n v="1"/>
    <n v="1"/>
    <n v="29"/>
    <x v="1"/>
    <n v="2"/>
    <n v="4"/>
    <n v="2"/>
  </r>
  <r>
    <x v="1"/>
    <n v="4"/>
    <n v="1"/>
    <n v="3"/>
    <n v="1"/>
    <n v="1"/>
    <n v="1"/>
    <n v="2"/>
    <n v="1"/>
    <m/>
    <n v="1"/>
    <m/>
    <m/>
    <n v="1"/>
    <n v="1"/>
    <m/>
    <m/>
    <n v="2"/>
    <m/>
    <n v="2"/>
    <n v="1"/>
    <n v="2"/>
    <n v="1"/>
    <n v="1"/>
    <n v="1"/>
    <n v="1"/>
    <n v="2"/>
    <n v="1"/>
    <n v="1"/>
    <n v="4"/>
    <n v="1"/>
    <n v="2"/>
    <n v="1"/>
    <n v="2"/>
    <n v="1"/>
    <n v="1"/>
    <n v="2"/>
    <n v="8"/>
    <n v="3"/>
    <n v="2"/>
    <m/>
    <m/>
    <n v="1"/>
    <n v="2"/>
    <n v="2"/>
    <n v="2"/>
    <n v="2"/>
    <n v="2"/>
    <n v="1"/>
    <n v="1"/>
    <n v="1"/>
    <n v="8"/>
    <m/>
    <n v="2"/>
    <m/>
    <m/>
    <m/>
    <n v="3"/>
    <n v="3"/>
    <n v="1"/>
    <x v="1"/>
    <n v="1989"/>
    <n v="2"/>
    <m/>
    <n v="7"/>
    <m/>
    <n v="4"/>
    <m/>
    <n v="2"/>
    <m/>
    <n v="2"/>
    <n v="1"/>
    <n v="24"/>
    <x v="1"/>
    <n v="2"/>
    <n v="2"/>
    <n v="2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7"/>
    <m/>
    <m/>
    <m/>
    <m/>
    <m/>
    <m/>
    <m/>
    <m/>
    <m/>
    <n v="1"/>
    <n v="26"/>
    <x v="1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3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1"/>
    <m/>
    <m/>
    <m/>
    <m/>
    <m/>
    <m/>
    <m/>
    <m/>
    <m/>
    <n v="1"/>
    <n v="32"/>
    <x v="1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70"/>
    <m/>
    <m/>
    <m/>
    <m/>
    <m/>
    <m/>
    <m/>
    <m/>
    <m/>
    <n v="1"/>
    <n v="43"/>
    <x v="2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</pivotCacheRecords>
</file>

<file path=xl/pivotCache/pivotCacheRecords31.xml><?xml version="1.0" encoding="utf-8"?>
<pivotCacheRecords xmlns="http://schemas.openxmlformats.org/spreadsheetml/2006/main" xmlns:r="http://schemas.openxmlformats.org/officeDocument/2006/relationships" count="632">
  <r>
    <x v="0"/>
    <s v="Dans votre quartier, les graffiti sont … ?"/>
    <s v="Dans votre quartier, les immeubles ou bâtiments abandonnés ou mal entretenus sont... ?"/>
    <s v="Dans votre quartier, le niveau d'entraide entre les personnes est... ?"/>
    <s v="Dans votre quartier, le niveau de confiance qui règne entre la plupart des personnes est... ?"/>
    <s v="Dans votre quartier, les comportements des jeunes ou des groupes de jeunes sont-ils pour vous une source de menace ou d'insécurité ?"/>
    <s v="Y a-t-il d'autres individus ou des groupes d'individus dont les comportements sont pour vous une source de menace ou d'insécurité ?"/>
    <s v="De quel type ou groupe d'individus s'agit-il ?  Toxicomanes ou revendeur de drogue"/>
    <s v="De quel type ou groupe d'individus s'agit-il ? Gangs de motards / milieu criminel"/>
    <s v="De quel type ou groupe d'individus s'agit-il ? Sollicitation (vendeurs, mouvements religieux, ex-détenus, etc.)"/>
    <s v="De quel type ou groupe d'individus s'agit-il ? Itinérants"/>
    <s v="De quel type ou groupe d'individus s'agit-il ? Individus ou groupes d'individus en état d'ébriété"/>
    <s v="De quel type ou groupe d'individus s'agit-il ? Personnes d'une communauté culturelle différente de la mienne"/>
    <s v="De quel type ou groupe d'individus s'agit-il ? Voisins"/>
    <s v="De quel type ou groupe d'individus s'agit-il ? Autre"/>
    <s v="De quel type ou groupe d'individus s'agit-il ? Autre, précisez"/>
    <s v="Y a-t-il dans votre quartier des endroits que vous évitez de fréquenter pour des raisons de sécurité ?"/>
    <s v="Lesquels ?"/>
    <s v="Veuillez répondre à chacun des énoncés suivants. Quand je me déplace dans mon quartier, j'apporte habituellement quelque chose pour assurer ma protection. "/>
    <s v="Veuillez répondre à chacun des énoncés suivants. Lorsque je suis dans mon quartier, je vérifie qu'aucun intrus ne se trouve à l'intérieur de ma voiture avant d'y monter."/>
    <s v="Veuillez répondre à chacun des énoncés suivants. À mon domicile, j'évite d'ouvrir la porte à des inconnus, pour des raisons de sécurité. "/>
    <s v="Veuillez répondre à chacun des énoncés suivants. Je garde les portes extérieures de mon domicile constamment verrouillées, même lorsque je suis chez moi. "/>
    <s v="Veuillez répondre à chacun des énoncés suivants. Spécialement par mesure de protection, il y a un chien à mon domicile. "/>
    <s v="Veuillez répondre à chacun des énoncés suivants. J'ai un système d'alarme que j'active régulièrement pour protéger mon domicile contre le vol."/>
    <s v="Veuillez répondre à chacun des énoncés suivants. Spécialement par mesure de protection, j'ai suivi un cours d'autodéfense. "/>
    <s v="Veuillez répondre à chacun des énoncés suivants. Spécialement par mesure de protection, il y a une arme à feu à mon domicile. "/>
    <s v="Est-ce qu'il y a à votre domicile au moins un détecteur de fumée fonctionnel par étage ? "/>
    <s v="Le bon fonctionnement de cet/ces appareil(s) a-t-il été vérifié, au cours des douze (12) derniers mois ?"/>
    <s v="Veuillez nous dire votre degré de satisfaction à l'égard : du déneigement et du déglaçage des rues et des trottoirs de votre quartier ? "/>
    <s v="Veuillez nous dire votre degré de satisfaction à l'égard :  de la propreté et de l'entretien des parcs et terrains de jeux de votre quartier ?"/>
    <s v="Veuillez nous dire votre degré de satisfaction à l'égard :  de la sécurité des équipements dans les parcs, aires de jeux ou centre récréatif ou sportif de votre quartier ? "/>
    <s v="Votre quartier est-il desservi par un service de police municipal, une régie intermunicipale ou par la Sûreté du Québec ?"/>
    <s v="Quel est votre niveau de satisfaction à l'égard de la présence des policiers dans votre quartier ?"/>
    <s v="Quel est votre niveau de satisfaction à l'égard du travail effectué par les policiers dans votre quartier ?"/>
    <s v="De façon plus spécifique, quel est votre niveau de satisfaction à l'égard du travail effectué par les policiers : auprès des jeunes de votre quartier"/>
    <s v="De façon plus spécifique, quel est votre niveau de satisfaction à l'égard du travail effectué par les policiers : pour assurer la sécurité routière dans votre quartier"/>
    <s v="De façon plus spécifique, quel est votre niveau de satisfaction à l'égard du travail effectué par les policiers : pour régler des problèmes de délinquance ou de désordres qui surviennent dans votre quartier"/>
    <s v="Au cours des deux dernières années, combien de fois avez-vous fait appel au service de police qui dessert votre quartier ?"/>
    <s v="En vous référant à l'événement le plus récent, quel est votre niveau de satisfaction à l'égard de la réponse que vous avez reçue ?"/>
    <s v="Pourquoi ? Peu"/>
    <s v="Pourquoi ? Pas"/>
    <s v="Au cours des deux dernières années, vous êtes vous IMPLIQUÉ SUR UNE BASE RÉGULIÈRE dans les activités suivantes de votre quartier : Dans un comité ou un organisme préoccupé par les problèmes de sécurité de votre quartier ?"/>
    <s v="Au cours des deux dernières années, vous êtes vous IMPLIQUÉ SUR UNE BASE RÉGULIÈRE dans les activités suivantes de votre quartier : Dans des assemblées du conseil municipal ?"/>
    <s v="Au cours des deux dernières années, vous êtes vous IMPLIQUÉ SUR UNE BASE RÉGULIÈRE dans les activités suivantes de votre quartier : Dans un conseil de quartier ou d'arrondissement ?"/>
    <s v="Au cours des deux dernières années, vous êtes vous IMPLIQUÉ SUR UNE BASE RÉGULIÈRE dans les activités suivantes de votre quartier : Dans un comité de citoyens ?"/>
    <s v="Au cours des deux dernières années, vous êtes vous IMPLIQUÉ SUR UNE BASE RÉGULIÈRE dans les activités suivantes de votre quartier : Dans des activités communautaires, d'entraide ou de bénévolat (cuisine communautaire, bazar)"/>
    <s v="Au cours des deux dernières années, vous êtes vous IMPLIQUÉ SUR UNE BASE RÉGULIÈRE dans les activités suivantes de votre quartier : Dans des activités sociales, culturelles ou sportives organisées par les gens de votre quartier ou de votre municipalité ?"/>
    <s v="Au cours des deux dernières années, avez-vous été victime de vol, de vandalisme ou de tout autre crime contre vos biens, chez vous ou dans votre quartier ?"/>
    <s v="Au cours des deux dernières années, avez-vous été victime d'une agression, d'intimidation ou de tout autre acte de violence, chez vous ou dans votre quartier ?"/>
    <s v="Au cours des deux dernières années avez-vous été victime dans votre quartier d'une quelconque forme de discrimination ?"/>
    <s v="À votre avis, le motif de cette discrimination était lié …"/>
    <s v="Autre, précisez :"/>
    <s v="Au cours des deux dernières années, avez-vous subi un accident qui vous a occasionné une blessure pour laquelle vous avez dû consulter un professionnel de la santé ou limiter vos activités ?"/>
    <s v="Combien de fois cela s'est-il produit ?"/>
    <s v="En se référant au dernier événement, était-ce … ?"/>
    <s v="Autre, précisez :"/>
    <s v="Maintenant, comparativement à d'autres personnes de votre âge, dirirez-vous que votre santé est en général …"/>
    <s v="Dans quel quartier habitez-vous ?"/>
    <s v="Combien de personne de moins de 18 ans habitent dans votre foyer ?"/>
    <x v="0"/>
    <s v="Quelle est votre année de naissance ?"/>
    <s v="Êtes-vous propriétaire ou locataire du logement que vous habitez ?"/>
    <s v="Autre, précisez : "/>
    <s v="Habitez-vous dans …"/>
    <s v="Autre, précisez : "/>
    <s v="Quel est votre état civil ?"/>
    <s v="Autre, précisez : "/>
    <s v="Où est situé votre lieu de travail habituel ?"/>
    <s v="Autre, précisez : "/>
    <s v="Quel est le plus haut niveau de scolarité que vous avez complété ?"/>
    <m/>
    <m/>
    <x v="0"/>
    <m/>
    <m/>
    <m/>
  </r>
  <r>
    <x v="1"/>
    <n v="2"/>
    <n v="4"/>
    <n v="3"/>
    <n v="1"/>
    <n v="1"/>
    <n v="1"/>
    <m/>
    <n v="1"/>
    <m/>
    <n v="1"/>
    <n v="1"/>
    <n v="1"/>
    <n v="1"/>
    <m/>
    <m/>
    <n v="1"/>
    <m/>
    <n v="2"/>
    <n v="2"/>
    <n v="1"/>
    <n v="1"/>
    <n v="1"/>
    <n v="2"/>
    <n v="1"/>
    <n v="2"/>
    <n v="2"/>
    <m/>
    <n v="1"/>
    <n v="7"/>
    <n v="4"/>
    <n v="8"/>
    <n v="1"/>
    <n v="4"/>
    <n v="8"/>
    <n v="2"/>
    <n v="2"/>
    <n v="1"/>
    <m/>
    <m/>
    <m/>
    <n v="1"/>
    <n v="2"/>
    <n v="1"/>
    <n v="2"/>
    <n v="2"/>
    <n v="1"/>
    <n v="1"/>
    <n v="2"/>
    <n v="1"/>
    <n v="2"/>
    <m/>
    <n v="1"/>
    <n v="4"/>
    <n v="5"/>
    <m/>
    <n v="2"/>
    <n v="4"/>
    <n v="5"/>
    <x v="1"/>
    <n v="1981"/>
    <n v="2"/>
    <m/>
    <n v="7"/>
    <m/>
    <n v="1"/>
    <m/>
    <n v="1"/>
    <m/>
    <n v="4"/>
    <n v="1"/>
    <n v="32"/>
    <x v="1"/>
    <n v="1"/>
    <n v="1"/>
    <n v="1"/>
  </r>
  <r>
    <x v="1"/>
    <n v="1"/>
    <n v="2"/>
    <n v="2"/>
    <n v="1"/>
    <n v="2"/>
    <n v="1"/>
    <m/>
    <m/>
    <n v="1"/>
    <m/>
    <n v="1"/>
    <m/>
    <n v="1"/>
    <m/>
    <m/>
    <n v="2"/>
    <m/>
    <n v="1"/>
    <n v="1"/>
    <n v="2"/>
    <n v="1"/>
    <n v="1"/>
    <n v="1"/>
    <n v="1"/>
    <n v="1"/>
    <n v="1"/>
    <n v="1"/>
    <n v="2"/>
    <n v="4"/>
    <n v="1"/>
    <n v="1"/>
    <n v="4"/>
    <n v="8"/>
    <n v="1"/>
    <n v="4"/>
    <n v="1"/>
    <n v="2"/>
    <n v="1"/>
    <m/>
    <m/>
    <n v="2"/>
    <n v="1"/>
    <n v="1"/>
    <n v="2"/>
    <n v="2"/>
    <n v="1"/>
    <n v="2"/>
    <n v="1"/>
    <n v="2"/>
    <n v="1"/>
    <m/>
    <n v="2"/>
    <m/>
    <m/>
    <m/>
    <n v="4"/>
    <n v="1"/>
    <n v="2"/>
    <x v="2"/>
    <n v="1970"/>
    <n v="1"/>
    <m/>
    <n v="5"/>
    <m/>
    <n v="2"/>
    <m/>
    <n v="2"/>
    <m/>
    <n v="1"/>
    <n v="1"/>
    <n v="43"/>
    <x v="2"/>
    <n v="2"/>
    <n v="3"/>
    <n v="2"/>
  </r>
  <r>
    <x v="2"/>
    <n v="2"/>
    <n v="3"/>
    <n v="1"/>
    <n v="2"/>
    <n v="1"/>
    <n v="2"/>
    <n v="1"/>
    <m/>
    <m/>
    <m/>
    <n v="1"/>
    <n v="1"/>
    <m/>
    <n v="1"/>
    <m/>
    <n v="2"/>
    <m/>
    <n v="1"/>
    <n v="1"/>
    <n v="2"/>
    <n v="1"/>
    <n v="1"/>
    <n v="1"/>
    <n v="2"/>
    <n v="1"/>
    <n v="1"/>
    <n v="2"/>
    <n v="3"/>
    <n v="1"/>
    <n v="2"/>
    <n v="3"/>
    <n v="2"/>
    <n v="1"/>
    <n v="2"/>
    <n v="3"/>
    <n v="4"/>
    <n v="3"/>
    <n v="3"/>
    <m/>
    <m/>
    <n v="2"/>
    <n v="1"/>
    <n v="2"/>
    <n v="2"/>
    <n v="2"/>
    <n v="2"/>
    <n v="2"/>
    <n v="1"/>
    <n v="3"/>
    <n v="3"/>
    <m/>
    <n v="1"/>
    <n v="2"/>
    <n v="8"/>
    <m/>
    <n v="5"/>
    <n v="4"/>
    <n v="4"/>
    <x v="2"/>
    <n v="1990"/>
    <n v="3"/>
    <m/>
    <n v="4"/>
    <m/>
    <n v="4"/>
    <m/>
    <n v="3"/>
    <m/>
    <n v="2"/>
    <n v="1"/>
    <n v="23"/>
    <x v="1"/>
    <n v="2"/>
    <n v="4"/>
    <n v="2"/>
  </r>
  <r>
    <x v="1"/>
    <n v="3"/>
    <n v="3"/>
    <n v="1"/>
    <n v="3"/>
    <n v="1"/>
    <n v="1"/>
    <n v="1"/>
    <n v="1"/>
    <m/>
    <n v="1"/>
    <n v="1"/>
    <n v="1"/>
    <n v="1"/>
    <m/>
    <m/>
    <n v="2"/>
    <m/>
    <n v="1"/>
    <n v="1"/>
    <n v="2"/>
    <n v="2"/>
    <n v="1"/>
    <n v="2"/>
    <n v="2"/>
    <n v="1"/>
    <n v="1"/>
    <n v="1"/>
    <n v="4"/>
    <n v="3"/>
    <n v="3"/>
    <n v="2"/>
    <n v="3"/>
    <n v="1"/>
    <n v="3"/>
    <n v="2"/>
    <n v="2"/>
    <n v="4"/>
    <n v="2"/>
    <m/>
    <m/>
    <n v="2"/>
    <n v="1"/>
    <n v="2"/>
    <n v="2"/>
    <n v="1"/>
    <n v="2"/>
    <n v="2"/>
    <n v="2"/>
    <n v="4"/>
    <m/>
    <m/>
    <n v="1"/>
    <n v="2"/>
    <n v="7"/>
    <m/>
    <n v="1"/>
    <n v="2"/>
    <n v="1"/>
    <x v="2"/>
    <n v="1983"/>
    <n v="1"/>
    <m/>
    <n v="1"/>
    <m/>
    <n v="1"/>
    <m/>
    <n v="4"/>
    <m/>
    <n v="3"/>
    <n v="1"/>
    <n v="30"/>
    <x v="1"/>
    <n v="2"/>
    <n v="3"/>
    <n v="2"/>
  </r>
  <r>
    <x v="1"/>
    <n v="3"/>
    <n v="2"/>
    <n v="1"/>
    <n v="2"/>
    <n v="2"/>
    <n v="1"/>
    <m/>
    <n v="1"/>
    <n v="1"/>
    <n v="1"/>
    <n v="1"/>
    <n v="1"/>
    <m/>
    <m/>
    <m/>
    <n v="2"/>
    <m/>
    <n v="1"/>
    <n v="1"/>
    <n v="1"/>
    <n v="2"/>
    <n v="2"/>
    <n v="2"/>
    <n v="1"/>
    <n v="2"/>
    <n v="2"/>
    <m/>
    <n v="7"/>
    <n v="3"/>
    <n v="3"/>
    <n v="1"/>
    <n v="2"/>
    <n v="3"/>
    <n v="2"/>
    <n v="1"/>
    <n v="3"/>
    <n v="2"/>
    <n v="4"/>
    <m/>
    <m/>
    <n v="1"/>
    <n v="2"/>
    <n v="2"/>
    <n v="1"/>
    <n v="1"/>
    <n v="2"/>
    <n v="2"/>
    <n v="1"/>
    <n v="1"/>
    <n v="6"/>
    <m/>
    <n v="2"/>
    <m/>
    <m/>
    <m/>
    <n v="3"/>
    <n v="3"/>
    <m/>
    <x v="2"/>
    <n v="1967"/>
    <n v="1"/>
    <m/>
    <n v="2"/>
    <m/>
    <n v="3"/>
    <m/>
    <n v="4"/>
    <m/>
    <n v="2"/>
    <n v="1"/>
    <n v="46"/>
    <x v="2"/>
    <n v="3"/>
    <n v="5"/>
    <n v="3"/>
  </r>
  <r>
    <x v="3"/>
    <n v="3"/>
    <n v="1"/>
    <n v="1"/>
    <n v="2"/>
    <n v="1"/>
    <n v="1"/>
    <m/>
    <n v="1"/>
    <m/>
    <m/>
    <m/>
    <n v="1"/>
    <m/>
    <m/>
    <m/>
    <n v="2"/>
    <m/>
    <n v="1"/>
    <n v="1"/>
    <n v="1"/>
    <n v="2"/>
    <n v="2"/>
    <n v="1"/>
    <n v="1"/>
    <n v="2"/>
    <n v="1"/>
    <n v="1"/>
    <n v="4"/>
    <n v="2"/>
    <n v="2"/>
    <n v="2"/>
    <n v="3"/>
    <n v="2"/>
    <n v="4"/>
    <n v="4"/>
    <n v="2"/>
    <n v="1"/>
    <m/>
    <m/>
    <m/>
    <n v="1"/>
    <n v="2"/>
    <n v="1"/>
    <n v="1"/>
    <n v="2"/>
    <n v="1"/>
    <n v="1"/>
    <n v="2"/>
    <n v="4"/>
    <m/>
    <m/>
    <n v="2"/>
    <m/>
    <m/>
    <m/>
    <n v="2"/>
    <n v="2"/>
    <n v="1"/>
    <x v="2"/>
    <n v="1962"/>
    <n v="2"/>
    <m/>
    <n v="3"/>
    <m/>
    <n v="3"/>
    <m/>
    <n v="1"/>
    <m/>
    <n v="1"/>
    <n v="1"/>
    <n v="51"/>
    <x v="2"/>
    <n v="2"/>
    <n v="2"/>
    <n v="2"/>
  </r>
  <r>
    <x v="4"/>
    <n v="2"/>
    <n v="2"/>
    <n v="4"/>
    <n v="1"/>
    <n v="1"/>
    <n v="2"/>
    <m/>
    <m/>
    <m/>
    <n v="1"/>
    <m/>
    <n v="1"/>
    <m/>
    <m/>
    <m/>
    <n v="2"/>
    <m/>
    <n v="2"/>
    <n v="2"/>
    <n v="1"/>
    <n v="2"/>
    <n v="2"/>
    <n v="1"/>
    <n v="2"/>
    <n v="2"/>
    <n v="2"/>
    <m/>
    <n v="2"/>
    <n v="1"/>
    <n v="1"/>
    <n v="1"/>
    <n v="3"/>
    <n v="3"/>
    <n v="1"/>
    <n v="8"/>
    <n v="1"/>
    <n v="3"/>
    <n v="2"/>
    <m/>
    <m/>
    <n v="1"/>
    <n v="2"/>
    <n v="1"/>
    <n v="1"/>
    <n v="1"/>
    <n v="1"/>
    <n v="1"/>
    <n v="1"/>
    <n v="1"/>
    <n v="7"/>
    <m/>
    <n v="1"/>
    <n v="2"/>
    <n v="6"/>
    <m/>
    <n v="1"/>
    <n v="3"/>
    <n v="3"/>
    <x v="2"/>
    <n v="1994"/>
    <n v="3"/>
    <m/>
    <n v="3"/>
    <m/>
    <n v="2"/>
    <m/>
    <n v="2"/>
    <m/>
    <n v="4"/>
    <n v="1"/>
    <n v="19"/>
    <x v="1"/>
    <n v="2"/>
    <n v="4"/>
    <n v="2"/>
  </r>
  <r>
    <x v="3"/>
    <n v="4"/>
    <n v="1"/>
    <n v="4"/>
    <n v="4"/>
    <n v="2"/>
    <n v="2"/>
    <m/>
    <m/>
    <n v="1"/>
    <n v="1"/>
    <m/>
    <m/>
    <n v="1"/>
    <m/>
    <m/>
    <n v="1"/>
    <m/>
    <n v="2"/>
    <n v="2"/>
    <n v="1"/>
    <n v="2"/>
    <n v="2"/>
    <n v="2"/>
    <n v="1"/>
    <n v="2"/>
    <n v="1"/>
    <n v="2"/>
    <n v="3"/>
    <n v="1"/>
    <n v="2"/>
    <n v="3"/>
    <n v="4"/>
    <n v="2"/>
    <n v="3"/>
    <n v="8"/>
    <n v="4"/>
    <n v="2"/>
    <n v="1"/>
    <m/>
    <m/>
    <n v="1"/>
    <n v="1"/>
    <n v="1"/>
    <n v="1"/>
    <n v="1"/>
    <n v="1"/>
    <n v="1"/>
    <n v="2"/>
    <n v="3"/>
    <n v="2"/>
    <m/>
    <n v="2"/>
    <m/>
    <m/>
    <m/>
    <n v="3"/>
    <n v="2"/>
    <n v="2"/>
    <x v="1"/>
    <n v="1983"/>
    <n v="2"/>
    <m/>
    <n v="2"/>
    <m/>
    <n v="1"/>
    <m/>
    <n v="3"/>
    <m/>
    <n v="1"/>
    <n v="1"/>
    <n v="30"/>
    <x v="1"/>
    <n v="2"/>
    <n v="4"/>
    <n v="2"/>
  </r>
  <r>
    <x v="1"/>
    <n v="4"/>
    <n v="4"/>
    <n v="3"/>
    <n v="1"/>
    <n v="2"/>
    <n v="2"/>
    <n v="1"/>
    <n v="1"/>
    <m/>
    <n v="1"/>
    <n v="1"/>
    <n v="1"/>
    <m/>
    <m/>
    <m/>
    <n v="1"/>
    <m/>
    <n v="2"/>
    <n v="2"/>
    <n v="1"/>
    <n v="2"/>
    <n v="2"/>
    <n v="1"/>
    <n v="2"/>
    <n v="2"/>
    <n v="2"/>
    <m/>
    <n v="1"/>
    <n v="4"/>
    <n v="3"/>
    <n v="2"/>
    <n v="1"/>
    <n v="3"/>
    <n v="2"/>
    <n v="8"/>
    <n v="2"/>
    <n v="1"/>
    <m/>
    <m/>
    <m/>
    <n v="2"/>
    <n v="1"/>
    <n v="2"/>
    <n v="2"/>
    <n v="1"/>
    <n v="2"/>
    <n v="1"/>
    <n v="1"/>
    <n v="2"/>
    <n v="2"/>
    <m/>
    <n v="1"/>
    <n v="1"/>
    <n v="1"/>
    <m/>
    <n v="8"/>
    <n v="3"/>
    <n v="5"/>
    <x v="1"/>
    <n v="1975"/>
    <n v="3"/>
    <m/>
    <n v="2"/>
    <m/>
    <n v="4"/>
    <m/>
    <n v="2"/>
    <m/>
    <n v="3"/>
    <n v="1"/>
    <n v="38"/>
    <x v="1"/>
    <n v="2"/>
    <n v="2"/>
    <n v="1"/>
  </r>
  <r>
    <x v="2"/>
    <n v="4"/>
    <n v="1"/>
    <n v="2"/>
    <n v="2"/>
    <n v="1"/>
    <n v="1"/>
    <m/>
    <m/>
    <n v="1"/>
    <m/>
    <m/>
    <n v="1"/>
    <m/>
    <n v="1"/>
    <m/>
    <n v="1"/>
    <m/>
    <n v="2"/>
    <n v="2"/>
    <n v="1"/>
    <n v="1"/>
    <n v="2"/>
    <n v="2"/>
    <n v="2"/>
    <n v="2"/>
    <n v="2"/>
    <m/>
    <n v="2"/>
    <n v="1"/>
    <n v="4"/>
    <n v="2"/>
    <n v="2"/>
    <n v="2"/>
    <n v="1"/>
    <n v="8"/>
    <n v="3"/>
    <n v="3"/>
    <n v="3"/>
    <m/>
    <m/>
    <n v="2"/>
    <n v="2"/>
    <n v="2"/>
    <n v="2"/>
    <n v="2"/>
    <n v="2"/>
    <n v="1"/>
    <n v="1"/>
    <n v="2"/>
    <n v="3"/>
    <m/>
    <n v="1"/>
    <n v="2"/>
    <n v="5"/>
    <m/>
    <n v="2"/>
    <n v="2"/>
    <n v="5"/>
    <x v="1"/>
    <n v="1979"/>
    <n v="3"/>
    <m/>
    <n v="1"/>
    <m/>
    <n v="1"/>
    <m/>
    <n v="1"/>
    <m/>
    <n v="2"/>
    <n v="1"/>
    <n v="34"/>
    <x v="1"/>
    <n v="1"/>
    <n v="1"/>
    <n v="1"/>
  </r>
  <r>
    <x v="1"/>
    <n v="1"/>
    <n v="4"/>
    <n v="2"/>
    <n v="3"/>
    <n v="1"/>
    <n v="2"/>
    <m/>
    <m/>
    <n v="1"/>
    <m/>
    <m/>
    <m/>
    <m/>
    <m/>
    <m/>
    <n v="1"/>
    <m/>
    <n v="2"/>
    <n v="2"/>
    <n v="2"/>
    <n v="1"/>
    <n v="2"/>
    <n v="1"/>
    <n v="1"/>
    <n v="1"/>
    <n v="2"/>
    <m/>
    <n v="3"/>
    <n v="2"/>
    <n v="1"/>
    <n v="2"/>
    <n v="4"/>
    <n v="4"/>
    <n v="4"/>
    <n v="3"/>
    <n v="8"/>
    <n v="1"/>
    <m/>
    <m/>
    <m/>
    <n v="2"/>
    <n v="2"/>
    <n v="2"/>
    <n v="2"/>
    <n v="2"/>
    <n v="2"/>
    <n v="2"/>
    <n v="2"/>
    <n v="3"/>
    <n v="5"/>
    <m/>
    <n v="2"/>
    <m/>
    <m/>
    <m/>
    <n v="1"/>
    <n v="1"/>
    <n v="5"/>
    <x v="1"/>
    <n v="1957"/>
    <n v="3"/>
    <m/>
    <n v="1"/>
    <m/>
    <n v="3"/>
    <m/>
    <n v="4"/>
    <m/>
    <n v="3"/>
    <n v="1"/>
    <n v="56"/>
    <x v="2"/>
    <n v="1"/>
    <n v="1"/>
    <n v="1"/>
  </r>
  <r>
    <x v="3"/>
    <n v="2"/>
    <n v="1"/>
    <n v="3"/>
    <n v="1"/>
    <n v="2"/>
    <n v="1"/>
    <n v="1"/>
    <n v="1"/>
    <n v="1"/>
    <m/>
    <m/>
    <m/>
    <n v="1"/>
    <m/>
    <m/>
    <n v="1"/>
    <m/>
    <n v="1"/>
    <n v="2"/>
    <n v="1"/>
    <n v="1"/>
    <n v="1"/>
    <n v="2"/>
    <n v="2"/>
    <n v="1"/>
    <n v="1"/>
    <n v="2"/>
    <n v="1"/>
    <n v="3"/>
    <n v="7"/>
    <n v="3"/>
    <n v="1"/>
    <n v="2"/>
    <n v="2"/>
    <n v="2"/>
    <n v="2"/>
    <n v="4"/>
    <n v="4"/>
    <m/>
    <m/>
    <n v="1"/>
    <n v="1"/>
    <n v="1"/>
    <n v="2"/>
    <n v="2"/>
    <n v="1"/>
    <n v="2"/>
    <n v="2"/>
    <n v="3"/>
    <n v="98"/>
    <m/>
    <n v="1"/>
    <n v="4"/>
    <n v="4"/>
    <m/>
    <n v="2"/>
    <n v="3"/>
    <m/>
    <x v="2"/>
    <n v="1946"/>
    <n v="2"/>
    <m/>
    <n v="5"/>
    <m/>
    <n v="2"/>
    <m/>
    <n v="2"/>
    <m/>
    <n v="2"/>
    <n v="1"/>
    <n v="67"/>
    <x v="3"/>
    <n v="2"/>
    <n v="4"/>
    <n v="3"/>
  </r>
  <r>
    <x v="3"/>
    <n v="3"/>
    <n v="2"/>
    <n v="2"/>
    <n v="2"/>
    <n v="2"/>
    <n v="2"/>
    <n v="1"/>
    <m/>
    <m/>
    <m/>
    <n v="1"/>
    <n v="1"/>
    <m/>
    <m/>
    <m/>
    <n v="1"/>
    <m/>
    <n v="1"/>
    <n v="2"/>
    <n v="2"/>
    <n v="2"/>
    <n v="1"/>
    <n v="1"/>
    <n v="1"/>
    <n v="1"/>
    <n v="2"/>
    <m/>
    <n v="2"/>
    <n v="1"/>
    <n v="4"/>
    <n v="3"/>
    <n v="3"/>
    <n v="3"/>
    <n v="3"/>
    <n v="1"/>
    <n v="1"/>
    <n v="1"/>
    <m/>
    <m/>
    <m/>
    <n v="1"/>
    <n v="2"/>
    <n v="1"/>
    <n v="1"/>
    <n v="1"/>
    <n v="1"/>
    <n v="1"/>
    <n v="1"/>
    <n v="2"/>
    <n v="1"/>
    <m/>
    <n v="1"/>
    <n v="2"/>
    <n v="98"/>
    <m/>
    <n v="3"/>
    <n v="2"/>
    <n v="1"/>
    <x v="1"/>
    <n v="1947"/>
    <n v="1"/>
    <m/>
    <n v="6"/>
    <m/>
    <n v="4"/>
    <m/>
    <n v="1"/>
    <m/>
    <n v="2"/>
    <n v="1"/>
    <n v="66"/>
    <x v="3"/>
    <n v="2"/>
    <n v="3"/>
    <n v="2"/>
  </r>
  <r>
    <x v="1"/>
    <n v="2"/>
    <n v="3"/>
    <n v="3"/>
    <n v="4"/>
    <n v="2"/>
    <n v="1"/>
    <m/>
    <n v="1"/>
    <n v="1"/>
    <n v="1"/>
    <m/>
    <m/>
    <m/>
    <m/>
    <m/>
    <n v="2"/>
    <m/>
    <n v="1"/>
    <n v="2"/>
    <n v="1"/>
    <n v="2"/>
    <n v="1"/>
    <n v="2"/>
    <n v="2"/>
    <n v="1"/>
    <n v="2"/>
    <m/>
    <n v="3"/>
    <n v="7"/>
    <n v="1"/>
    <n v="1"/>
    <n v="2"/>
    <n v="2"/>
    <n v="2"/>
    <n v="3"/>
    <n v="3"/>
    <n v="2"/>
    <n v="3"/>
    <m/>
    <m/>
    <n v="2"/>
    <n v="1"/>
    <n v="1"/>
    <n v="1"/>
    <n v="2"/>
    <n v="2"/>
    <n v="2"/>
    <n v="2"/>
    <n v="4"/>
    <m/>
    <m/>
    <n v="2"/>
    <m/>
    <m/>
    <m/>
    <n v="5"/>
    <n v="4"/>
    <n v="3"/>
    <x v="2"/>
    <n v="1984"/>
    <n v="3"/>
    <m/>
    <n v="4"/>
    <m/>
    <n v="6"/>
    <m/>
    <n v="3"/>
    <m/>
    <n v="1"/>
    <n v="1"/>
    <n v="29"/>
    <x v="1"/>
    <n v="2"/>
    <n v="4"/>
    <n v="2"/>
  </r>
  <r>
    <x v="4"/>
    <n v="1"/>
    <n v="3"/>
    <n v="1"/>
    <n v="1"/>
    <n v="1"/>
    <n v="2"/>
    <n v="1"/>
    <m/>
    <n v="1"/>
    <m/>
    <m/>
    <n v="1"/>
    <n v="1"/>
    <m/>
    <m/>
    <n v="2"/>
    <m/>
    <n v="2"/>
    <n v="1"/>
    <n v="2"/>
    <n v="1"/>
    <n v="1"/>
    <n v="1"/>
    <n v="1"/>
    <n v="2"/>
    <n v="1"/>
    <n v="1"/>
    <n v="4"/>
    <n v="1"/>
    <n v="2"/>
    <n v="1"/>
    <n v="2"/>
    <n v="1"/>
    <n v="1"/>
    <n v="2"/>
    <n v="8"/>
    <n v="3"/>
    <n v="2"/>
    <m/>
    <m/>
    <n v="1"/>
    <n v="2"/>
    <n v="2"/>
    <n v="2"/>
    <n v="2"/>
    <n v="2"/>
    <n v="1"/>
    <n v="1"/>
    <n v="1"/>
    <n v="8"/>
    <m/>
    <n v="2"/>
    <m/>
    <m/>
    <m/>
    <n v="3"/>
    <n v="3"/>
    <n v="1"/>
    <x v="1"/>
    <n v="1989"/>
    <n v="2"/>
    <m/>
    <n v="7"/>
    <m/>
    <n v="4"/>
    <m/>
    <n v="2"/>
    <m/>
    <n v="2"/>
    <n v="1"/>
    <n v="24"/>
    <x v="1"/>
    <n v="2"/>
    <n v="2"/>
    <n v="2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7"/>
    <m/>
    <m/>
    <m/>
    <m/>
    <m/>
    <m/>
    <m/>
    <m/>
    <m/>
    <n v="1"/>
    <n v="26"/>
    <x v="1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3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1"/>
    <m/>
    <m/>
    <m/>
    <m/>
    <m/>
    <m/>
    <m/>
    <m/>
    <m/>
    <n v="1"/>
    <n v="32"/>
    <x v="1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70"/>
    <m/>
    <m/>
    <m/>
    <m/>
    <m/>
    <m/>
    <m/>
    <m/>
    <m/>
    <n v="1"/>
    <n v="43"/>
    <x v="2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</pivotCacheRecords>
</file>

<file path=xl/pivotCache/pivotCacheRecords32.xml><?xml version="1.0" encoding="utf-8"?>
<pivotCacheRecords xmlns="http://schemas.openxmlformats.org/spreadsheetml/2006/main" xmlns:r="http://schemas.openxmlformats.org/officeDocument/2006/relationships" count="632">
  <r>
    <x v="0"/>
    <s v="Dans votre quartier, les immeubles ou bâtiments abandonnés ou mal entretenus sont... ?"/>
    <s v="Dans votre quartier, le niveau d'entraide entre les personnes est... ?"/>
    <s v="Dans votre quartier, le niveau de confiance qui règne entre la plupart des personnes est... ?"/>
    <s v="Dans votre quartier, les comportements des jeunes ou des groupes de jeunes sont-ils pour vous une source de menace ou d'insécurité ?"/>
    <s v="Y a-t-il d'autres individus ou des groupes d'individus dont les comportements sont pour vous une source de menace ou d'insécurité ?"/>
    <s v="De quel type ou groupe d'individus s'agit-il ?  Toxicomanes ou revendeur de drogue"/>
    <s v="De quel type ou groupe d'individus s'agit-il ? Gangs de motards / milieu criminel"/>
    <s v="De quel type ou groupe d'individus s'agit-il ? Sollicitation (vendeurs, mouvements religieux, ex-détenus, etc.)"/>
    <s v="De quel type ou groupe d'individus s'agit-il ? Itinérants"/>
    <s v="De quel type ou groupe d'individus s'agit-il ? Individus ou groupes d'individus en état d'ébriété"/>
    <s v="De quel type ou groupe d'individus s'agit-il ? Personnes d'une communauté culturelle différente de la mienne"/>
    <s v="De quel type ou groupe d'individus s'agit-il ? Voisins"/>
    <s v="De quel type ou groupe d'individus s'agit-il ? Autre"/>
    <s v="De quel type ou groupe d'individus s'agit-il ? Autre, précisez"/>
    <s v="Y a-t-il dans votre quartier des endroits que vous évitez de fréquenter pour des raisons de sécurité ?"/>
    <s v="Lesquels ?"/>
    <s v="Veuillez répondre à chacun des énoncés suivants. Quand je me déplace dans mon quartier, j'apporte habituellement quelque chose pour assurer ma protection. "/>
    <s v="Veuillez répondre à chacun des énoncés suivants. Lorsque je suis dans mon quartier, je vérifie qu'aucun intrus ne se trouve à l'intérieur de ma voiture avant d'y monter."/>
    <s v="Veuillez répondre à chacun des énoncés suivants. À mon domicile, j'évite d'ouvrir la porte à des inconnus, pour des raisons de sécurité. "/>
    <s v="Veuillez répondre à chacun des énoncés suivants. Je garde les portes extérieures de mon domicile constamment verrouillées, même lorsque je suis chez moi. "/>
    <s v="Veuillez répondre à chacun des énoncés suivants. Spécialement par mesure de protection, il y a un chien à mon domicile. "/>
    <s v="Veuillez répondre à chacun des énoncés suivants. J'ai un système d'alarme que j'active régulièrement pour protéger mon domicile contre le vol."/>
    <s v="Veuillez répondre à chacun des énoncés suivants. Spécialement par mesure de protection, j'ai suivi un cours d'autodéfense. "/>
    <s v="Veuillez répondre à chacun des énoncés suivants. Spécialement par mesure de protection, il y a une arme à feu à mon domicile. "/>
    <s v="Est-ce qu'il y a à votre domicile au moins un détecteur de fumée fonctionnel par étage ? "/>
    <s v="Le bon fonctionnement de cet/ces appareil(s) a-t-il été vérifié, au cours des douze (12) derniers mois ?"/>
    <s v="Veuillez nous dire votre degré de satisfaction à l'égard : du déneigement et du déglaçage des rues et des trottoirs de votre quartier ? "/>
    <s v="Veuillez nous dire votre degré de satisfaction à l'égard :  de la propreté et de l'entretien des parcs et terrains de jeux de votre quartier ?"/>
    <s v="Veuillez nous dire votre degré de satisfaction à l'égard :  de la sécurité des équipements dans les parcs, aires de jeux ou centre récréatif ou sportif de votre quartier ? "/>
    <s v="Votre quartier est-il desservi par un service de police municipal, une régie intermunicipale ou par la Sûreté du Québec ?"/>
    <s v="Quel est votre niveau de satisfaction à l'égard de la présence des policiers dans votre quartier ?"/>
    <s v="Quel est votre niveau de satisfaction à l'égard du travail effectué par les policiers dans votre quartier ?"/>
    <s v="De façon plus spécifique, quel est votre niveau de satisfaction à l'égard du travail effectué par les policiers : auprès des jeunes de votre quartier"/>
    <s v="De façon plus spécifique, quel est votre niveau de satisfaction à l'égard du travail effectué par les policiers : pour assurer la sécurité routière dans votre quartier"/>
    <s v="De façon plus spécifique, quel est votre niveau de satisfaction à l'égard du travail effectué par les policiers : pour régler des problèmes de délinquance ou de désordres qui surviennent dans votre quartier"/>
    <s v="Au cours des deux dernières années, combien de fois avez-vous fait appel au service de police qui dessert votre quartier ?"/>
    <s v="En vous référant à l'événement le plus récent, quel est votre niveau de satisfaction à l'égard de la réponse que vous avez reçue ?"/>
    <s v="Pourquoi ? Peu"/>
    <s v="Pourquoi ? Pas"/>
    <s v="Au cours des deux dernières années, vous êtes vous IMPLIQUÉ SUR UNE BASE RÉGULIÈRE dans les activités suivantes de votre quartier : Dans un comité ou un organisme préoccupé par les problèmes de sécurité de votre quartier ?"/>
    <s v="Au cours des deux dernières années, vous êtes vous IMPLIQUÉ SUR UNE BASE RÉGULIÈRE dans les activités suivantes de votre quartier : Dans des assemblées du conseil municipal ?"/>
    <s v="Au cours des deux dernières années, vous êtes vous IMPLIQUÉ SUR UNE BASE RÉGULIÈRE dans les activités suivantes de votre quartier : Dans un conseil de quartier ou d'arrondissement ?"/>
    <s v="Au cours des deux dernières années, vous êtes vous IMPLIQUÉ SUR UNE BASE RÉGULIÈRE dans les activités suivantes de votre quartier : Dans un comité de citoyens ?"/>
    <s v="Au cours des deux dernières années, vous êtes vous IMPLIQUÉ SUR UNE BASE RÉGULIÈRE dans les activités suivantes de votre quartier : Dans des activités communautaires, d'entraide ou de bénévolat (cuisine communautaire, bazar)"/>
    <s v="Au cours des deux dernières années, vous êtes vous IMPLIQUÉ SUR UNE BASE RÉGULIÈRE dans les activités suivantes de votre quartier : Dans des activités sociales, culturelles ou sportives organisées par les gens de votre quartier ou de votre municipalité ?"/>
    <s v="Au cours des deux dernières années, avez-vous été victime de vol, de vandalisme ou de tout autre crime contre vos biens, chez vous ou dans votre quartier ?"/>
    <s v="Au cours des deux dernières années, avez-vous été victime d'une agression, d'intimidation ou de tout autre acte de violence, chez vous ou dans votre quartier ?"/>
    <s v="Au cours des deux dernières années avez-vous été victime dans votre quartier d'une quelconque forme de discrimination ?"/>
    <s v="À votre avis, le motif de cette discrimination était lié …"/>
    <s v="Autre, précisez :"/>
    <s v="Au cours des deux dernières années, avez-vous subi un accident qui vous a occasionné une blessure pour laquelle vous avez dû consulter un professionnel de la santé ou limiter vos activités ?"/>
    <s v="Combien de fois cela s'est-il produit ?"/>
    <s v="En se référant au dernier événement, était-ce … ?"/>
    <s v="Autre, précisez :"/>
    <s v="Maintenant, comparativement à d'autres personnes de votre âge, dirirez-vous que votre santé est en général …"/>
    <s v="Dans quel quartier habitez-vous ?"/>
    <s v="Combien de personne de moins de 18 ans habitent dans votre foyer ?"/>
    <x v="0"/>
    <s v="Quelle est votre année de naissance ?"/>
    <s v="Êtes-vous propriétaire ou locataire du logement que vous habitez ?"/>
    <s v="Autre, précisez : "/>
    <s v="Habitez-vous dans …"/>
    <s v="Autre, précisez : "/>
    <s v="Quel est votre état civil ?"/>
    <s v="Autre, précisez : "/>
    <s v="Où est situé votre lieu de travail habituel ?"/>
    <s v="Autre, précisez : "/>
    <s v="Quel est le plus haut niveau de scolarité que vous avez complété ?"/>
    <m/>
    <m/>
    <x v="0"/>
    <m/>
    <m/>
    <m/>
  </r>
  <r>
    <x v="1"/>
    <n v="4"/>
    <n v="3"/>
    <n v="1"/>
    <n v="1"/>
    <n v="1"/>
    <m/>
    <n v="1"/>
    <m/>
    <n v="1"/>
    <n v="1"/>
    <n v="1"/>
    <n v="1"/>
    <m/>
    <m/>
    <n v="1"/>
    <m/>
    <n v="2"/>
    <n v="2"/>
    <n v="1"/>
    <n v="1"/>
    <n v="1"/>
    <n v="2"/>
    <n v="1"/>
    <n v="2"/>
    <n v="2"/>
    <m/>
    <n v="1"/>
    <n v="7"/>
    <n v="4"/>
    <n v="8"/>
    <n v="1"/>
    <n v="4"/>
    <n v="8"/>
    <n v="2"/>
    <n v="2"/>
    <n v="1"/>
    <m/>
    <m/>
    <m/>
    <n v="1"/>
    <n v="2"/>
    <n v="1"/>
    <n v="2"/>
    <n v="2"/>
    <n v="1"/>
    <n v="1"/>
    <n v="2"/>
    <n v="1"/>
    <n v="2"/>
    <m/>
    <n v="1"/>
    <n v="4"/>
    <n v="5"/>
    <m/>
    <n v="2"/>
    <n v="4"/>
    <n v="5"/>
    <x v="1"/>
    <n v="1981"/>
    <n v="2"/>
    <m/>
    <n v="7"/>
    <m/>
    <n v="1"/>
    <m/>
    <n v="1"/>
    <m/>
    <n v="4"/>
    <n v="1"/>
    <n v="32"/>
    <x v="1"/>
    <n v="1"/>
    <n v="1"/>
    <n v="1"/>
  </r>
  <r>
    <x v="2"/>
    <n v="2"/>
    <n v="2"/>
    <n v="1"/>
    <n v="2"/>
    <n v="1"/>
    <m/>
    <m/>
    <n v="1"/>
    <m/>
    <n v="1"/>
    <m/>
    <n v="1"/>
    <m/>
    <m/>
    <n v="2"/>
    <m/>
    <n v="1"/>
    <n v="1"/>
    <n v="2"/>
    <n v="1"/>
    <n v="1"/>
    <n v="1"/>
    <n v="1"/>
    <n v="1"/>
    <n v="1"/>
    <n v="1"/>
    <n v="2"/>
    <n v="4"/>
    <n v="1"/>
    <n v="1"/>
    <n v="4"/>
    <n v="8"/>
    <n v="1"/>
    <n v="4"/>
    <n v="1"/>
    <n v="2"/>
    <n v="1"/>
    <m/>
    <m/>
    <n v="2"/>
    <n v="1"/>
    <n v="1"/>
    <n v="2"/>
    <n v="2"/>
    <n v="1"/>
    <n v="2"/>
    <n v="1"/>
    <n v="2"/>
    <n v="1"/>
    <m/>
    <n v="2"/>
    <m/>
    <m/>
    <m/>
    <n v="4"/>
    <n v="1"/>
    <n v="2"/>
    <x v="2"/>
    <n v="1970"/>
    <n v="1"/>
    <m/>
    <n v="5"/>
    <m/>
    <n v="2"/>
    <m/>
    <n v="2"/>
    <m/>
    <n v="1"/>
    <n v="1"/>
    <n v="43"/>
    <x v="2"/>
    <n v="2"/>
    <n v="3"/>
    <n v="2"/>
  </r>
  <r>
    <x v="1"/>
    <n v="3"/>
    <n v="1"/>
    <n v="2"/>
    <n v="1"/>
    <n v="2"/>
    <n v="1"/>
    <m/>
    <m/>
    <m/>
    <n v="1"/>
    <n v="1"/>
    <m/>
    <n v="1"/>
    <m/>
    <n v="2"/>
    <m/>
    <n v="1"/>
    <n v="1"/>
    <n v="2"/>
    <n v="1"/>
    <n v="1"/>
    <n v="1"/>
    <n v="2"/>
    <n v="1"/>
    <n v="1"/>
    <n v="2"/>
    <n v="3"/>
    <n v="1"/>
    <n v="2"/>
    <n v="3"/>
    <n v="2"/>
    <n v="1"/>
    <n v="2"/>
    <n v="3"/>
    <n v="4"/>
    <n v="3"/>
    <n v="3"/>
    <m/>
    <m/>
    <n v="2"/>
    <n v="1"/>
    <n v="2"/>
    <n v="2"/>
    <n v="2"/>
    <n v="2"/>
    <n v="2"/>
    <n v="1"/>
    <n v="3"/>
    <n v="3"/>
    <m/>
    <n v="1"/>
    <n v="2"/>
    <n v="8"/>
    <m/>
    <n v="5"/>
    <n v="4"/>
    <n v="4"/>
    <x v="2"/>
    <n v="1990"/>
    <n v="3"/>
    <m/>
    <n v="4"/>
    <m/>
    <n v="4"/>
    <m/>
    <n v="3"/>
    <m/>
    <n v="2"/>
    <n v="1"/>
    <n v="23"/>
    <x v="1"/>
    <n v="2"/>
    <n v="4"/>
    <n v="2"/>
  </r>
  <r>
    <x v="3"/>
    <n v="3"/>
    <n v="1"/>
    <n v="3"/>
    <n v="1"/>
    <n v="1"/>
    <n v="1"/>
    <n v="1"/>
    <m/>
    <n v="1"/>
    <n v="1"/>
    <n v="1"/>
    <n v="1"/>
    <m/>
    <m/>
    <n v="2"/>
    <m/>
    <n v="1"/>
    <n v="1"/>
    <n v="2"/>
    <n v="2"/>
    <n v="1"/>
    <n v="2"/>
    <n v="2"/>
    <n v="1"/>
    <n v="1"/>
    <n v="1"/>
    <n v="4"/>
    <n v="3"/>
    <n v="3"/>
    <n v="2"/>
    <n v="3"/>
    <n v="1"/>
    <n v="3"/>
    <n v="2"/>
    <n v="2"/>
    <n v="4"/>
    <n v="2"/>
    <m/>
    <m/>
    <n v="2"/>
    <n v="1"/>
    <n v="2"/>
    <n v="2"/>
    <n v="1"/>
    <n v="2"/>
    <n v="2"/>
    <n v="2"/>
    <n v="4"/>
    <m/>
    <m/>
    <n v="1"/>
    <n v="2"/>
    <n v="7"/>
    <m/>
    <n v="1"/>
    <n v="2"/>
    <n v="1"/>
    <x v="2"/>
    <n v="1983"/>
    <n v="1"/>
    <m/>
    <n v="1"/>
    <m/>
    <n v="1"/>
    <m/>
    <n v="4"/>
    <m/>
    <n v="3"/>
    <n v="1"/>
    <n v="30"/>
    <x v="1"/>
    <n v="2"/>
    <n v="3"/>
    <n v="2"/>
  </r>
  <r>
    <x v="3"/>
    <n v="2"/>
    <n v="1"/>
    <n v="2"/>
    <n v="2"/>
    <n v="1"/>
    <m/>
    <n v="1"/>
    <n v="1"/>
    <n v="1"/>
    <n v="1"/>
    <n v="1"/>
    <m/>
    <m/>
    <m/>
    <n v="2"/>
    <m/>
    <n v="1"/>
    <n v="1"/>
    <n v="1"/>
    <n v="2"/>
    <n v="2"/>
    <n v="2"/>
    <n v="1"/>
    <n v="2"/>
    <n v="2"/>
    <m/>
    <n v="7"/>
    <n v="3"/>
    <n v="3"/>
    <n v="1"/>
    <n v="2"/>
    <n v="3"/>
    <n v="2"/>
    <n v="1"/>
    <n v="3"/>
    <n v="2"/>
    <n v="4"/>
    <m/>
    <m/>
    <n v="1"/>
    <n v="2"/>
    <n v="2"/>
    <n v="1"/>
    <n v="1"/>
    <n v="2"/>
    <n v="2"/>
    <n v="1"/>
    <n v="1"/>
    <n v="6"/>
    <m/>
    <n v="2"/>
    <m/>
    <m/>
    <m/>
    <n v="3"/>
    <n v="3"/>
    <m/>
    <x v="2"/>
    <n v="1967"/>
    <n v="1"/>
    <m/>
    <n v="2"/>
    <m/>
    <n v="3"/>
    <m/>
    <n v="4"/>
    <m/>
    <n v="2"/>
    <n v="1"/>
    <n v="46"/>
    <x v="2"/>
    <n v="3"/>
    <n v="5"/>
    <n v="3"/>
  </r>
  <r>
    <x v="3"/>
    <n v="1"/>
    <n v="1"/>
    <n v="2"/>
    <n v="1"/>
    <n v="1"/>
    <m/>
    <n v="1"/>
    <m/>
    <m/>
    <m/>
    <n v="1"/>
    <m/>
    <m/>
    <m/>
    <n v="2"/>
    <m/>
    <n v="1"/>
    <n v="1"/>
    <n v="1"/>
    <n v="2"/>
    <n v="2"/>
    <n v="1"/>
    <n v="1"/>
    <n v="2"/>
    <n v="1"/>
    <n v="1"/>
    <n v="4"/>
    <n v="2"/>
    <n v="2"/>
    <n v="2"/>
    <n v="3"/>
    <n v="2"/>
    <n v="4"/>
    <n v="4"/>
    <n v="2"/>
    <n v="1"/>
    <m/>
    <m/>
    <m/>
    <n v="1"/>
    <n v="2"/>
    <n v="1"/>
    <n v="1"/>
    <n v="2"/>
    <n v="1"/>
    <n v="1"/>
    <n v="2"/>
    <n v="4"/>
    <m/>
    <m/>
    <n v="2"/>
    <m/>
    <m/>
    <m/>
    <n v="2"/>
    <n v="2"/>
    <n v="1"/>
    <x v="2"/>
    <n v="1962"/>
    <n v="2"/>
    <m/>
    <n v="3"/>
    <m/>
    <n v="3"/>
    <m/>
    <n v="1"/>
    <m/>
    <n v="1"/>
    <n v="1"/>
    <n v="51"/>
    <x v="2"/>
    <n v="2"/>
    <n v="2"/>
    <n v="2"/>
  </r>
  <r>
    <x v="1"/>
    <n v="2"/>
    <n v="4"/>
    <n v="1"/>
    <n v="1"/>
    <n v="2"/>
    <m/>
    <m/>
    <m/>
    <n v="1"/>
    <m/>
    <n v="1"/>
    <m/>
    <m/>
    <m/>
    <n v="2"/>
    <m/>
    <n v="2"/>
    <n v="2"/>
    <n v="1"/>
    <n v="2"/>
    <n v="2"/>
    <n v="1"/>
    <n v="2"/>
    <n v="2"/>
    <n v="2"/>
    <m/>
    <n v="2"/>
    <n v="1"/>
    <n v="1"/>
    <n v="1"/>
    <n v="3"/>
    <n v="3"/>
    <n v="1"/>
    <n v="8"/>
    <n v="1"/>
    <n v="3"/>
    <n v="2"/>
    <m/>
    <m/>
    <n v="1"/>
    <n v="2"/>
    <n v="1"/>
    <n v="1"/>
    <n v="1"/>
    <n v="1"/>
    <n v="1"/>
    <n v="1"/>
    <n v="1"/>
    <n v="7"/>
    <m/>
    <n v="1"/>
    <n v="2"/>
    <n v="6"/>
    <m/>
    <n v="1"/>
    <n v="3"/>
    <n v="3"/>
    <x v="2"/>
    <n v="1994"/>
    <n v="3"/>
    <m/>
    <n v="3"/>
    <m/>
    <n v="2"/>
    <m/>
    <n v="2"/>
    <m/>
    <n v="4"/>
    <n v="1"/>
    <n v="19"/>
    <x v="1"/>
    <n v="2"/>
    <n v="4"/>
    <n v="2"/>
  </r>
  <r>
    <x v="4"/>
    <n v="1"/>
    <n v="4"/>
    <n v="4"/>
    <n v="2"/>
    <n v="2"/>
    <m/>
    <m/>
    <n v="1"/>
    <n v="1"/>
    <m/>
    <m/>
    <n v="1"/>
    <m/>
    <m/>
    <n v="1"/>
    <m/>
    <n v="2"/>
    <n v="2"/>
    <n v="1"/>
    <n v="2"/>
    <n v="2"/>
    <n v="2"/>
    <n v="1"/>
    <n v="2"/>
    <n v="1"/>
    <n v="2"/>
    <n v="3"/>
    <n v="1"/>
    <n v="2"/>
    <n v="3"/>
    <n v="4"/>
    <n v="2"/>
    <n v="3"/>
    <n v="8"/>
    <n v="4"/>
    <n v="2"/>
    <n v="1"/>
    <m/>
    <m/>
    <n v="1"/>
    <n v="1"/>
    <n v="1"/>
    <n v="1"/>
    <n v="1"/>
    <n v="1"/>
    <n v="1"/>
    <n v="2"/>
    <n v="3"/>
    <n v="2"/>
    <m/>
    <n v="2"/>
    <m/>
    <m/>
    <m/>
    <n v="3"/>
    <n v="2"/>
    <n v="2"/>
    <x v="1"/>
    <n v="1983"/>
    <n v="2"/>
    <m/>
    <n v="2"/>
    <m/>
    <n v="1"/>
    <m/>
    <n v="3"/>
    <m/>
    <n v="1"/>
    <n v="1"/>
    <n v="30"/>
    <x v="1"/>
    <n v="2"/>
    <n v="4"/>
    <n v="2"/>
  </r>
  <r>
    <x v="4"/>
    <n v="4"/>
    <n v="3"/>
    <n v="1"/>
    <n v="2"/>
    <n v="2"/>
    <n v="1"/>
    <n v="1"/>
    <m/>
    <n v="1"/>
    <n v="1"/>
    <n v="1"/>
    <m/>
    <m/>
    <m/>
    <n v="1"/>
    <m/>
    <n v="2"/>
    <n v="2"/>
    <n v="1"/>
    <n v="2"/>
    <n v="2"/>
    <n v="1"/>
    <n v="2"/>
    <n v="2"/>
    <n v="2"/>
    <m/>
    <n v="1"/>
    <n v="4"/>
    <n v="3"/>
    <n v="2"/>
    <n v="1"/>
    <n v="3"/>
    <n v="2"/>
    <n v="8"/>
    <n v="2"/>
    <n v="1"/>
    <m/>
    <m/>
    <m/>
    <n v="2"/>
    <n v="1"/>
    <n v="2"/>
    <n v="2"/>
    <n v="1"/>
    <n v="2"/>
    <n v="1"/>
    <n v="1"/>
    <n v="2"/>
    <n v="2"/>
    <m/>
    <n v="1"/>
    <n v="1"/>
    <n v="1"/>
    <m/>
    <n v="8"/>
    <n v="3"/>
    <n v="5"/>
    <x v="1"/>
    <n v="1975"/>
    <n v="3"/>
    <m/>
    <n v="2"/>
    <m/>
    <n v="4"/>
    <m/>
    <n v="2"/>
    <m/>
    <n v="3"/>
    <n v="1"/>
    <n v="38"/>
    <x v="1"/>
    <n v="2"/>
    <n v="2"/>
    <n v="1"/>
  </r>
  <r>
    <x v="4"/>
    <n v="1"/>
    <n v="2"/>
    <n v="2"/>
    <n v="1"/>
    <n v="1"/>
    <m/>
    <m/>
    <n v="1"/>
    <m/>
    <m/>
    <n v="1"/>
    <m/>
    <n v="1"/>
    <m/>
    <n v="1"/>
    <m/>
    <n v="2"/>
    <n v="2"/>
    <n v="1"/>
    <n v="1"/>
    <n v="2"/>
    <n v="2"/>
    <n v="2"/>
    <n v="2"/>
    <n v="2"/>
    <m/>
    <n v="2"/>
    <n v="1"/>
    <n v="4"/>
    <n v="2"/>
    <n v="2"/>
    <n v="2"/>
    <n v="1"/>
    <n v="8"/>
    <n v="3"/>
    <n v="3"/>
    <n v="3"/>
    <m/>
    <m/>
    <n v="2"/>
    <n v="2"/>
    <n v="2"/>
    <n v="2"/>
    <n v="2"/>
    <n v="2"/>
    <n v="1"/>
    <n v="1"/>
    <n v="2"/>
    <n v="3"/>
    <m/>
    <n v="1"/>
    <n v="2"/>
    <n v="5"/>
    <m/>
    <n v="2"/>
    <n v="2"/>
    <n v="5"/>
    <x v="1"/>
    <n v="1979"/>
    <n v="3"/>
    <m/>
    <n v="1"/>
    <m/>
    <n v="1"/>
    <m/>
    <n v="1"/>
    <m/>
    <n v="2"/>
    <n v="1"/>
    <n v="34"/>
    <x v="1"/>
    <n v="1"/>
    <n v="1"/>
    <n v="1"/>
  </r>
  <r>
    <x v="2"/>
    <n v="4"/>
    <n v="2"/>
    <n v="3"/>
    <n v="1"/>
    <n v="2"/>
    <m/>
    <m/>
    <n v="1"/>
    <m/>
    <m/>
    <m/>
    <m/>
    <m/>
    <m/>
    <n v="1"/>
    <m/>
    <n v="2"/>
    <n v="2"/>
    <n v="2"/>
    <n v="1"/>
    <n v="2"/>
    <n v="1"/>
    <n v="1"/>
    <n v="1"/>
    <n v="2"/>
    <m/>
    <n v="3"/>
    <n v="2"/>
    <n v="1"/>
    <n v="2"/>
    <n v="4"/>
    <n v="4"/>
    <n v="4"/>
    <n v="3"/>
    <n v="8"/>
    <n v="1"/>
    <m/>
    <m/>
    <m/>
    <n v="2"/>
    <n v="2"/>
    <n v="2"/>
    <n v="2"/>
    <n v="2"/>
    <n v="2"/>
    <n v="2"/>
    <n v="2"/>
    <n v="3"/>
    <n v="5"/>
    <m/>
    <n v="2"/>
    <m/>
    <m/>
    <m/>
    <n v="1"/>
    <n v="1"/>
    <n v="5"/>
    <x v="1"/>
    <n v="1957"/>
    <n v="3"/>
    <m/>
    <n v="1"/>
    <m/>
    <n v="3"/>
    <m/>
    <n v="4"/>
    <m/>
    <n v="3"/>
    <n v="1"/>
    <n v="56"/>
    <x v="2"/>
    <n v="1"/>
    <n v="1"/>
    <n v="1"/>
  </r>
  <r>
    <x v="1"/>
    <n v="1"/>
    <n v="3"/>
    <n v="1"/>
    <n v="2"/>
    <n v="1"/>
    <n v="1"/>
    <n v="1"/>
    <n v="1"/>
    <m/>
    <m/>
    <m/>
    <n v="1"/>
    <m/>
    <m/>
    <n v="1"/>
    <m/>
    <n v="1"/>
    <n v="2"/>
    <n v="1"/>
    <n v="1"/>
    <n v="1"/>
    <n v="2"/>
    <n v="2"/>
    <n v="1"/>
    <n v="1"/>
    <n v="2"/>
    <n v="1"/>
    <n v="3"/>
    <n v="7"/>
    <n v="3"/>
    <n v="1"/>
    <n v="2"/>
    <n v="2"/>
    <n v="2"/>
    <n v="2"/>
    <n v="4"/>
    <n v="4"/>
    <m/>
    <m/>
    <n v="1"/>
    <n v="1"/>
    <n v="1"/>
    <n v="2"/>
    <n v="2"/>
    <n v="1"/>
    <n v="2"/>
    <n v="2"/>
    <n v="3"/>
    <n v="98"/>
    <m/>
    <n v="1"/>
    <n v="4"/>
    <n v="4"/>
    <m/>
    <n v="2"/>
    <n v="3"/>
    <m/>
    <x v="2"/>
    <n v="1946"/>
    <n v="2"/>
    <m/>
    <n v="5"/>
    <m/>
    <n v="2"/>
    <m/>
    <n v="2"/>
    <m/>
    <n v="2"/>
    <n v="1"/>
    <n v="67"/>
    <x v="3"/>
    <n v="2"/>
    <n v="4"/>
    <n v="3"/>
  </r>
  <r>
    <x v="3"/>
    <n v="2"/>
    <n v="2"/>
    <n v="2"/>
    <n v="2"/>
    <n v="2"/>
    <n v="1"/>
    <m/>
    <m/>
    <m/>
    <n v="1"/>
    <n v="1"/>
    <m/>
    <m/>
    <m/>
    <n v="1"/>
    <m/>
    <n v="1"/>
    <n v="2"/>
    <n v="2"/>
    <n v="2"/>
    <n v="1"/>
    <n v="1"/>
    <n v="1"/>
    <n v="1"/>
    <n v="2"/>
    <m/>
    <n v="2"/>
    <n v="1"/>
    <n v="4"/>
    <n v="3"/>
    <n v="3"/>
    <n v="3"/>
    <n v="3"/>
    <n v="1"/>
    <n v="1"/>
    <n v="1"/>
    <m/>
    <m/>
    <m/>
    <n v="1"/>
    <n v="2"/>
    <n v="1"/>
    <n v="1"/>
    <n v="1"/>
    <n v="1"/>
    <n v="1"/>
    <n v="1"/>
    <n v="2"/>
    <n v="1"/>
    <m/>
    <n v="1"/>
    <n v="2"/>
    <n v="98"/>
    <m/>
    <n v="3"/>
    <n v="2"/>
    <n v="1"/>
    <x v="1"/>
    <n v="1947"/>
    <n v="1"/>
    <m/>
    <n v="6"/>
    <m/>
    <n v="4"/>
    <m/>
    <n v="1"/>
    <m/>
    <n v="2"/>
    <n v="1"/>
    <n v="66"/>
    <x v="3"/>
    <n v="2"/>
    <n v="3"/>
    <n v="2"/>
  </r>
  <r>
    <x v="1"/>
    <n v="3"/>
    <n v="3"/>
    <n v="4"/>
    <n v="2"/>
    <n v="1"/>
    <m/>
    <n v="1"/>
    <n v="1"/>
    <n v="1"/>
    <m/>
    <m/>
    <m/>
    <m/>
    <m/>
    <n v="2"/>
    <m/>
    <n v="1"/>
    <n v="2"/>
    <n v="1"/>
    <n v="2"/>
    <n v="1"/>
    <n v="2"/>
    <n v="2"/>
    <n v="1"/>
    <n v="2"/>
    <m/>
    <n v="3"/>
    <n v="7"/>
    <n v="1"/>
    <n v="1"/>
    <n v="2"/>
    <n v="2"/>
    <n v="2"/>
    <n v="3"/>
    <n v="3"/>
    <n v="2"/>
    <n v="3"/>
    <m/>
    <m/>
    <n v="2"/>
    <n v="1"/>
    <n v="1"/>
    <n v="1"/>
    <n v="2"/>
    <n v="2"/>
    <n v="2"/>
    <n v="2"/>
    <n v="4"/>
    <m/>
    <m/>
    <n v="2"/>
    <m/>
    <m/>
    <m/>
    <n v="5"/>
    <n v="4"/>
    <n v="3"/>
    <x v="2"/>
    <n v="1984"/>
    <n v="3"/>
    <m/>
    <n v="4"/>
    <m/>
    <n v="6"/>
    <m/>
    <n v="3"/>
    <m/>
    <n v="1"/>
    <n v="1"/>
    <n v="29"/>
    <x v="1"/>
    <n v="2"/>
    <n v="4"/>
    <n v="2"/>
  </r>
  <r>
    <x v="2"/>
    <n v="3"/>
    <n v="1"/>
    <n v="1"/>
    <n v="1"/>
    <n v="2"/>
    <n v="1"/>
    <m/>
    <n v="1"/>
    <m/>
    <m/>
    <n v="1"/>
    <n v="1"/>
    <m/>
    <m/>
    <n v="2"/>
    <m/>
    <n v="2"/>
    <n v="1"/>
    <n v="2"/>
    <n v="1"/>
    <n v="1"/>
    <n v="1"/>
    <n v="1"/>
    <n v="2"/>
    <n v="1"/>
    <n v="1"/>
    <n v="4"/>
    <n v="1"/>
    <n v="2"/>
    <n v="1"/>
    <n v="2"/>
    <n v="1"/>
    <n v="1"/>
    <n v="2"/>
    <n v="8"/>
    <n v="3"/>
    <n v="2"/>
    <m/>
    <m/>
    <n v="1"/>
    <n v="2"/>
    <n v="2"/>
    <n v="2"/>
    <n v="2"/>
    <n v="2"/>
    <n v="1"/>
    <n v="1"/>
    <n v="1"/>
    <n v="8"/>
    <m/>
    <n v="2"/>
    <m/>
    <m/>
    <m/>
    <n v="3"/>
    <n v="3"/>
    <n v="1"/>
    <x v="1"/>
    <n v="1989"/>
    <n v="2"/>
    <m/>
    <n v="7"/>
    <m/>
    <n v="4"/>
    <m/>
    <n v="2"/>
    <m/>
    <n v="2"/>
    <n v="1"/>
    <n v="24"/>
    <x v="1"/>
    <n v="2"/>
    <n v="2"/>
    <n v="2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7"/>
    <m/>
    <m/>
    <m/>
    <m/>
    <m/>
    <m/>
    <m/>
    <m/>
    <m/>
    <n v="1"/>
    <n v="26"/>
    <x v="1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3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1"/>
    <m/>
    <m/>
    <m/>
    <m/>
    <m/>
    <m/>
    <m/>
    <m/>
    <m/>
    <n v="1"/>
    <n v="32"/>
    <x v="1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70"/>
    <m/>
    <m/>
    <m/>
    <m/>
    <m/>
    <m/>
    <m/>
    <m/>
    <m/>
    <n v="1"/>
    <n v="43"/>
    <x v="2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</pivotCacheRecords>
</file>

<file path=xl/pivotCache/pivotCacheRecords33.xml><?xml version="1.0" encoding="utf-8"?>
<pivotCacheRecords xmlns="http://schemas.openxmlformats.org/spreadsheetml/2006/main" xmlns:r="http://schemas.openxmlformats.org/officeDocument/2006/relationships" count="632">
  <r>
    <x v="0"/>
    <s v="Dans votre quartier, le niveau d'entraide entre les personnes est... ?"/>
    <s v="Dans votre quartier, le niveau de confiance qui règne entre la plupart des personnes est... ?"/>
    <s v="Dans votre quartier, les comportements des jeunes ou des groupes de jeunes sont-ils pour vous une source de menace ou d'insécurité ?"/>
    <s v="Y a-t-il d'autres individus ou des groupes d'individus dont les comportements sont pour vous une source de menace ou d'insécurité ?"/>
    <s v="De quel type ou groupe d'individus s'agit-il ?  Toxicomanes ou revendeur de drogue"/>
    <s v="De quel type ou groupe d'individus s'agit-il ? Gangs de motards / milieu criminel"/>
    <s v="De quel type ou groupe d'individus s'agit-il ? Sollicitation (vendeurs, mouvements religieux, ex-détenus, etc.)"/>
    <s v="De quel type ou groupe d'individus s'agit-il ? Itinérants"/>
    <s v="De quel type ou groupe d'individus s'agit-il ? Individus ou groupes d'individus en état d'ébriété"/>
    <s v="De quel type ou groupe d'individus s'agit-il ? Personnes d'une communauté culturelle différente de la mienne"/>
    <s v="De quel type ou groupe d'individus s'agit-il ? Voisins"/>
    <s v="De quel type ou groupe d'individus s'agit-il ? Autre"/>
    <s v="De quel type ou groupe d'individus s'agit-il ? Autre, précisez"/>
    <s v="Y a-t-il dans votre quartier des endroits que vous évitez de fréquenter pour des raisons de sécurité ?"/>
    <s v="Lesquels ?"/>
    <s v="Veuillez répondre à chacun des énoncés suivants. Quand je me déplace dans mon quartier, j'apporte habituellement quelque chose pour assurer ma protection. "/>
    <s v="Veuillez répondre à chacun des énoncés suivants. Lorsque je suis dans mon quartier, je vérifie qu'aucun intrus ne se trouve à l'intérieur de ma voiture avant d'y monter."/>
    <s v="Veuillez répondre à chacun des énoncés suivants. À mon domicile, j'évite d'ouvrir la porte à des inconnus, pour des raisons de sécurité. "/>
    <s v="Veuillez répondre à chacun des énoncés suivants. Je garde les portes extérieures de mon domicile constamment verrouillées, même lorsque je suis chez moi. "/>
    <s v="Veuillez répondre à chacun des énoncés suivants. Spécialement par mesure de protection, il y a un chien à mon domicile. "/>
    <s v="Veuillez répondre à chacun des énoncés suivants. J'ai un système d'alarme que j'active régulièrement pour protéger mon domicile contre le vol."/>
    <s v="Veuillez répondre à chacun des énoncés suivants. Spécialement par mesure de protection, j'ai suivi un cours d'autodéfense. "/>
    <s v="Veuillez répondre à chacun des énoncés suivants. Spécialement par mesure de protection, il y a une arme à feu à mon domicile. "/>
    <s v="Est-ce qu'il y a à votre domicile au moins un détecteur de fumée fonctionnel par étage ? "/>
    <s v="Le bon fonctionnement de cet/ces appareil(s) a-t-il été vérifié, au cours des douze (12) derniers mois ?"/>
    <s v="Veuillez nous dire votre degré de satisfaction à l'égard : du déneigement et du déglaçage des rues et des trottoirs de votre quartier ? "/>
    <s v="Veuillez nous dire votre degré de satisfaction à l'égard :  de la propreté et de l'entretien des parcs et terrains de jeux de votre quartier ?"/>
    <s v="Veuillez nous dire votre degré de satisfaction à l'égard :  de la sécurité des équipements dans les parcs, aires de jeux ou centre récréatif ou sportif de votre quartier ? "/>
    <s v="Votre quartier est-il desservi par un service de police municipal, une régie intermunicipale ou par la Sûreté du Québec ?"/>
    <s v="Quel est votre niveau de satisfaction à l'égard de la présence des policiers dans votre quartier ?"/>
    <s v="Quel est votre niveau de satisfaction à l'égard du travail effectué par les policiers dans votre quartier ?"/>
    <s v="De façon plus spécifique, quel est votre niveau de satisfaction à l'égard du travail effectué par les policiers : auprès des jeunes de votre quartier"/>
    <s v="De façon plus spécifique, quel est votre niveau de satisfaction à l'égard du travail effectué par les policiers : pour assurer la sécurité routière dans votre quartier"/>
    <s v="De façon plus spécifique, quel est votre niveau de satisfaction à l'égard du travail effectué par les policiers : pour régler des problèmes de délinquance ou de désordres qui surviennent dans votre quartier"/>
    <s v="Au cours des deux dernières années, combien de fois avez-vous fait appel au service de police qui dessert votre quartier ?"/>
    <s v="En vous référant à l'événement le plus récent, quel est votre niveau de satisfaction à l'égard de la réponse que vous avez reçue ?"/>
    <s v="Pourquoi ? Peu"/>
    <s v="Pourquoi ? Pas"/>
    <s v="Au cours des deux dernières années, vous êtes vous IMPLIQUÉ SUR UNE BASE RÉGULIÈRE dans les activités suivantes de votre quartier : Dans un comité ou un organisme préoccupé par les problèmes de sécurité de votre quartier ?"/>
    <s v="Au cours des deux dernières années, vous êtes vous IMPLIQUÉ SUR UNE BASE RÉGULIÈRE dans les activités suivantes de votre quartier : Dans des assemblées du conseil municipal ?"/>
    <s v="Au cours des deux dernières années, vous êtes vous IMPLIQUÉ SUR UNE BASE RÉGULIÈRE dans les activités suivantes de votre quartier : Dans un conseil de quartier ou d'arrondissement ?"/>
    <s v="Au cours des deux dernières années, vous êtes vous IMPLIQUÉ SUR UNE BASE RÉGULIÈRE dans les activités suivantes de votre quartier : Dans un comité de citoyens ?"/>
    <s v="Au cours des deux dernières années, vous êtes vous IMPLIQUÉ SUR UNE BASE RÉGULIÈRE dans les activités suivantes de votre quartier : Dans des activités communautaires, d'entraide ou de bénévolat (cuisine communautaire, bazar)"/>
    <s v="Au cours des deux dernières années, vous êtes vous IMPLIQUÉ SUR UNE BASE RÉGULIÈRE dans les activités suivantes de votre quartier : Dans des activités sociales, culturelles ou sportives organisées par les gens de votre quartier ou de votre municipalité ?"/>
    <s v="Au cours des deux dernières années, avez-vous été victime de vol, de vandalisme ou de tout autre crime contre vos biens, chez vous ou dans votre quartier ?"/>
    <s v="Au cours des deux dernières années, avez-vous été victime d'une agression, d'intimidation ou de tout autre acte de violence, chez vous ou dans votre quartier ?"/>
    <s v="Au cours des deux dernières années avez-vous été victime dans votre quartier d'une quelconque forme de discrimination ?"/>
    <s v="À votre avis, le motif de cette discrimination était lié …"/>
    <s v="Autre, précisez :"/>
    <s v="Au cours des deux dernières années, avez-vous subi un accident qui vous a occasionné une blessure pour laquelle vous avez dû consulter un professionnel de la santé ou limiter vos activités ?"/>
    <s v="Combien de fois cela s'est-il produit ?"/>
    <s v="En se référant au dernier événement, était-ce … ?"/>
    <s v="Autre, précisez :"/>
    <s v="Maintenant, comparativement à d'autres personnes de votre âge, dirirez-vous que votre santé est en général …"/>
    <s v="Dans quel quartier habitez-vous ?"/>
    <s v="Combien de personne de moins de 18 ans habitent dans votre foyer ?"/>
    <x v="0"/>
    <s v="Quelle est votre année de naissance ?"/>
    <s v="Êtes-vous propriétaire ou locataire du logement que vous habitez ?"/>
    <s v="Autre, précisez : "/>
    <s v="Habitez-vous dans …"/>
    <s v="Autre, précisez : "/>
    <s v="Quel est votre état civil ?"/>
    <s v="Autre, précisez : "/>
    <s v="Où est situé votre lieu de travail habituel ?"/>
    <s v="Autre, précisez : "/>
    <s v="Quel est le plus haut niveau de scolarité que vous avez complété ?"/>
    <m/>
    <m/>
    <x v="0"/>
    <m/>
    <m/>
    <m/>
  </r>
  <r>
    <x v="1"/>
    <n v="3"/>
    <n v="1"/>
    <n v="1"/>
    <n v="1"/>
    <m/>
    <n v="1"/>
    <m/>
    <n v="1"/>
    <n v="1"/>
    <n v="1"/>
    <n v="1"/>
    <m/>
    <m/>
    <n v="1"/>
    <m/>
    <n v="2"/>
    <n v="2"/>
    <n v="1"/>
    <n v="1"/>
    <n v="1"/>
    <n v="2"/>
    <n v="1"/>
    <n v="2"/>
    <n v="2"/>
    <m/>
    <n v="1"/>
    <n v="7"/>
    <n v="4"/>
    <n v="8"/>
    <n v="1"/>
    <n v="4"/>
    <n v="8"/>
    <n v="2"/>
    <n v="2"/>
    <n v="1"/>
    <m/>
    <m/>
    <m/>
    <n v="1"/>
    <n v="2"/>
    <n v="1"/>
    <n v="2"/>
    <n v="2"/>
    <n v="1"/>
    <n v="1"/>
    <n v="2"/>
    <n v="1"/>
    <n v="2"/>
    <m/>
    <n v="1"/>
    <n v="4"/>
    <n v="5"/>
    <m/>
    <n v="2"/>
    <n v="4"/>
    <n v="5"/>
    <x v="1"/>
    <n v="1981"/>
    <n v="2"/>
    <m/>
    <n v="7"/>
    <m/>
    <n v="1"/>
    <m/>
    <n v="1"/>
    <m/>
    <n v="4"/>
    <n v="1"/>
    <n v="32"/>
    <x v="1"/>
    <n v="1"/>
    <n v="1"/>
    <n v="1"/>
  </r>
  <r>
    <x v="2"/>
    <n v="2"/>
    <n v="1"/>
    <n v="2"/>
    <n v="1"/>
    <m/>
    <m/>
    <n v="1"/>
    <m/>
    <n v="1"/>
    <m/>
    <n v="1"/>
    <m/>
    <m/>
    <n v="2"/>
    <m/>
    <n v="1"/>
    <n v="1"/>
    <n v="2"/>
    <n v="1"/>
    <n v="1"/>
    <n v="1"/>
    <n v="1"/>
    <n v="1"/>
    <n v="1"/>
    <n v="1"/>
    <n v="2"/>
    <n v="4"/>
    <n v="1"/>
    <n v="1"/>
    <n v="4"/>
    <n v="8"/>
    <n v="1"/>
    <n v="4"/>
    <n v="1"/>
    <n v="2"/>
    <n v="1"/>
    <m/>
    <m/>
    <n v="2"/>
    <n v="1"/>
    <n v="1"/>
    <n v="2"/>
    <n v="2"/>
    <n v="1"/>
    <n v="2"/>
    <n v="1"/>
    <n v="2"/>
    <n v="1"/>
    <m/>
    <n v="2"/>
    <m/>
    <m/>
    <m/>
    <n v="4"/>
    <n v="1"/>
    <n v="2"/>
    <x v="2"/>
    <n v="1970"/>
    <n v="1"/>
    <m/>
    <n v="5"/>
    <m/>
    <n v="2"/>
    <m/>
    <n v="2"/>
    <m/>
    <n v="1"/>
    <n v="1"/>
    <n v="43"/>
    <x v="2"/>
    <n v="2"/>
    <n v="3"/>
    <n v="2"/>
  </r>
  <r>
    <x v="3"/>
    <n v="1"/>
    <n v="2"/>
    <n v="1"/>
    <n v="2"/>
    <n v="1"/>
    <m/>
    <m/>
    <m/>
    <n v="1"/>
    <n v="1"/>
    <m/>
    <n v="1"/>
    <m/>
    <n v="2"/>
    <m/>
    <n v="1"/>
    <n v="1"/>
    <n v="2"/>
    <n v="1"/>
    <n v="1"/>
    <n v="1"/>
    <n v="2"/>
    <n v="1"/>
    <n v="1"/>
    <n v="2"/>
    <n v="3"/>
    <n v="1"/>
    <n v="2"/>
    <n v="3"/>
    <n v="2"/>
    <n v="1"/>
    <n v="2"/>
    <n v="3"/>
    <n v="4"/>
    <n v="3"/>
    <n v="3"/>
    <m/>
    <m/>
    <n v="2"/>
    <n v="1"/>
    <n v="2"/>
    <n v="2"/>
    <n v="2"/>
    <n v="2"/>
    <n v="2"/>
    <n v="1"/>
    <n v="3"/>
    <n v="3"/>
    <m/>
    <n v="1"/>
    <n v="2"/>
    <n v="8"/>
    <m/>
    <n v="5"/>
    <n v="4"/>
    <n v="4"/>
    <x v="2"/>
    <n v="1990"/>
    <n v="3"/>
    <m/>
    <n v="4"/>
    <m/>
    <n v="4"/>
    <m/>
    <n v="3"/>
    <m/>
    <n v="2"/>
    <n v="1"/>
    <n v="23"/>
    <x v="1"/>
    <n v="2"/>
    <n v="4"/>
    <n v="2"/>
  </r>
  <r>
    <x v="3"/>
    <n v="1"/>
    <n v="3"/>
    <n v="1"/>
    <n v="1"/>
    <n v="1"/>
    <n v="1"/>
    <m/>
    <n v="1"/>
    <n v="1"/>
    <n v="1"/>
    <n v="1"/>
    <m/>
    <m/>
    <n v="2"/>
    <m/>
    <n v="1"/>
    <n v="1"/>
    <n v="2"/>
    <n v="2"/>
    <n v="1"/>
    <n v="2"/>
    <n v="2"/>
    <n v="1"/>
    <n v="1"/>
    <n v="1"/>
    <n v="4"/>
    <n v="3"/>
    <n v="3"/>
    <n v="2"/>
    <n v="3"/>
    <n v="1"/>
    <n v="3"/>
    <n v="2"/>
    <n v="2"/>
    <n v="4"/>
    <n v="2"/>
    <m/>
    <m/>
    <n v="2"/>
    <n v="1"/>
    <n v="2"/>
    <n v="2"/>
    <n v="1"/>
    <n v="2"/>
    <n v="2"/>
    <n v="2"/>
    <n v="4"/>
    <m/>
    <m/>
    <n v="1"/>
    <n v="2"/>
    <n v="7"/>
    <m/>
    <n v="1"/>
    <n v="2"/>
    <n v="1"/>
    <x v="2"/>
    <n v="1983"/>
    <n v="1"/>
    <m/>
    <n v="1"/>
    <m/>
    <n v="1"/>
    <m/>
    <n v="4"/>
    <m/>
    <n v="3"/>
    <n v="1"/>
    <n v="30"/>
    <x v="1"/>
    <n v="2"/>
    <n v="3"/>
    <n v="2"/>
  </r>
  <r>
    <x v="2"/>
    <n v="1"/>
    <n v="2"/>
    <n v="2"/>
    <n v="1"/>
    <m/>
    <n v="1"/>
    <n v="1"/>
    <n v="1"/>
    <n v="1"/>
    <n v="1"/>
    <m/>
    <m/>
    <m/>
    <n v="2"/>
    <m/>
    <n v="1"/>
    <n v="1"/>
    <n v="1"/>
    <n v="2"/>
    <n v="2"/>
    <n v="2"/>
    <n v="1"/>
    <n v="2"/>
    <n v="2"/>
    <m/>
    <n v="7"/>
    <n v="3"/>
    <n v="3"/>
    <n v="1"/>
    <n v="2"/>
    <n v="3"/>
    <n v="2"/>
    <n v="1"/>
    <n v="3"/>
    <n v="2"/>
    <n v="4"/>
    <m/>
    <m/>
    <n v="1"/>
    <n v="2"/>
    <n v="2"/>
    <n v="1"/>
    <n v="1"/>
    <n v="2"/>
    <n v="2"/>
    <n v="1"/>
    <n v="1"/>
    <n v="6"/>
    <m/>
    <n v="2"/>
    <m/>
    <m/>
    <m/>
    <n v="3"/>
    <n v="3"/>
    <m/>
    <x v="2"/>
    <n v="1967"/>
    <n v="1"/>
    <m/>
    <n v="2"/>
    <m/>
    <n v="3"/>
    <m/>
    <n v="4"/>
    <m/>
    <n v="2"/>
    <n v="1"/>
    <n v="46"/>
    <x v="2"/>
    <n v="3"/>
    <n v="5"/>
    <n v="3"/>
  </r>
  <r>
    <x v="4"/>
    <n v="1"/>
    <n v="2"/>
    <n v="1"/>
    <n v="1"/>
    <m/>
    <n v="1"/>
    <m/>
    <m/>
    <m/>
    <n v="1"/>
    <m/>
    <m/>
    <m/>
    <n v="2"/>
    <m/>
    <n v="1"/>
    <n v="1"/>
    <n v="1"/>
    <n v="2"/>
    <n v="2"/>
    <n v="1"/>
    <n v="1"/>
    <n v="2"/>
    <n v="1"/>
    <n v="1"/>
    <n v="4"/>
    <n v="2"/>
    <n v="2"/>
    <n v="2"/>
    <n v="3"/>
    <n v="2"/>
    <n v="4"/>
    <n v="4"/>
    <n v="2"/>
    <n v="1"/>
    <m/>
    <m/>
    <m/>
    <n v="1"/>
    <n v="2"/>
    <n v="1"/>
    <n v="1"/>
    <n v="2"/>
    <n v="1"/>
    <n v="1"/>
    <n v="2"/>
    <n v="4"/>
    <m/>
    <m/>
    <n v="2"/>
    <m/>
    <m/>
    <m/>
    <n v="2"/>
    <n v="2"/>
    <n v="1"/>
    <x v="2"/>
    <n v="1962"/>
    <n v="2"/>
    <m/>
    <n v="3"/>
    <m/>
    <n v="3"/>
    <m/>
    <n v="1"/>
    <m/>
    <n v="1"/>
    <n v="1"/>
    <n v="51"/>
    <x v="2"/>
    <n v="2"/>
    <n v="2"/>
    <n v="2"/>
  </r>
  <r>
    <x v="2"/>
    <n v="4"/>
    <n v="1"/>
    <n v="1"/>
    <n v="2"/>
    <m/>
    <m/>
    <m/>
    <n v="1"/>
    <m/>
    <n v="1"/>
    <m/>
    <m/>
    <m/>
    <n v="2"/>
    <m/>
    <n v="2"/>
    <n v="2"/>
    <n v="1"/>
    <n v="2"/>
    <n v="2"/>
    <n v="1"/>
    <n v="2"/>
    <n v="2"/>
    <n v="2"/>
    <m/>
    <n v="2"/>
    <n v="1"/>
    <n v="1"/>
    <n v="1"/>
    <n v="3"/>
    <n v="3"/>
    <n v="1"/>
    <n v="8"/>
    <n v="1"/>
    <n v="3"/>
    <n v="2"/>
    <m/>
    <m/>
    <n v="1"/>
    <n v="2"/>
    <n v="1"/>
    <n v="1"/>
    <n v="1"/>
    <n v="1"/>
    <n v="1"/>
    <n v="1"/>
    <n v="1"/>
    <n v="7"/>
    <m/>
    <n v="1"/>
    <n v="2"/>
    <n v="6"/>
    <m/>
    <n v="1"/>
    <n v="3"/>
    <n v="3"/>
    <x v="2"/>
    <n v="1994"/>
    <n v="3"/>
    <m/>
    <n v="3"/>
    <m/>
    <n v="2"/>
    <m/>
    <n v="2"/>
    <m/>
    <n v="4"/>
    <n v="1"/>
    <n v="19"/>
    <x v="1"/>
    <n v="2"/>
    <n v="4"/>
    <n v="2"/>
  </r>
  <r>
    <x v="4"/>
    <n v="4"/>
    <n v="4"/>
    <n v="2"/>
    <n v="2"/>
    <m/>
    <m/>
    <n v="1"/>
    <n v="1"/>
    <m/>
    <m/>
    <n v="1"/>
    <m/>
    <m/>
    <n v="1"/>
    <m/>
    <n v="2"/>
    <n v="2"/>
    <n v="1"/>
    <n v="2"/>
    <n v="2"/>
    <n v="2"/>
    <n v="1"/>
    <n v="2"/>
    <n v="1"/>
    <n v="2"/>
    <n v="3"/>
    <n v="1"/>
    <n v="2"/>
    <n v="3"/>
    <n v="4"/>
    <n v="2"/>
    <n v="3"/>
    <n v="8"/>
    <n v="4"/>
    <n v="2"/>
    <n v="1"/>
    <m/>
    <m/>
    <n v="1"/>
    <n v="1"/>
    <n v="1"/>
    <n v="1"/>
    <n v="1"/>
    <n v="1"/>
    <n v="1"/>
    <n v="2"/>
    <n v="3"/>
    <n v="2"/>
    <m/>
    <n v="2"/>
    <m/>
    <m/>
    <m/>
    <n v="3"/>
    <n v="2"/>
    <n v="2"/>
    <x v="1"/>
    <n v="1983"/>
    <n v="2"/>
    <m/>
    <n v="2"/>
    <m/>
    <n v="1"/>
    <m/>
    <n v="3"/>
    <m/>
    <n v="1"/>
    <n v="1"/>
    <n v="30"/>
    <x v="1"/>
    <n v="2"/>
    <n v="4"/>
    <n v="2"/>
  </r>
  <r>
    <x v="1"/>
    <n v="3"/>
    <n v="1"/>
    <n v="2"/>
    <n v="2"/>
    <n v="1"/>
    <n v="1"/>
    <m/>
    <n v="1"/>
    <n v="1"/>
    <n v="1"/>
    <m/>
    <m/>
    <m/>
    <n v="1"/>
    <m/>
    <n v="2"/>
    <n v="2"/>
    <n v="1"/>
    <n v="2"/>
    <n v="2"/>
    <n v="1"/>
    <n v="2"/>
    <n v="2"/>
    <n v="2"/>
    <m/>
    <n v="1"/>
    <n v="4"/>
    <n v="3"/>
    <n v="2"/>
    <n v="1"/>
    <n v="3"/>
    <n v="2"/>
    <n v="8"/>
    <n v="2"/>
    <n v="1"/>
    <m/>
    <m/>
    <m/>
    <n v="2"/>
    <n v="1"/>
    <n v="2"/>
    <n v="2"/>
    <n v="1"/>
    <n v="2"/>
    <n v="1"/>
    <n v="1"/>
    <n v="2"/>
    <n v="2"/>
    <m/>
    <n v="1"/>
    <n v="1"/>
    <n v="1"/>
    <m/>
    <n v="8"/>
    <n v="3"/>
    <n v="5"/>
    <x v="1"/>
    <n v="1975"/>
    <n v="3"/>
    <m/>
    <n v="2"/>
    <m/>
    <n v="4"/>
    <m/>
    <n v="2"/>
    <m/>
    <n v="3"/>
    <n v="1"/>
    <n v="38"/>
    <x v="1"/>
    <n v="2"/>
    <n v="2"/>
    <n v="1"/>
  </r>
  <r>
    <x v="4"/>
    <n v="2"/>
    <n v="2"/>
    <n v="1"/>
    <n v="1"/>
    <m/>
    <m/>
    <n v="1"/>
    <m/>
    <m/>
    <n v="1"/>
    <m/>
    <n v="1"/>
    <m/>
    <n v="1"/>
    <m/>
    <n v="2"/>
    <n v="2"/>
    <n v="1"/>
    <n v="1"/>
    <n v="2"/>
    <n v="2"/>
    <n v="2"/>
    <n v="2"/>
    <n v="2"/>
    <m/>
    <n v="2"/>
    <n v="1"/>
    <n v="4"/>
    <n v="2"/>
    <n v="2"/>
    <n v="2"/>
    <n v="1"/>
    <n v="8"/>
    <n v="3"/>
    <n v="3"/>
    <n v="3"/>
    <m/>
    <m/>
    <n v="2"/>
    <n v="2"/>
    <n v="2"/>
    <n v="2"/>
    <n v="2"/>
    <n v="2"/>
    <n v="1"/>
    <n v="1"/>
    <n v="2"/>
    <n v="3"/>
    <m/>
    <n v="1"/>
    <n v="2"/>
    <n v="5"/>
    <m/>
    <n v="2"/>
    <n v="2"/>
    <n v="5"/>
    <x v="1"/>
    <n v="1979"/>
    <n v="3"/>
    <m/>
    <n v="1"/>
    <m/>
    <n v="1"/>
    <m/>
    <n v="1"/>
    <m/>
    <n v="2"/>
    <n v="1"/>
    <n v="34"/>
    <x v="1"/>
    <n v="1"/>
    <n v="1"/>
    <n v="1"/>
  </r>
  <r>
    <x v="1"/>
    <n v="2"/>
    <n v="3"/>
    <n v="1"/>
    <n v="2"/>
    <m/>
    <m/>
    <n v="1"/>
    <m/>
    <m/>
    <m/>
    <m/>
    <m/>
    <m/>
    <n v="1"/>
    <m/>
    <n v="2"/>
    <n v="2"/>
    <n v="2"/>
    <n v="1"/>
    <n v="2"/>
    <n v="1"/>
    <n v="1"/>
    <n v="1"/>
    <n v="2"/>
    <m/>
    <n v="3"/>
    <n v="2"/>
    <n v="1"/>
    <n v="2"/>
    <n v="4"/>
    <n v="4"/>
    <n v="4"/>
    <n v="3"/>
    <n v="8"/>
    <n v="1"/>
    <m/>
    <m/>
    <m/>
    <n v="2"/>
    <n v="2"/>
    <n v="2"/>
    <n v="2"/>
    <n v="2"/>
    <n v="2"/>
    <n v="2"/>
    <n v="2"/>
    <n v="3"/>
    <n v="5"/>
    <m/>
    <n v="2"/>
    <m/>
    <m/>
    <m/>
    <n v="1"/>
    <n v="1"/>
    <n v="5"/>
    <x v="1"/>
    <n v="1957"/>
    <n v="3"/>
    <m/>
    <n v="1"/>
    <m/>
    <n v="3"/>
    <m/>
    <n v="4"/>
    <m/>
    <n v="3"/>
    <n v="1"/>
    <n v="56"/>
    <x v="2"/>
    <n v="1"/>
    <n v="1"/>
    <n v="1"/>
  </r>
  <r>
    <x v="4"/>
    <n v="3"/>
    <n v="1"/>
    <n v="2"/>
    <n v="1"/>
    <n v="1"/>
    <n v="1"/>
    <n v="1"/>
    <m/>
    <m/>
    <m/>
    <n v="1"/>
    <m/>
    <m/>
    <n v="1"/>
    <m/>
    <n v="1"/>
    <n v="2"/>
    <n v="1"/>
    <n v="1"/>
    <n v="1"/>
    <n v="2"/>
    <n v="2"/>
    <n v="1"/>
    <n v="1"/>
    <n v="2"/>
    <n v="1"/>
    <n v="3"/>
    <n v="7"/>
    <n v="3"/>
    <n v="1"/>
    <n v="2"/>
    <n v="2"/>
    <n v="2"/>
    <n v="2"/>
    <n v="4"/>
    <n v="4"/>
    <m/>
    <m/>
    <n v="1"/>
    <n v="1"/>
    <n v="1"/>
    <n v="2"/>
    <n v="2"/>
    <n v="1"/>
    <n v="2"/>
    <n v="2"/>
    <n v="3"/>
    <n v="98"/>
    <m/>
    <n v="1"/>
    <n v="4"/>
    <n v="4"/>
    <m/>
    <n v="2"/>
    <n v="3"/>
    <m/>
    <x v="2"/>
    <n v="1946"/>
    <n v="2"/>
    <m/>
    <n v="5"/>
    <m/>
    <n v="2"/>
    <m/>
    <n v="2"/>
    <m/>
    <n v="2"/>
    <n v="1"/>
    <n v="67"/>
    <x v="3"/>
    <n v="2"/>
    <n v="4"/>
    <n v="3"/>
  </r>
  <r>
    <x v="2"/>
    <n v="2"/>
    <n v="2"/>
    <n v="2"/>
    <n v="2"/>
    <n v="1"/>
    <m/>
    <m/>
    <m/>
    <n v="1"/>
    <n v="1"/>
    <m/>
    <m/>
    <m/>
    <n v="1"/>
    <m/>
    <n v="1"/>
    <n v="2"/>
    <n v="2"/>
    <n v="2"/>
    <n v="1"/>
    <n v="1"/>
    <n v="1"/>
    <n v="1"/>
    <n v="2"/>
    <m/>
    <n v="2"/>
    <n v="1"/>
    <n v="4"/>
    <n v="3"/>
    <n v="3"/>
    <n v="3"/>
    <n v="3"/>
    <n v="1"/>
    <n v="1"/>
    <n v="1"/>
    <m/>
    <m/>
    <m/>
    <n v="1"/>
    <n v="2"/>
    <n v="1"/>
    <n v="1"/>
    <n v="1"/>
    <n v="1"/>
    <n v="1"/>
    <n v="1"/>
    <n v="2"/>
    <n v="1"/>
    <m/>
    <n v="1"/>
    <n v="2"/>
    <n v="98"/>
    <m/>
    <n v="3"/>
    <n v="2"/>
    <n v="1"/>
    <x v="1"/>
    <n v="1947"/>
    <n v="1"/>
    <m/>
    <n v="6"/>
    <m/>
    <n v="4"/>
    <m/>
    <n v="1"/>
    <m/>
    <n v="2"/>
    <n v="1"/>
    <n v="66"/>
    <x v="3"/>
    <n v="2"/>
    <n v="3"/>
    <n v="2"/>
  </r>
  <r>
    <x v="3"/>
    <n v="3"/>
    <n v="4"/>
    <n v="2"/>
    <n v="1"/>
    <m/>
    <n v="1"/>
    <n v="1"/>
    <n v="1"/>
    <m/>
    <m/>
    <m/>
    <m/>
    <m/>
    <n v="2"/>
    <m/>
    <n v="1"/>
    <n v="2"/>
    <n v="1"/>
    <n v="2"/>
    <n v="1"/>
    <n v="2"/>
    <n v="2"/>
    <n v="1"/>
    <n v="2"/>
    <m/>
    <n v="3"/>
    <n v="7"/>
    <n v="1"/>
    <n v="1"/>
    <n v="2"/>
    <n v="2"/>
    <n v="2"/>
    <n v="3"/>
    <n v="3"/>
    <n v="2"/>
    <n v="3"/>
    <m/>
    <m/>
    <n v="2"/>
    <n v="1"/>
    <n v="1"/>
    <n v="1"/>
    <n v="2"/>
    <n v="2"/>
    <n v="2"/>
    <n v="2"/>
    <n v="4"/>
    <m/>
    <m/>
    <n v="2"/>
    <m/>
    <m/>
    <m/>
    <n v="5"/>
    <n v="4"/>
    <n v="3"/>
    <x v="2"/>
    <n v="1984"/>
    <n v="3"/>
    <m/>
    <n v="4"/>
    <m/>
    <n v="6"/>
    <m/>
    <n v="3"/>
    <m/>
    <n v="1"/>
    <n v="1"/>
    <n v="29"/>
    <x v="1"/>
    <n v="2"/>
    <n v="4"/>
    <n v="2"/>
  </r>
  <r>
    <x v="3"/>
    <n v="1"/>
    <n v="1"/>
    <n v="1"/>
    <n v="2"/>
    <n v="1"/>
    <m/>
    <n v="1"/>
    <m/>
    <m/>
    <n v="1"/>
    <n v="1"/>
    <m/>
    <m/>
    <n v="2"/>
    <m/>
    <n v="2"/>
    <n v="1"/>
    <n v="2"/>
    <n v="1"/>
    <n v="1"/>
    <n v="1"/>
    <n v="1"/>
    <n v="2"/>
    <n v="1"/>
    <n v="1"/>
    <n v="4"/>
    <n v="1"/>
    <n v="2"/>
    <n v="1"/>
    <n v="2"/>
    <n v="1"/>
    <n v="1"/>
    <n v="2"/>
    <n v="8"/>
    <n v="3"/>
    <n v="2"/>
    <m/>
    <m/>
    <n v="1"/>
    <n v="2"/>
    <n v="2"/>
    <n v="2"/>
    <n v="2"/>
    <n v="2"/>
    <n v="1"/>
    <n v="1"/>
    <n v="1"/>
    <n v="8"/>
    <m/>
    <n v="2"/>
    <m/>
    <m/>
    <m/>
    <n v="3"/>
    <n v="3"/>
    <n v="1"/>
    <x v="1"/>
    <n v="1989"/>
    <n v="2"/>
    <m/>
    <n v="7"/>
    <m/>
    <n v="4"/>
    <m/>
    <n v="2"/>
    <m/>
    <n v="2"/>
    <n v="1"/>
    <n v="24"/>
    <x v="1"/>
    <n v="2"/>
    <n v="2"/>
    <n v="2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7"/>
    <m/>
    <m/>
    <m/>
    <m/>
    <m/>
    <m/>
    <m/>
    <m/>
    <m/>
    <n v="1"/>
    <n v="26"/>
    <x v="1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3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1"/>
    <m/>
    <m/>
    <m/>
    <m/>
    <m/>
    <m/>
    <m/>
    <m/>
    <m/>
    <n v="1"/>
    <n v="32"/>
    <x v="1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70"/>
    <m/>
    <m/>
    <m/>
    <m/>
    <m/>
    <m/>
    <m/>
    <m/>
    <m/>
    <n v="1"/>
    <n v="43"/>
    <x v="2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</pivotCacheRecords>
</file>

<file path=xl/pivotCache/pivotCacheRecords34.xml><?xml version="1.0" encoding="utf-8"?>
<pivotCacheRecords xmlns="http://schemas.openxmlformats.org/spreadsheetml/2006/main" xmlns:r="http://schemas.openxmlformats.org/officeDocument/2006/relationships" count="632">
  <r>
    <x v="0"/>
    <s v="Dans votre quartier, le niveau de confiance qui règne entre la plupart des personnes est... ?"/>
    <s v="Dans votre quartier, les comportements des jeunes ou des groupes de jeunes sont-ils pour vous une source de menace ou d'insécurité ?"/>
    <s v="Y a-t-il d'autres individus ou des groupes d'individus dont les comportements sont pour vous une source de menace ou d'insécurité ?"/>
    <s v="De quel type ou groupe d'individus s'agit-il ?  Toxicomanes ou revendeur de drogue"/>
    <s v="De quel type ou groupe d'individus s'agit-il ? Gangs de motards / milieu criminel"/>
    <s v="De quel type ou groupe d'individus s'agit-il ? Sollicitation (vendeurs, mouvements religieux, ex-détenus, etc.)"/>
    <s v="De quel type ou groupe d'individus s'agit-il ? Itinérants"/>
    <s v="De quel type ou groupe d'individus s'agit-il ? Individus ou groupes d'individus en état d'ébriété"/>
    <s v="De quel type ou groupe d'individus s'agit-il ? Personnes d'une communauté culturelle différente de la mienne"/>
    <s v="De quel type ou groupe d'individus s'agit-il ? Voisins"/>
    <s v="De quel type ou groupe d'individus s'agit-il ? Autre"/>
    <s v="De quel type ou groupe d'individus s'agit-il ? Autre, précisez"/>
    <s v="Y a-t-il dans votre quartier des endroits que vous évitez de fréquenter pour des raisons de sécurité ?"/>
    <s v="Lesquels ?"/>
    <s v="Veuillez répondre à chacun des énoncés suivants. Quand je me déplace dans mon quartier, j'apporte habituellement quelque chose pour assurer ma protection. "/>
    <s v="Veuillez répondre à chacun des énoncés suivants. Lorsque je suis dans mon quartier, je vérifie qu'aucun intrus ne se trouve à l'intérieur de ma voiture avant d'y monter."/>
    <s v="Veuillez répondre à chacun des énoncés suivants. À mon domicile, j'évite d'ouvrir la porte à des inconnus, pour des raisons de sécurité. "/>
    <s v="Veuillez répondre à chacun des énoncés suivants. Je garde les portes extérieures de mon domicile constamment verrouillées, même lorsque je suis chez moi. "/>
    <s v="Veuillez répondre à chacun des énoncés suivants. Spécialement par mesure de protection, il y a un chien à mon domicile. "/>
    <s v="Veuillez répondre à chacun des énoncés suivants. J'ai un système d'alarme que j'active régulièrement pour protéger mon domicile contre le vol."/>
    <s v="Veuillez répondre à chacun des énoncés suivants. Spécialement par mesure de protection, j'ai suivi un cours d'autodéfense. "/>
    <s v="Veuillez répondre à chacun des énoncés suivants. Spécialement par mesure de protection, il y a une arme à feu à mon domicile. "/>
    <s v="Est-ce qu'il y a à votre domicile au moins un détecteur de fumée fonctionnel par étage ? "/>
    <s v="Le bon fonctionnement de cet/ces appareil(s) a-t-il été vérifié, au cours des douze (12) derniers mois ?"/>
    <s v="Veuillez nous dire votre degré de satisfaction à l'égard : du déneigement et du déglaçage des rues et des trottoirs de votre quartier ? "/>
    <s v="Veuillez nous dire votre degré de satisfaction à l'égard :  de la propreté et de l'entretien des parcs et terrains de jeux de votre quartier ?"/>
    <s v="Veuillez nous dire votre degré de satisfaction à l'égard :  de la sécurité des équipements dans les parcs, aires de jeux ou centre récréatif ou sportif de votre quartier ? "/>
    <s v="Votre quartier est-il desservi par un service de police municipal, une régie intermunicipale ou par la Sûreté du Québec ?"/>
    <s v="Quel est votre niveau de satisfaction à l'égard de la présence des policiers dans votre quartier ?"/>
    <s v="Quel est votre niveau de satisfaction à l'égard du travail effectué par les policiers dans votre quartier ?"/>
    <s v="De façon plus spécifique, quel est votre niveau de satisfaction à l'égard du travail effectué par les policiers : auprès des jeunes de votre quartier"/>
    <s v="De façon plus spécifique, quel est votre niveau de satisfaction à l'égard du travail effectué par les policiers : pour assurer la sécurité routière dans votre quartier"/>
    <s v="De façon plus spécifique, quel est votre niveau de satisfaction à l'égard du travail effectué par les policiers : pour régler des problèmes de délinquance ou de désordres qui surviennent dans votre quartier"/>
    <s v="Au cours des deux dernières années, combien de fois avez-vous fait appel au service de police qui dessert votre quartier ?"/>
    <s v="En vous référant à l'événement le plus récent, quel est votre niveau de satisfaction à l'égard de la réponse que vous avez reçue ?"/>
    <s v="Pourquoi ? Peu"/>
    <s v="Pourquoi ? Pas"/>
    <s v="Au cours des deux dernières années, vous êtes vous IMPLIQUÉ SUR UNE BASE RÉGULIÈRE dans les activités suivantes de votre quartier : Dans un comité ou un organisme préoccupé par les problèmes de sécurité de votre quartier ?"/>
    <s v="Au cours des deux dernières années, vous êtes vous IMPLIQUÉ SUR UNE BASE RÉGULIÈRE dans les activités suivantes de votre quartier : Dans des assemblées du conseil municipal ?"/>
    <s v="Au cours des deux dernières années, vous êtes vous IMPLIQUÉ SUR UNE BASE RÉGULIÈRE dans les activités suivantes de votre quartier : Dans un conseil de quartier ou d'arrondissement ?"/>
    <s v="Au cours des deux dernières années, vous êtes vous IMPLIQUÉ SUR UNE BASE RÉGULIÈRE dans les activités suivantes de votre quartier : Dans un comité de citoyens ?"/>
    <s v="Au cours des deux dernières années, vous êtes vous IMPLIQUÉ SUR UNE BASE RÉGULIÈRE dans les activités suivantes de votre quartier : Dans des activités communautaires, d'entraide ou de bénévolat (cuisine communautaire, bazar)"/>
    <s v="Au cours des deux dernières années, vous êtes vous IMPLIQUÉ SUR UNE BASE RÉGULIÈRE dans les activités suivantes de votre quartier : Dans des activités sociales, culturelles ou sportives organisées par les gens de votre quartier ou de votre municipalité ?"/>
    <s v="Au cours des deux dernières années, avez-vous été victime de vol, de vandalisme ou de tout autre crime contre vos biens, chez vous ou dans votre quartier ?"/>
    <s v="Au cours des deux dernières années, avez-vous été victime d'une agression, d'intimidation ou de tout autre acte de violence, chez vous ou dans votre quartier ?"/>
    <s v="Au cours des deux dernières années avez-vous été victime dans votre quartier d'une quelconque forme de discrimination ?"/>
    <s v="À votre avis, le motif de cette discrimination était lié …"/>
    <s v="Autre, précisez :"/>
    <s v="Au cours des deux dernières années, avez-vous subi un accident qui vous a occasionné une blessure pour laquelle vous avez dû consulter un professionnel de la santé ou limiter vos activités ?"/>
    <s v="Combien de fois cela s'est-il produit ?"/>
    <s v="En se référant au dernier événement, était-ce … ?"/>
    <s v="Autre, précisez :"/>
    <s v="Maintenant, comparativement à d'autres personnes de votre âge, dirirez-vous que votre santé est en général …"/>
    <s v="Dans quel quartier habitez-vous ?"/>
    <s v="Combien de personne de moins de 18 ans habitent dans votre foyer ?"/>
    <x v="0"/>
    <s v="Quelle est votre année de naissance ?"/>
    <s v="Êtes-vous propriétaire ou locataire du logement que vous habitez ?"/>
    <s v="Autre, précisez : "/>
    <s v="Habitez-vous dans …"/>
    <s v="Autre, précisez : "/>
    <s v="Quel est votre état civil ?"/>
    <s v="Autre, précisez : "/>
    <s v="Où est situé votre lieu de travail habituel ?"/>
    <s v="Autre, précisez : "/>
    <s v="Quel est le plus haut niveau de scolarité que vous avez complété ?"/>
    <m/>
    <m/>
    <x v="0"/>
    <m/>
    <m/>
    <m/>
  </r>
  <r>
    <x v="1"/>
    <n v="1"/>
    <n v="1"/>
    <n v="1"/>
    <m/>
    <n v="1"/>
    <m/>
    <n v="1"/>
    <n v="1"/>
    <n v="1"/>
    <n v="1"/>
    <m/>
    <m/>
    <n v="1"/>
    <m/>
    <n v="2"/>
    <n v="2"/>
    <n v="1"/>
    <n v="1"/>
    <n v="1"/>
    <n v="2"/>
    <n v="1"/>
    <n v="2"/>
    <n v="2"/>
    <m/>
    <n v="1"/>
    <n v="7"/>
    <n v="4"/>
    <n v="8"/>
    <n v="1"/>
    <n v="4"/>
    <n v="8"/>
    <n v="2"/>
    <n v="2"/>
    <n v="1"/>
    <m/>
    <m/>
    <m/>
    <n v="1"/>
    <n v="2"/>
    <n v="1"/>
    <n v="2"/>
    <n v="2"/>
    <n v="1"/>
    <n v="1"/>
    <n v="2"/>
    <n v="1"/>
    <n v="2"/>
    <m/>
    <n v="1"/>
    <n v="4"/>
    <n v="5"/>
    <m/>
    <n v="2"/>
    <n v="4"/>
    <n v="5"/>
    <x v="1"/>
    <n v="1981"/>
    <n v="2"/>
    <m/>
    <n v="7"/>
    <m/>
    <n v="1"/>
    <m/>
    <n v="1"/>
    <m/>
    <n v="4"/>
    <n v="1"/>
    <n v="32"/>
    <x v="1"/>
    <n v="1"/>
    <n v="1"/>
    <n v="1"/>
  </r>
  <r>
    <x v="2"/>
    <n v="1"/>
    <n v="2"/>
    <n v="1"/>
    <m/>
    <m/>
    <n v="1"/>
    <m/>
    <n v="1"/>
    <m/>
    <n v="1"/>
    <m/>
    <m/>
    <n v="2"/>
    <m/>
    <n v="1"/>
    <n v="1"/>
    <n v="2"/>
    <n v="1"/>
    <n v="1"/>
    <n v="1"/>
    <n v="1"/>
    <n v="1"/>
    <n v="1"/>
    <n v="1"/>
    <n v="2"/>
    <n v="4"/>
    <n v="1"/>
    <n v="1"/>
    <n v="4"/>
    <n v="8"/>
    <n v="1"/>
    <n v="4"/>
    <n v="1"/>
    <n v="2"/>
    <n v="1"/>
    <m/>
    <m/>
    <n v="2"/>
    <n v="1"/>
    <n v="1"/>
    <n v="2"/>
    <n v="2"/>
    <n v="1"/>
    <n v="2"/>
    <n v="1"/>
    <n v="2"/>
    <n v="1"/>
    <m/>
    <n v="2"/>
    <m/>
    <m/>
    <m/>
    <n v="4"/>
    <n v="1"/>
    <n v="2"/>
    <x v="2"/>
    <n v="1970"/>
    <n v="1"/>
    <m/>
    <n v="5"/>
    <m/>
    <n v="2"/>
    <m/>
    <n v="2"/>
    <m/>
    <n v="1"/>
    <n v="1"/>
    <n v="43"/>
    <x v="2"/>
    <n v="2"/>
    <n v="3"/>
    <n v="2"/>
  </r>
  <r>
    <x v="3"/>
    <n v="2"/>
    <n v="1"/>
    <n v="2"/>
    <n v="1"/>
    <m/>
    <m/>
    <m/>
    <n v="1"/>
    <n v="1"/>
    <m/>
    <n v="1"/>
    <m/>
    <n v="2"/>
    <m/>
    <n v="1"/>
    <n v="1"/>
    <n v="2"/>
    <n v="1"/>
    <n v="1"/>
    <n v="1"/>
    <n v="2"/>
    <n v="1"/>
    <n v="1"/>
    <n v="2"/>
    <n v="3"/>
    <n v="1"/>
    <n v="2"/>
    <n v="3"/>
    <n v="2"/>
    <n v="1"/>
    <n v="2"/>
    <n v="3"/>
    <n v="4"/>
    <n v="3"/>
    <n v="3"/>
    <m/>
    <m/>
    <n v="2"/>
    <n v="1"/>
    <n v="2"/>
    <n v="2"/>
    <n v="2"/>
    <n v="2"/>
    <n v="2"/>
    <n v="1"/>
    <n v="3"/>
    <n v="3"/>
    <m/>
    <n v="1"/>
    <n v="2"/>
    <n v="8"/>
    <m/>
    <n v="5"/>
    <n v="4"/>
    <n v="4"/>
    <x v="2"/>
    <n v="1990"/>
    <n v="3"/>
    <m/>
    <n v="4"/>
    <m/>
    <n v="4"/>
    <m/>
    <n v="3"/>
    <m/>
    <n v="2"/>
    <n v="1"/>
    <n v="23"/>
    <x v="1"/>
    <n v="2"/>
    <n v="4"/>
    <n v="2"/>
  </r>
  <r>
    <x v="3"/>
    <n v="3"/>
    <n v="1"/>
    <n v="1"/>
    <n v="1"/>
    <n v="1"/>
    <m/>
    <n v="1"/>
    <n v="1"/>
    <n v="1"/>
    <n v="1"/>
    <m/>
    <m/>
    <n v="2"/>
    <m/>
    <n v="1"/>
    <n v="1"/>
    <n v="2"/>
    <n v="2"/>
    <n v="1"/>
    <n v="2"/>
    <n v="2"/>
    <n v="1"/>
    <n v="1"/>
    <n v="1"/>
    <n v="4"/>
    <n v="3"/>
    <n v="3"/>
    <n v="2"/>
    <n v="3"/>
    <n v="1"/>
    <n v="3"/>
    <n v="2"/>
    <n v="2"/>
    <n v="4"/>
    <n v="2"/>
    <m/>
    <m/>
    <n v="2"/>
    <n v="1"/>
    <n v="2"/>
    <n v="2"/>
    <n v="1"/>
    <n v="2"/>
    <n v="2"/>
    <n v="2"/>
    <n v="4"/>
    <m/>
    <m/>
    <n v="1"/>
    <n v="2"/>
    <n v="7"/>
    <m/>
    <n v="1"/>
    <n v="2"/>
    <n v="1"/>
    <x v="2"/>
    <n v="1983"/>
    <n v="1"/>
    <m/>
    <n v="1"/>
    <m/>
    <n v="1"/>
    <m/>
    <n v="4"/>
    <m/>
    <n v="3"/>
    <n v="1"/>
    <n v="30"/>
    <x v="1"/>
    <n v="2"/>
    <n v="3"/>
    <n v="2"/>
  </r>
  <r>
    <x v="3"/>
    <n v="2"/>
    <n v="2"/>
    <n v="1"/>
    <m/>
    <n v="1"/>
    <n v="1"/>
    <n v="1"/>
    <n v="1"/>
    <n v="1"/>
    <m/>
    <m/>
    <m/>
    <n v="2"/>
    <m/>
    <n v="1"/>
    <n v="1"/>
    <n v="1"/>
    <n v="2"/>
    <n v="2"/>
    <n v="2"/>
    <n v="1"/>
    <n v="2"/>
    <n v="2"/>
    <m/>
    <n v="7"/>
    <n v="3"/>
    <n v="3"/>
    <n v="1"/>
    <n v="2"/>
    <n v="3"/>
    <n v="2"/>
    <n v="1"/>
    <n v="3"/>
    <n v="2"/>
    <n v="4"/>
    <m/>
    <m/>
    <n v="1"/>
    <n v="2"/>
    <n v="2"/>
    <n v="1"/>
    <n v="1"/>
    <n v="2"/>
    <n v="2"/>
    <n v="1"/>
    <n v="1"/>
    <n v="6"/>
    <m/>
    <n v="2"/>
    <m/>
    <m/>
    <m/>
    <n v="3"/>
    <n v="3"/>
    <m/>
    <x v="2"/>
    <n v="1967"/>
    <n v="1"/>
    <m/>
    <n v="2"/>
    <m/>
    <n v="3"/>
    <m/>
    <n v="4"/>
    <m/>
    <n v="2"/>
    <n v="1"/>
    <n v="46"/>
    <x v="2"/>
    <n v="3"/>
    <n v="5"/>
    <n v="3"/>
  </r>
  <r>
    <x v="3"/>
    <n v="2"/>
    <n v="1"/>
    <n v="1"/>
    <m/>
    <n v="1"/>
    <m/>
    <m/>
    <m/>
    <n v="1"/>
    <m/>
    <m/>
    <m/>
    <n v="2"/>
    <m/>
    <n v="1"/>
    <n v="1"/>
    <n v="1"/>
    <n v="2"/>
    <n v="2"/>
    <n v="1"/>
    <n v="1"/>
    <n v="2"/>
    <n v="1"/>
    <n v="1"/>
    <n v="4"/>
    <n v="2"/>
    <n v="2"/>
    <n v="2"/>
    <n v="3"/>
    <n v="2"/>
    <n v="4"/>
    <n v="4"/>
    <n v="2"/>
    <n v="1"/>
    <m/>
    <m/>
    <m/>
    <n v="1"/>
    <n v="2"/>
    <n v="1"/>
    <n v="1"/>
    <n v="2"/>
    <n v="1"/>
    <n v="1"/>
    <n v="2"/>
    <n v="4"/>
    <m/>
    <m/>
    <n v="2"/>
    <m/>
    <m/>
    <m/>
    <n v="2"/>
    <n v="2"/>
    <n v="1"/>
    <x v="2"/>
    <n v="1962"/>
    <n v="2"/>
    <m/>
    <n v="3"/>
    <m/>
    <n v="3"/>
    <m/>
    <n v="1"/>
    <m/>
    <n v="1"/>
    <n v="1"/>
    <n v="51"/>
    <x v="2"/>
    <n v="2"/>
    <n v="2"/>
    <n v="2"/>
  </r>
  <r>
    <x v="4"/>
    <n v="1"/>
    <n v="1"/>
    <n v="2"/>
    <m/>
    <m/>
    <m/>
    <n v="1"/>
    <m/>
    <n v="1"/>
    <m/>
    <m/>
    <m/>
    <n v="2"/>
    <m/>
    <n v="2"/>
    <n v="2"/>
    <n v="1"/>
    <n v="2"/>
    <n v="2"/>
    <n v="1"/>
    <n v="2"/>
    <n v="2"/>
    <n v="2"/>
    <m/>
    <n v="2"/>
    <n v="1"/>
    <n v="1"/>
    <n v="1"/>
    <n v="3"/>
    <n v="3"/>
    <n v="1"/>
    <n v="8"/>
    <n v="1"/>
    <n v="3"/>
    <n v="2"/>
    <m/>
    <m/>
    <n v="1"/>
    <n v="2"/>
    <n v="1"/>
    <n v="1"/>
    <n v="1"/>
    <n v="1"/>
    <n v="1"/>
    <n v="1"/>
    <n v="1"/>
    <n v="7"/>
    <m/>
    <n v="1"/>
    <n v="2"/>
    <n v="6"/>
    <m/>
    <n v="1"/>
    <n v="3"/>
    <n v="3"/>
    <x v="2"/>
    <n v="1994"/>
    <n v="3"/>
    <m/>
    <n v="3"/>
    <m/>
    <n v="2"/>
    <m/>
    <n v="2"/>
    <m/>
    <n v="4"/>
    <n v="1"/>
    <n v="19"/>
    <x v="1"/>
    <n v="2"/>
    <n v="4"/>
    <n v="2"/>
  </r>
  <r>
    <x v="4"/>
    <n v="4"/>
    <n v="2"/>
    <n v="2"/>
    <m/>
    <m/>
    <n v="1"/>
    <n v="1"/>
    <m/>
    <m/>
    <n v="1"/>
    <m/>
    <m/>
    <n v="1"/>
    <m/>
    <n v="2"/>
    <n v="2"/>
    <n v="1"/>
    <n v="2"/>
    <n v="2"/>
    <n v="2"/>
    <n v="1"/>
    <n v="2"/>
    <n v="1"/>
    <n v="2"/>
    <n v="3"/>
    <n v="1"/>
    <n v="2"/>
    <n v="3"/>
    <n v="4"/>
    <n v="2"/>
    <n v="3"/>
    <n v="8"/>
    <n v="4"/>
    <n v="2"/>
    <n v="1"/>
    <m/>
    <m/>
    <n v="1"/>
    <n v="1"/>
    <n v="1"/>
    <n v="1"/>
    <n v="1"/>
    <n v="1"/>
    <n v="1"/>
    <n v="2"/>
    <n v="3"/>
    <n v="2"/>
    <m/>
    <n v="2"/>
    <m/>
    <m/>
    <m/>
    <n v="3"/>
    <n v="2"/>
    <n v="2"/>
    <x v="1"/>
    <n v="1983"/>
    <n v="2"/>
    <m/>
    <n v="2"/>
    <m/>
    <n v="1"/>
    <m/>
    <n v="3"/>
    <m/>
    <n v="1"/>
    <n v="1"/>
    <n v="30"/>
    <x v="1"/>
    <n v="2"/>
    <n v="4"/>
    <n v="2"/>
  </r>
  <r>
    <x v="1"/>
    <n v="1"/>
    <n v="2"/>
    <n v="2"/>
    <n v="1"/>
    <n v="1"/>
    <m/>
    <n v="1"/>
    <n v="1"/>
    <n v="1"/>
    <m/>
    <m/>
    <m/>
    <n v="1"/>
    <m/>
    <n v="2"/>
    <n v="2"/>
    <n v="1"/>
    <n v="2"/>
    <n v="2"/>
    <n v="1"/>
    <n v="2"/>
    <n v="2"/>
    <n v="2"/>
    <m/>
    <n v="1"/>
    <n v="4"/>
    <n v="3"/>
    <n v="2"/>
    <n v="1"/>
    <n v="3"/>
    <n v="2"/>
    <n v="8"/>
    <n v="2"/>
    <n v="1"/>
    <m/>
    <m/>
    <m/>
    <n v="2"/>
    <n v="1"/>
    <n v="2"/>
    <n v="2"/>
    <n v="1"/>
    <n v="2"/>
    <n v="1"/>
    <n v="1"/>
    <n v="2"/>
    <n v="2"/>
    <m/>
    <n v="1"/>
    <n v="1"/>
    <n v="1"/>
    <m/>
    <n v="8"/>
    <n v="3"/>
    <n v="5"/>
    <x v="1"/>
    <n v="1975"/>
    <n v="3"/>
    <m/>
    <n v="2"/>
    <m/>
    <n v="4"/>
    <m/>
    <n v="2"/>
    <m/>
    <n v="3"/>
    <n v="1"/>
    <n v="38"/>
    <x v="1"/>
    <n v="2"/>
    <n v="2"/>
    <n v="1"/>
  </r>
  <r>
    <x v="2"/>
    <n v="2"/>
    <n v="1"/>
    <n v="1"/>
    <m/>
    <m/>
    <n v="1"/>
    <m/>
    <m/>
    <n v="1"/>
    <m/>
    <n v="1"/>
    <m/>
    <n v="1"/>
    <m/>
    <n v="2"/>
    <n v="2"/>
    <n v="1"/>
    <n v="1"/>
    <n v="2"/>
    <n v="2"/>
    <n v="2"/>
    <n v="2"/>
    <n v="2"/>
    <m/>
    <n v="2"/>
    <n v="1"/>
    <n v="4"/>
    <n v="2"/>
    <n v="2"/>
    <n v="2"/>
    <n v="1"/>
    <n v="8"/>
    <n v="3"/>
    <n v="3"/>
    <n v="3"/>
    <m/>
    <m/>
    <n v="2"/>
    <n v="2"/>
    <n v="2"/>
    <n v="2"/>
    <n v="2"/>
    <n v="2"/>
    <n v="1"/>
    <n v="1"/>
    <n v="2"/>
    <n v="3"/>
    <m/>
    <n v="1"/>
    <n v="2"/>
    <n v="5"/>
    <m/>
    <n v="2"/>
    <n v="2"/>
    <n v="5"/>
    <x v="1"/>
    <n v="1979"/>
    <n v="3"/>
    <m/>
    <n v="1"/>
    <m/>
    <n v="1"/>
    <m/>
    <n v="1"/>
    <m/>
    <n v="2"/>
    <n v="1"/>
    <n v="34"/>
    <x v="1"/>
    <n v="1"/>
    <n v="1"/>
    <n v="1"/>
  </r>
  <r>
    <x v="2"/>
    <n v="3"/>
    <n v="1"/>
    <n v="2"/>
    <m/>
    <m/>
    <n v="1"/>
    <m/>
    <m/>
    <m/>
    <m/>
    <m/>
    <m/>
    <n v="1"/>
    <m/>
    <n v="2"/>
    <n v="2"/>
    <n v="2"/>
    <n v="1"/>
    <n v="2"/>
    <n v="1"/>
    <n v="1"/>
    <n v="1"/>
    <n v="2"/>
    <m/>
    <n v="3"/>
    <n v="2"/>
    <n v="1"/>
    <n v="2"/>
    <n v="4"/>
    <n v="4"/>
    <n v="4"/>
    <n v="3"/>
    <n v="8"/>
    <n v="1"/>
    <m/>
    <m/>
    <m/>
    <n v="2"/>
    <n v="2"/>
    <n v="2"/>
    <n v="2"/>
    <n v="2"/>
    <n v="2"/>
    <n v="2"/>
    <n v="2"/>
    <n v="3"/>
    <n v="5"/>
    <m/>
    <n v="2"/>
    <m/>
    <m/>
    <m/>
    <n v="1"/>
    <n v="1"/>
    <n v="5"/>
    <x v="1"/>
    <n v="1957"/>
    <n v="3"/>
    <m/>
    <n v="1"/>
    <m/>
    <n v="3"/>
    <m/>
    <n v="4"/>
    <m/>
    <n v="3"/>
    <n v="1"/>
    <n v="56"/>
    <x v="2"/>
    <n v="1"/>
    <n v="1"/>
    <n v="1"/>
  </r>
  <r>
    <x v="1"/>
    <n v="1"/>
    <n v="2"/>
    <n v="1"/>
    <n v="1"/>
    <n v="1"/>
    <n v="1"/>
    <m/>
    <m/>
    <m/>
    <n v="1"/>
    <m/>
    <m/>
    <n v="1"/>
    <m/>
    <n v="1"/>
    <n v="2"/>
    <n v="1"/>
    <n v="1"/>
    <n v="1"/>
    <n v="2"/>
    <n v="2"/>
    <n v="1"/>
    <n v="1"/>
    <n v="2"/>
    <n v="1"/>
    <n v="3"/>
    <n v="7"/>
    <n v="3"/>
    <n v="1"/>
    <n v="2"/>
    <n v="2"/>
    <n v="2"/>
    <n v="2"/>
    <n v="4"/>
    <n v="4"/>
    <m/>
    <m/>
    <n v="1"/>
    <n v="1"/>
    <n v="1"/>
    <n v="2"/>
    <n v="2"/>
    <n v="1"/>
    <n v="2"/>
    <n v="2"/>
    <n v="3"/>
    <n v="98"/>
    <m/>
    <n v="1"/>
    <n v="4"/>
    <n v="4"/>
    <m/>
    <n v="2"/>
    <n v="3"/>
    <m/>
    <x v="2"/>
    <n v="1946"/>
    <n v="2"/>
    <m/>
    <n v="5"/>
    <m/>
    <n v="2"/>
    <m/>
    <n v="2"/>
    <m/>
    <n v="2"/>
    <n v="1"/>
    <n v="67"/>
    <x v="3"/>
    <n v="2"/>
    <n v="4"/>
    <n v="3"/>
  </r>
  <r>
    <x v="2"/>
    <n v="2"/>
    <n v="2"/>
    <n v="2"/>
    <n v="1"/>
    <m/>
    <m/>
    <m/>
    <n v="1"/>
    <n v="1"/>
    <m/>
    <m/>
    <m/>
    <n v="1"/>
    <m/>
    <n v="1"/>
    <n v="2"/>
    <n v="2"/>
    <n v="2"/>
    <n v="1"/>
    <n v="1"/>
    <n v="1"/>
    <n v="1"/>
    <n v="2"/>
    <m/>
    <n v="2"/>
    <n v="1"/>
    <n v="4"/>
    <n v="3"/>
    <n v="3"/>
    <n v="3"/>
    <n v="3"/>
    <n v="1"/>
    <n v="1"/>
    <n v="1"/>
    <m/>
    <m/>
    <m/>
    <n v="1"/>
    <n v="2"/>
    <n v="1"/>
    <n v="1"/>
    <n v="1"/>
    <n v="1"/>
    <n v="1"/>
    <n v="1"/>
    <n v="2"/>
    <n v="1"/>
    <m/>
    <n v="1"/>
    <n v="2"/>
    <n v="98"/>
    <m/>
    <n v="3"/>
    <n v="2"/>
    <n v="1"/>
    <x v="1"/>
    <n v="1947"/>
    <n v="1"/>
    <m/>
    <n v="6"/>
    <m/>
    <n v="4"/>
    <m/>
    <n v="1"/>
    <m/>
    <n v="2"/>
    <n v="1"/>
    <n v="66"/>
    <x v="3"/>
    <n v="2"/>
    <n v="3"/>
    <n v="2"/>
  </r>
  <r>
    <x v="1"/>
    <n v="4"/>
    <n v="2"/>
    <n v="1"/>
    <m/>
    <n v="1"/>
    <n v="1"/>
    <n v="1"/>
    <m/>
    <m/>
    <m/>
    <m/>
    <m/>
    <n v="2"/>
    <m/>
    <n v="1"/>
    <n v="2"/>
    <n v="1"/>
    <n v="2"/>
    <n v="1"/>
    <n v="2"/>
    <n v="2"/>
    <n v="1"/>
    <n v="2"/>
    <m/>
    <n v="3"/>
    <n v="7"/>
    <n v="1"/>
    <n v="1"/>
    <n v="2"/>
    <n v="2"/>
    <n v="2"/>
    <n v="3"/>
    <n v="3"/>
    <n v="2"/>
    <n v="3"/>
    <m/>
    <m/>
    <n v="2"/>
    <n v="1"/>
    <n v="1"/>
    <n v="1"/>
    <n v="2"/>
    <n v="2"/>
    <n v="2"/>
    <n v="2"/>
    <n v="4"/>
    <m/>
    <m/>
    <n v="2"/>
    <m/>
    <m/>
    <m/>
    <n v="5"/>
    <n v="4"/>
    <n v="3"/>
    <x v="2"/>
    <n v="1984"/>
    <n v="3"/>
    <m/>
    <n v="4"/>
    <m/>
    <n v="6"/>
    <m/>
    <n v="3"/>
    <m/>
    <n v="1"/>
    <n v="1"/>
    <n v="29"/>
    <x v="1"/>
    <n v="2"/>
    <n v="4"/>
    <n v="2"/>
  </r>
  <r>
    <x v="3"/>
    <n v="1"/>
    <n v="1"/>
    <n v="2"/>
    <n v="1"/>
    <m/>
    <n v="1"/>
    <m/>
    <m/>
    <n v="1"/>
    <n v="1"/>
    <m/>
    <m/>
    <n v="2"/>
    <m/>
    <n v="2"/>
    <n v="1"/>
    <n v="2"/>
    <n v="1"/>
    <n v="1"/>
    <n v="1"/>
    <n v="1"/>
    <n v="2"/>
    <n v="1"/>
    <n v="1"/>
    <n v="4"/>
    <n v="1"/>
    <n v="2"/>
    <n v="1"/>
    <n v="2"/>
    <n v="1"/>
    <n v="1"/>
    <n v="2"/>
    <n v="8"/>
    <n v="3"/>
    <n v="2"/>
    <m/>
    <m/>
    <n v="1"/>
    <n v="2"/>
    <n v="2"/>
    <n v="2"/>
    <n v="2"/>
    <n v="2"/>
    <n v="1"/>
    <n v="1"/>
    <n v="1"/>
    <n v="8"/>
    <m/>
    <n v="2"/>
    <m/>
    <m/>
    <m/>
    <n v="3"/>
    <n v="3"/>
    <n v="1"/>
    <x v="1"/>
    <n v="1989"/>
    <n v="2"/>
    <m/>
    <n v="7"/>
    <m/>
    <n v="4"/>
    <m/>
    <n v="2"/>
    <m/>
    <n v="2"/>
    <n v="1"/>
    <n v="24"/>
    <x v="1"/>
    <n v="2"/>
    <n v="2"/>
    <n v="2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7"/>
    <m/>
    <m/>
    <m/>
    <m/>
    <m/>
    <m/>
    <m/>
    <m/>
    <m/>
    <n v="1"/>
    <n v="26"/>
    <x v="1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3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1"/>
    <m/>
    <m/>
    <m/>
    <m/>
    <m/>
    <m/>
    <m/>
    <m/>
    <m/>
    <n v="1"/>
    <n v="32"/>
    <x v="1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70"/>
    <m/>
    <m/>
    <m/>
    <m/>
    <m/>
    <m/>
    <m/>
    <m/>
    <m/>
    <n v="1"/>
    <n v="43"/>
    <x v="2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</pivotCacheRecords>
</file>

<file path=xl/pivotCache/pivotCacheRecords35.xml><?xml version="1.0" encoding="utf-8"?>
<pivotCacheRecords xmlns="http://schemas.openxmlformats.org/spreadsheetml/2006/main" xmlns:r="http://schemas.openxmlformats.org/officeDocument/2006/relationships" count="632">
  <r>
    <x v="0"/>
    <s v="Dans votre quartier, les comportements des jeunes ou des groupes de jeunes sont-ils pour vous une source de menace ou d'insécurité ?"/>
    <s v="Y a-t-il d'autres individus ou des groupes d'individus dont les comportements sont pour vous une source de menace ou d'insécurité ?"/>
    <s v="De quel type ou groupe d'individus s'agit-il ?  Toxicomanes ou revendeur de drogue"/>
    <s v="De quel type ou groupe d'individus s'agit-il ? Gangs de motards / milieu criminel"/>
    <s v="De quel type ou groupe d'individus s'agit-il ? Sollicitation (vendeurs, mouvements religieux, ex-détenus, etc.)"/>
    <s v="De quel type ou groupe d'individus s'agit-il ? Itinérants"/>
    <s v="De quel type ou groupe d'individus s'agit-il ? Individus ou groupes d'individus en état d'ébriété"/>
    <s v="De quel type ou groupe d'individus s'agit-il ? Personnes d'une communauté culturelle différente de la mienne"/>
    <s v="De quel type ou groupe d'individus s'agit-il ? Voisins"/>
    <s v="De quel type ou groupe d'individus s'agit-il ? Autre"/>
    <s v="De quel type ou groupe d'individus s'agit-il ? Autre, précisez"/>
    <s v="Y a-t-il dans votre quartier des endroits que vous évitez de fréquenter pour des raisons de sécurité ?"/>
    <s v="Lesquels ?"/>
    <s v="Veuillez répondre à chacun des énoncés suivants. Quand je me déplace dans mon quartier, j'apporte habituellement quelque chose pour assurer ma protection. "/>
    <s v="Veuillez répondre à chacun des énoncés suivants. Lorsque je suis dans mon quartier, je vérifie qu'aucun intrus ne se trouve à l'intérieur de ma voiture avant d'y monter."/>
    <s v="Veuillez répondre à chacun des énoncés suivants. À mon domicile, j'évite d'ouvrir la porte à des inconnus, pour des raisons de sécurité. "/>
    <s v="Veuillez répondre à chacun des énoncés suivants. Je garde les portes extérieures de mon domicile constamment verrouillées, même lorsque je suis chez moi. "/>
    <s v="Veuillez répondre à chacun des énoncés suivants. Spécialement par mesure de protection, il y a un chien à mon domicile. "/>
    <s v="Veuillez répondre à chacun des énoncés suivants. J'ai un système d'alarme que j'active régulièrement pour protéger mon domicile contre le vol."/>
    <s v="Veuillez répondre à chacun des énoncés suivants. Spécialement par mesure de protection, j'ai suivi un cours d'autodéfense. "/>
    <s v="Veuillez répondre à chacun des énoncés suivants. Spécialement par mesure de protection, il y a une arme à feu à mon domicile. "/>
    <s v="Est-ce qu'il y a à votre domicile au moins un détecteur de fumée fonctionnel par étage ? "/>
    <s v="Le bon fonctionnement de cet/ces appareil(s) a-t-il été vérifié, au cours des douze (12) derniers mois ?"/>
    <s v="Veuillez nous dire votre degré de satisfaction à l'égard : du déneigement et du déglaçage des rues et des trottoirs de votre quartier ? "/>
    <s v="Veuillez nous dire votre degré de satisfaction à l'égard :  de la propreté et de l'entretien des parcs et terrains de jeux de votre quartier ?"/>
    <s v="Veuillez nous dire votre degré de satisfaction à l'égard :  de la sécurité des équipements dans les parcs, aires de jeux ou centre récréatif ou sportif de votre quartier ? "/>
    <s v="Votre quartier est-il desservi par un service de police municipal, une régie intermunicipale ou par la Sûreté du Québec ?"/>
    <s v="Quel est votre niveau de satisfaction à l'égard de la présence des policiers dans votre quartier ?"/>
    <s v="Quel est votre niveau de satisfaction à l'égard du travail effectué par les policiers dans votre quartier ?"/>
    <s v="De façon plus spécifique, quel est votre niveau de satisfaction à l'égard du travail effectué par les policiers : auprès des jeunes de votre quartier"/>
    <s v="De façon plus spécifique, quel est votre niveau de satisfaction à l'égard du travail effectué par les policiers : pour assurer la sécurité routière dans votre quartier"/>
    <s v="De façon plus spécifique, quel est votre niveau de satisfaction à l'égard du travail effectué par les policiers : pour régler des problèmes de délinquance ou de désordres qui surviennent dans votre quartier"/>
    <s v="Au cours des deux dernières années, combien de fois avez-vous fait appel au service de police qui dessert votre quartier ?"/>
    <s v="En vous référant à l'événement le plus récent, quel est votre niveau de satisfaction à l'égard de la réponse que vous avez reçue ?"/>
    <s v="Pourquoi ? Peu"/>
    <s v="Pourquoi ? Pas"/>
    <s v="Au cours des deux dernières années, vous êtes vous IMPLIQUÉ SUR UNE BASE RÉGULIÈRE dans les activités suivantes de votre quartier : Dans un comité ou un organisme préoccupé par les problèmes de sécurité de votre quartier ?"/>
    <s v="Au cours des deux dernières années, vous êtes vous IMPLIQUÉ SUR UNE BASE RÉGULIÈRE dans les activités suivantes de votre quartier : Dans des assemblées du conseil municipal ?"/>
    <s v="Au cours des deux dernières années, vous êtes vous IMPLIQUÉ SUR UNE BASE RÉGULIÈRE dans les activités suivantes de votre quartier : Dans un conseil de quartier ou d'arrondissement ?"/>
    <s v="Au cours des deux dernières années, vous êtes vous IMPLIQUÉ SUR UNE BASE RÉGULIÈRE dans les activités suivantes de votre quartier : Dans un comité de citoyens ?"/>
    <s v="Au cours des deux dernières années, vous êtes vous IMPLIQUÉ SUR UNE BASE RÉGULIÈRE dans les activités suivantes de votre quartier : Dans des activités communautaires, d'entraide ou de bénévolat (cuisine communautaire, bazar)"/>
    <s v="Au cours des deux dernières années, vous êtes vous IMPLIQUÉ SUR UNE BASE RÉGULIÈRE dans les activités suivantes de votre quartier : Dans des activités sociales, culturelles ou sportives organisées par les gens de votre quartier ou de votre municipalité ?"/>
    <s v="Au cours des deux dernières années, avez-vous été victime de vol, de vandalisme ou de tout autre crime contre vos biens, chez vous ou dans votre quartier ?"/>
    <s v="Au cours des deux dernières années, avez-vous été victime d'une agression, d'intimidation ou de tout autre acte de violence, chez vous ou dans votre quartier ?"/>
    <s v="Au cours des deux dernières années avez-vous été victime dans votre quartier d'une quelconque forme de discrimination ?"/>
    <s v="À votre avis, le motif de cette discrimination était lié …"/>
    <s v="Autre, précisez :"/>
    <s v="Au cours des deux dernières années, avez-vous subi un accident qui vous a occasionné une blessure pour laquelle vous avez dû consulter un professionnel de la santé ou limiter vos activités ?"/>
    <s v="Combien de fois cela s'est-il produit ?"/>
    <s v="En se référant au dernier événement, était-ce … ?"/>
    <s v="Autre, précisez :"/>
    <s v="Maintenant, comparativement à d'autres personnes de votre âge, dirirez-vous que votre santé est en général …"/>
    <s v="Dans quel quartier habitez-vous ?"/>
    <s v="Combien de personne de moins de 18 ans habitent dans votre foyer ?"/>
    <x v="0"/>
    <s v="Quelle est votre année de naissance ?"/>
    <s v="Êtes-vous propriétaire ou locataire du logement que vous habitez ?"/>
    <s v="Autre, précisez : "/>
    <s v="Habitez-vous dans …"/>
    <s v="Autre, précisez : "/>
    <s v="Quel est votre état civil ?"/>
    <s v="Autre, précisez : "/>
    <s v="Où est situé votre lieu de travail habituel ?"/>
    <s v="Autre, précisez : "/>
    <s v="Quel est le plus haut niveau de scolarité que vous avez complété ?"/>
    <m/>
    <m/>
    <x v="0"/>
    <m/>
    <m/>
    <m/>
  </r>
  <r>
    <x v="1"/>
    <n v="1"/>
    <n v="1"/>
    <m/>
    <n v="1"/>
    <m/>
    <n v="1"/>
    <n v="1"/>
    <n v="1"/>
    <n v="1"/>
    <m/>
    <m/>
    <n v="1"/>
    <m/>
    <n v="2"/>
    <n v="2"/>
    <n v="1"/>
    <n v="1"/>
    <n v="1"/>
    <n v="2"/>
    <n v="1"/>
    <n v="2"/>
    <n v="2"/>
    <m/>
    <n v="1"/>
    <n v="7"/>
    <n v="4"/>
    <n v="8"/>
    <n v="1"/>
    <n v="4"/>
    <n v="8"/>
    <n v="2"/>
    <n v="2"/>
    <n v="1"/>
    <m/>
    <m/>
    <m/>
    <n v="1"/>
    <n v="2"/>
    <n v="1"/>
    <n v="2"/>
    <n v="2"/>
    <n v="1"/>
    <n v="1"/>
    <n v="2"/>
    <n v="1"/>
    <n v="2"/>
    <m/>
    <n v="1"/>
    <n v="4"/>
    <n v="5"/>
    <m/>
    <n v="2"/>
    <n v="4"/>
    <n v="5"/>
    <x v="1"/>
    <n v="1981"/>
    <n v="2"/>
    <m/>
    <n v="7"/>
    <m/>
    <n v="1"/>
    <m/>
    <n v="1"/>
    <m/>
    <n v="4"/>
    <n v="1"/>
    <n v="32"/>
    <x v="1"/>
    <n v="1"/>
    <n v="1"/>
    <n v="1"/>
  </r>
  <r>
    <x v="1"/>
    <n v="2"/>
    <n v="1"/>
    <m/>
    <m/>
    <n v="1"/>
    <m/>
    <n v="1"/>
    <m/>
    <n v="1"/>
    <m/>
    <m/>
    <n v="2"/>
    <m/>
    <n v="1"/>
    <n v="1"/>
    <n v="2"/>
    <n v="1"/>
    <n v="1"/>
    <n v="1"/>
    <n v="1"/>
    <n v="1"/>
    <n v="1"/>
    <n v="1"/>
    <n v="2"/>
    <n v="4"/>
    <n v="1"/>
    <n v="1"/>
    <n v="4"/>
    <n v="8"/>
    <n v="1"/>
    <n v="4"/>
    <n v="1"/>
    <n v="2"/>
    <n v="1"/>
    <m/>
    <m/>
    <n v="2"/>
    <n v="1"/>
    <n v="1"/>
    <n v="2"/>
    <n v="2"/>
    <n v="1"/>
    <n v="2"/>
    <n v="1"/>
    <n v="2"/>
    <n v="1"/>
    <m/>
    <n v="2"/>
    <m/>
    <m/>
    <m/>
    <n v="4"/>
    <n v="1"/>
    <n v="2"/>
    <x v="2"/>
    <n v="1970"/>
    <n v="1"/>
    <m/>
    <n v="5"/>
    <m/>
    <n v="2"/>
    <m/>
    <n v="2"/>
    <m/>
    <n v="1"/>
    <n v="1"/>
    <n v="43"/>
    <x v="2"/>
    <n v="2"/>
    <n v="3"/>
    <n v="2"/>
  </r>
  <r>
    <x v="2"/>
    <n v="1"/>
    <n v="2"/>
    <n v="1"/>
    <m/>
    <m/>
    <m/>
    <n v="1"/>
    <n v="1"/>
    <m/>
    <n v="1"/>
    <m/>
    <n v="2"/>
    <m/>
    <n v="1"/>
    <n v="1"/>
    <n v="2"/>
    <n v="1"/>
    <n v="1"/>
    <n v="1"/>
    <n v="2"/>
    <n v="1"/>
    <n v="1"/>
    <n v="2"/>
    <n v="3"/>
    <n v="1"/>
    <n v="2"/>
    <n v="3"/>
    <n v="2"/>
    <n v="1"/>
    <n v="2"/>
    <n v="3"/>
    <n v="4"/>
    <n v="3"/>
    <n v="3"/>
    <m/>
    <m/>
    <n v="2"/>
    <n v="1"/>
    <n v="2"/>
    <n v="2"/>
    <n v="2"/>
    <n v="2"/>
    <n v="2"/>
    <n v="1"/>
    <n v="3"/>
    <n v="3"/>
    <m/>
    <n v="1"/>
    <n v="2"/>
    <n v="8"/>
    <m/>
    <n v="5"/>
    <n v="4"/>
    <n v="4"/>
    <x v="2"/>
    <n v="1990"/>
    <n v="3"/>
    <m/>
    <n v="4"/>
    <m/>
    <n v="4"/>
    <m/>
    <n v="3"/>
    <m/>
    <n v="2"/>
    <n v="1"/>
    <n v="23"/>
    <x v="1"/>
    <n v="2"/>
    <n v="4"/>
    <n v="2"/>
  </r>
  <r>
    <x v="3"/>
    <n v="1"/>
    <n v="1"/>
    <n v="1"/>
    <n v="1"/>
    <m/>
    <n v="1"/>
    <n v="1"/>
    <n v="1"/>
    <n v="1"/>
    <m/>
    <m/>
    <n v="2"/>
    <m/>
    <n v="1"/>
    <n v="1"/>
    <n v="2"/>
    <n v="2"/>
    <n v="1"/>
    <n v="2"/>
    <n v="2"/>
    <n v="1"/>
    <n v="1"/>
    <n v="1"/>
    <n v="4"/>
    <n v="3"/>
    <n v="3"/>
    <n v="2"/>
    <n v="3"/>
    <n v="1"/>
    <n v="3"/>
    <n v="2"/>
    <n v="2"/>
    <n v="4"/>
    <n v="2"/>
    <m/>
    <m/>
    <n v="2"/>
    <n v="1"/>
    <n v="2"/>
    <n v="2"/>
    <n v="1"/>
    <n v="2"/>
    <n v="2"/>
    <n v="2"/>
    <n v="4"/>
    <m/>
    <m/>
    <n v="1"/>
    <n v="2"/>
    <n v="7"/>
    <m/>
    <n v="1"/>
    <n v="2"/>
    <n v="1"/>
    <x v="2"/>
    <n v="1983"/>
    <n v="1"/>
    <m/>
    <n v="1"/>
    <m/>
    <n v="1"/>
    <m/>
    <n v="4"/>
    <m/>
    <n v="3"/>
    <n v="1"/>
    <n v="30"/>
    <x v="1"/>
    <n v="2"/>
    <n v="3"/>
    <n v="2"/>
  </r>
  <r>
    <x v="2"/>
    <n v="2"/>
    <n v="1"/>
    <m/>
    <n v="1"/>
    <n v="1"/>
    <n v="1"/>
    <n v="1"/>
    <n v="1"/>
    <m/>
    <m/>
    <m/>
    <n v="2"/>
    <m/>
    <n v="1"/>
    <n v="1"/>
    <n v="1"/>
    <n v="2"/>
    <n v="2"/>
    <n v="2"/>
    <n v="1"/>
    <n v="2"/>
    <n v="2"/>
    <m/>
    <n v="7"/>
    <n v="3"/>
    <n v="3"/>
    <n v="1"/>
    <n v="2"/>
    <n v="3"/>
    <n v="2"/>
    <n v="1"/>
    <n v="3"/>
    <n v="2"/>
    <n v="4"/>
    <m/>
    <m/>
    <n v="1"/>
    <n v="2"/>
    <n v="2"/>
    <n v="1"/>
    <n v="1"/>
    <n v="2"/>
    <n v="2"/>
    <n v="1"/>
    <n v="1"/>
    <n v="6"/>
    <m/>
    <n v="2"/>
    <m/>
    <m/>
    <m/>
    <n v="3"/>
    <n v="3"/>
    <m/>
    <x v="2"/>
    <n v="1967"/>
    <n v="1"/>
    <m/>
    <n v="2"/>
    <m/>
    <n v="3"/>
    <m/>
    <n v="4"/>
    <m/>
    <n v="2"/>
    <n v="1"/>
    <n v="46"/>
    <x v="2"/>
    <n v="3"/>
    <n v="5"/>
    <n v="3"/>
  </r>
  <r>
    <x v="2"/>
    <n v="1"/>
    <n v="1"/>
    <m/>
    <n v="1"/>
    <m/>
    <m/>
    <m/>
    <n v="1"/>
    <m/>
    <m/>
    <m/>
    <n v="2"/>
    <m/>
    <n v="1"/>
    <n v="1"/>
    <n v="1"/>
    <n v="2"/>
    <n v="2"/>
    <n v="1"/>
    <n v="1"/>
    <n v="2"/>
    <n v="1"/>
    <n v="1"/>
    <n v="4"/>
    <n v="2"/>
    <n v="2"/>
    <n v="2"/>
    <n v="3"/>
    <n v="2"/>
    <n v="4"/>
    <n v="4"/>
    <n v="2"/>
    <n v="1"/>
    <m/>
    <m/>
    <m/>
    <n v="1"/>
    <n v="2"/>
    <n v="1"/>
    <n v="1"/>
    <n v="2"/>
    <n v="1"/>
    <n v="1"/>
    <n v="2"/>
    <n v="4"/>
    <m/>
    <m/>
    <n v="2"/>
    <m/>
    <m/>
    <m/>
    <n v="2"/>
    <n v="2"/>
    <n v="1"/>
    <x v="2"/>
    <n v="1962"/>
    <n v="2"/>
    <m/>
    <n v="3"/>
    <m/>
    <n v="3"/>
    <m/>
    <n v="1"/>
    <m/>
    <n v="1"/>
    <n v="1"/>
    <n v="51"/>
    <x v="2"/>
    <n v="2"/>
    <n v="2"/>
    <n v="2"/>
  </r>
  <r>
    <x v="1"/>
    <n v="1"/>
    <n v="2"/>
    <m/>
    <m/>
    <m/>
    <n v="1"/>
    <m/>
    <n v="1"/>
    <m/>
    <m/>
    <m/>
    <n v="2"/>
    <m/>
    <n v="2"/>
    <n v="2"/>
    <n v="1"/>
    <n v="2"/>
    <n v="2"/>
    <n v="1"/>
    <n v="2"/>
    <n v="2"/>
    <n v="2"/>
    <m/>
    <n v="2"/>
    <n v="1"/>
    <n v="1"/>
    <n v="1"/>
    <n v="3"/>
    <n v="3"/>
    <n v="1"/>
    <n v="8"/>
    <n v="1"/>
    <n v="3"/>
    <n v="2"/>
    <m/>
    <m/>
    <n v="1"/>
    <n v="2"/>
    <n v="1"/>
    <n v="1"/>
    <n v="1"/>
    <n v="1"/>
    <n v="1"/>
    <n v="1"/>
    <n v="1"/>
    <n v="7"/>
    <m/>
    <n v="1"/>
    <n v="2"/>
    <n v="6"/>
    <m/>
    <n v="1"/>
    <n v="3"/>
    <n v="3"/>
    <x v="2"/>
    <n v="1994"/>
    <n v="3"/>
    <m/>
    <n v="3"/>
    <m/>
    <n v="2"/>
    <m/>
    <n v="2"/>
    <m/>
    <n v="4"/>
    <n v="1"/>
    <n v="19"/>
    <x v="1"/>
    <n v="2"/>
    <n v="4"/>
    <n v="2"/>
  </r>
  <r>
    <x v="4"/>
    <n v="2"/>
    <n v="2"/>
    <m/>
    <m/>
    <n v="1"/>
    <n v="1"/>
    <m/>
    <m/>
    <n v="1"/>
    <m/>
    <m/>
    <n v="1"/>
    <m/>
    <n v="2"/>
    <n v="2"/>
    <n v="1"/>
    <n v="2"/>
    <n v="2"/>
    <n v="2"/>
    <n v="1"/>
    <n v="2"/>
    <n v="1"/>
    <n v="2"/>
    <n v="3"/>
    <n v="1"/>
    <n v="2"/>
    <n v="3"/>
    <n v="4"/>
    <n v="2"/>
    <n v="3"/>
    <n v="8"/>
    <n v="4"/>
    <n v="2"/>
    <n v="1"/>
    <m/>
    <m/>
    <n v="1"/>
    <n v="1"/>
    <n v="1"/>
    <n v="1"/>
    <n v="1"/>
    <n v="1"/>
    <n v="1"/>
    <n v="2"/>
    <n v="3"/>
    <n v="2"/>
    <m/>
    <n v="2"/>
    <m/>
    <m/>
    <m/>
    <n v="3"/>
    <n v="2"/>
    <n v="2"/>
    <x v="1"/>
    <n v="1983"/>
    <n v="2"/>
    <m/>
    <n v="2"/>
    <m/>
    <n v="1"/>
    <m/>
    <n v="3"/>
    <m/>
    <n v="1"/>
    <n v="1"/>
    <n v="30"/>
    <x v="1"/>
    <n v="2"/>
    <n v="4"/>
    <n v="2"/>
  </r>
  <r>
    <x v="1"/>
    <n v="2"/>
    <n v="2"/>
    <n v="1"/>
    <n v="1"/>
    <m/>
    <n v="1"/>
    <n v="1"/>
    <n v="1"/>
    <m/>
    <m/>
    <m/>
    <n v="1"/>
    <m/>
    <n v="2"/>
    <n v="2"/>
    <n v="1"/>
    <n v="2"/>
    <n v="2"/>
    <n v="1"/>
    <n v="2"/>
    <n v="2"/>
    <n v="2"/>
    <m/>
    <n v="1"/>
    <n v="4"/>
    <n v="3"/>
    <n v="2"/>
    <n v="1"/>
    <n v="3"/>
    <n v="2"/>
    <n v="8"/>
    <n v="2"/>
    <n v="1"/>
    <m/>
    <m/>
    <m/>
    <n v="2"/>
    <n v="1"/>
    <n v="2"/>
    <n v="2"/>
    <n v="1"/>
    <n v="2"/>
    <n v="1"/>
    <n v="1"/>
    <n v="2"/>
    <n v="2"/>
    <m/>
    <n v="1"/>
    <n v="1"/>
    <n v="1"/>
    <m/>
    <n v="8"/>
    <n v="3"/>
    <n v="5"/>
    <x v="1"/>
    <n v="1975"/>
    <n v="3"/>
    <m/>
    <n v="2"/>
    <m/>
    <n v="4"/>
    <m/>
    <n v="2"/>
    <m/>
    <n v="3"/>
    <n v="1"/>
    <n v="38"/>
    <x v="1"/>
    <n v="2"/>
    <n v="2"/>
    <n v="1"/>
  </r>
  <r>
    <x v="2"/>
    <n v="1"/>
    <n v="1"/>
    <m/>
    <m/>
    <n v="1"/>
    <m/>
    <m/>
    <n v="1"/>
    <m/>
    <n v="1"/>
    <m/>
    <n v="1"/>
    <m/>
    <n v="2"/>
    <n v="2"/>
    <n v="1"/>
    <n v="1"/>
    <n v="2"/>
    <n v="2"/>
    <n v="2"/>
    <n v="2"/>
    <n v="2"/>
    <m/>
    <n v="2"/>
    <n v="1"/>
    <n v="4"/>
    <n v="2"/>
    <n v="2"/>
    <n v="2"/>
    <n v="1"/>
    <n v="8"/>
    <n v="3"/>
    <n v="3"/>
    <n v="3"/>
    <m/>
    <m/>
    <n v="2"/>
    <n v="2"/>
    <n v="2"/>
    <n v="2"/>
    <n v="2"/>
    <n v="2"/>
    <n v="1"/>
    <n v="1"/>
    <n v="2"/>
    <n v="3"/>
    <m/>
    <n v="1"/>
    <n v="2"/>
    <n v="5"/>
    <m/>
    <n v="2"/>
    <n v="2"/>
    <n v="5"/>
    <x v="1"/>
    <n v="1979"/>
    <n v="3"/>
    <m/>
    <n v="1"/>
    <m/>
    <n v="1"/>
    <m/>
    <n v="1"/>
    <m/>
    <n v="2"/>
    <n v="1"/>
    <n v="34"/>
    <x v="1"/>
    <n v="1"/>
    <n v="1"/>
    <n v="1"/>
  </r>
  <r>
    <x v="3"/>
    <n v="1"/>
    <n v="2"/>
    <m/>
    <m/>
    <n v="1"/>
    <m/>
    <m/>
    <m/>
    <m/>
    <m/>
    <m/>
    <n v="1"/>
    <m/>
    <n v="2"/>
    <n v="2"/>
    <n v="2"/>
    <n v="1"/>
    <n v="2"/>
    <n v="1"/>
    <n v="1"/>
    <n v="1"/>
    <n v="2"/>
    <m/>
    <n v="3"/>
    <n v="2"/>
    <n v="1"/>
    <n v="2"/>
    <n v="4"/>
    <n v="4"/>
    <n v="4"/>
    <n v="3"/>
    <n v="8"/>
    <n v="1"/>
    <m/>
    <m/>
    <m/>
    <n v="2"/>
    <n v="2"/>
    <n v="2"/>
    <n v="2"/>
    <n v="2"/>
    <n v="2"/>
    <n v="2"/>
    <n v="2"/>
    <n v="3"/>
    <n v="5"/>
    <m/>
    <n v="2"/>
    <m/>
    <m/>
    <m/>
    <n v="1"/>
    <n v="1"/>
    <n v="5"/>
    <x v="1"/>
    <n v="1957"/>
    <n v="3"/>
    <m/>
    <n v="1"/>
    <m/>
    <n v="3"/>
    <m/>
    <n v="4"/>
    <m/>
    <n v="3"/>
    <n v="1"/>
    <n v="56"/>
    <x v="2"/>
    <n v="1"/>
    <n v="1"/>
    <n v="1"/>
  </r>
  <r>
    <x v="1"/>
    <n v="2"/>
    <n v="1"/>
    <n v="1"/>
    <n v="1"/>
    <n v="1"/>
    <m/>
    <m/>
    <m/>
    <n v="1"/>
    <m/>
    <m/>
    <n v="1"/>
    <m/>
    <n v="1"/>
    <n v="2"/>
    <n v="1"/>
    <n v="1"/>
    <n v="1"/>
    <n v="2"/>
    <n v="2"/>
    <n v="1"/>
    <n v="1"/>
    <n v="2"/>
    <n v="1"/>
    <n v="3"/>
    <n v="7"/>
    <n v="3"/>
    <n v="1"/>
    <n v="2"/>
    <n v="2"/>
    <n v="2"/>
    <n v="2"/>
    <n v="4"/>
    <n v="4"/>
    <m/>
    <m/>
    <n v="1"/>
    <n v="1"/>
    <n v="1"/>
    <n v="2"/>
    <n v="2"/>
    <n v="1"/>
    <n v="2"/>
    <n v="2"/>
    <n v="3"/>
    <n v="98"/>
    <m/>
    <n v="1"/>
    <n v="4"/>
    <n v="4"/>
    <m/>
    <n v="2"/>
    <n v="3"/>
    <m/>
    <x v="2"/>
    <n v="1946"/>
    <n v="2"/>
    <m/>
    <n v="5"/>
    <m/>
    <n v="2"/>
    <m/>
    <n v="2"/>
    <m/>
    <n v="2"/>
    <n v="1"/>
    <n v="67"/>
    <x v="3"/>
    <n v="2"/>
    <n v="4"/>
    <n v="3"/>
  </r>
  <r>
    <x v="2"/>
    <n v="2"/>
    <n v="2"/>
    <n v="1"/>
    <m/>
    <m/>
    <m/>
    <n v="1"/>
    <n v="1"/>
    <m/>
    <m/>
    <m/>
    <n v="1"/>
    <m/>
    <n v="1"/>
    <n v="2"/>
    <n v="2"/>
    <n v="2"/>
    <n v="1"/>
    <n v="1"/>
    <n v="1"/>
    <n v="1"/>
    <n v="2"/>
    <m/>
    <n v="2"/>
    <n v="1"/>
    <n v="4"/>
    <n v="3"/>
    <n v="3"/>
    <n v="3"/>
    <n v="3"/>
    <n v="1"/>
    <n v="1"/>
    <n v="1"/>
    <m/>
    <m/>
    <m/>
    <n v="1"/>
    <n v="2"/>
    <n v="1"/>
    <n v="1"/>
    <n v="1"/>
    <n v="1"/>
    <n v="1"/>
    <n v="1"/>
    <n v="2"/>
    <n v="1"/>
    <m/>
    <n v="1"/>
    <n v="2"/>
    <n v="98"/>
    <m/>
    <n v="3"/>
    <n v="2"/>
    <n v="1"/>
    <x v="1"/>
    <n v="1947"/>
    <n v="1"/>
    <m/>
    <n v="6"/>
    <m/>
    <n v="4"/>
    <m/>
    <n v="1"/>
    <m/>
    <n v="2"/>
    <n v="1"/>
    <n v="66"/>
    <x v="3"/>
    <n v="2"/>
    <n v="3"/>
    <n v="2"/>
  </r>
  <r>
    <x v="4"/>
    <n v="2"/>
    <n v="1"/>
    <m/>
    <n v="1"/>
    <n v="1"/>
    <n v="1"/>
    <m/>
    <m/>
    <m/>
    <m/>
    <m/>
    <n v="2"/>
    <m/>
    <n v="1"/>
    <n v="2"/>
    <n v="1"/>
    <n v="2"/>
    <n v="1"/>
    <n v="2"/>
    <n v="2"/>
    <n v="1"/>
    <n v="2"/>
    <m/>
    <n v="3"/>
    <n v="7"/>
    <n v="1"/>
    <n v="1"/>
    <n v="2"/>
    <n v="2"/>
    <n v="2"/>
    <n v="3"/>
    <n v="3"/>
    <n v="2"/>
    <n v="3"/>
    <m/>
    <m/>
    <n v="2"/>
    <n v="1"/>
    <n v="1"/>
    <n v="1"/>
    <n v="2"/>
    <n v="2"/>
    <n v="2"/>
    <n v="2"/>
    <n v="4"/>
    <m/>
    <m/>
    <n v="2"/>
    <m/>
    <m/>
    <m/>
    <n v="5"/>
    <n v="4"/>
    <n v="3"/>
    <x v="2"/>
    <n v="1984"/>
    <n v="3"/>
    <m/>
    <n v="4"/>
    <m/>
    <n v="6"/>
    <m/>
    <n v="3"/>
    <m/>
    <n v="1"/>
    <n v="1"/>
    <n v="29"/>
    <x v="1"/>
    <n v="2"/>
    <n v="4"/>
    <n v="2"/>
  </r>
  <r>
    <x v="1"/>
    <n v="1"/>
    <n v="2"/>
    <n v="1"/>
    <m/>
    <n v="1"/>
    <m/>
    <m/>
    <n v="1"/>
    <n v="1"/>
    <m/>
    <m/>
    <n v="2"/>
    <m/>
    <n v="2"/>
    <n v="1"/>
    <n v="2"/>
    <n v="1"/>
    <n v="1"/>
    <n v="1"/>
    <n v="1"/>
    <n v="2"/>
    <n v="1"/>
    <n v="1"/>
    <n v="4"/>
    <n v="1"/>
    <n v="2"/>
    <n v="1"/>
    <n v="2"/>
    <n v="1"/>
    <n v="1"/>
    <n v="2"/>
    <n v="8"/>
    <n v="3"/>
    <n v="2"/>
    <m/>
    <m/>
    <n v="1"/>
    <n v="2"/>
    <n v="2"/>
    <n v="2"/>
    <n v="2"/>
    <n v="2"/>
    <n v="1"/>
    <n v="1"/>
    <n v="1"/>
    <n v="8"/>
    <m/>
    <n v="2"/>
    <m/>
    <m/>
    <m/>
    <n v="3"/>
    <n v="3"/>
    <n v="1"/>
    <x v="1"/>
    <n v="1989"/>
    <n v="2"/>
    <m/>
    <n v="7"/>
    <m/>
    <n v="4"/>
    <m/>
    <n v="2"/>
    <m/>
    <n v="2"/>
    <n v="1"/>
    <n v="24"/>
    <x v="1"/>
    <n v="2"/>
    <n v="2"/>
    <n v="2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7"/>
    <m/>
    <m/>
    <m/>
    <m/>
    <m/>
    <m/>
    <m/>
    <m/>
    <m/>
    <n v="1"/>
    <n v="26"/>
    <x v="1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3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1"/>
    <m/>
    <m/>
    <m/>
    <m/>
    <m/>
    <m/>
    <m/>
    <m/>
    <m/>
    <n v="1"/>
    <n v="32"/>
    <x v="1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70"/>
    <m/>
    <m/>
    <m/>
    <m/>
    <m/>
    <m/>
    <m/>
    <m/>
    <m/>
    <n v="1"/>
    <n v="43"/>
    <x v="2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</pivotCacheRecords>
</file>

<file path=xl/pivotCache/pivotCacheRecords36.xml><?xml version="1.0" encoding="utf-8"?>
<pivotCacheRecords xmlns="http://schemas.openxmlformats.org/spreadsheetml/2006/main" xmlns:r="http://schemas.openxmlformats.org/officeDocument/2006/relationships" count="632">
  <r>
    <x v="0"/>
    <s v="Y a-t-il d'autres individus ou des groupes d'individus dont les comportements sont pour vous une source de menace ou d'insécurité ?"/>
    <s v="De quel type ou groupe d'individus s'agit-il ?  Toxicomanes ou revendeur de drogue"/>
    <s v="De quel type ou groupe d'individus s'agit-il ? Gangs de motards / milieu criminel"/>
    <s v="De quel type ou groupe d'individus s'agit-il ? Sollicitation (vendeurs, mouvements religieux, ex-détenus, etc.)"/>
    <s v="De quel type ou groupe d'individus s'agit-il ? Itinérants"/>
    <s v="De quel type ou groupe d'individus s'agit-il ? Individus ou groupes d'individus en état d'ébriété"/>
    <s v="De quel type ou groupe d'individus s'agit-il ? Personnes d'une communauté culturelle différente de la mienne"/>
    <s v="De quel type ou groupe d'individus s'agit-il ? Voisins"/>
    <s v="De quel type ou groupe d'individus s'agit-il ? Autre"/>
    <s v="De quel type ou groupe d'individus s'agit-il ? Autre, précisez"/>
    <s v="Y a-t-il dans votre quartier des endroits que vous évitez de fréquenter pour des raisons de sécurité ?"/>
    <s v="Lesquels ?"/>
    <s v="Veuillez répondre à chacun des énoncés suivants. Quand je me déplace dans mon quartier, j'apporte habituellement quelque chose pour assurer ma protection. "/>
    <s v="Veuillez répondre à chacun des énoncés suivants. Lorsque je suis dans mon quartier, je vérifie qu'aucun intrus ne se trouve à l'intérieur de ma voiture avant d'y monter."/>
    <s v="Veuillez répondre à chacun des énoncés suivants. À mon domicile, j'évite d'ouvrir la porte à des inconnus, pour des raisons de sécurité. "/>
    <s v="Veuillez répondre à chacun des énoncés suivants. Je garde les portes extérieures de mon domicile constamment verrouillées, même lorsque je suis chez moi. "/>
    <s v="Veuillez répondre à chacun des énoncés suivants. Spécialement par mesure de protection, il y a un chien à mon domicile. "/>
    <s v="Veuillez répondre à chacun des énoncés suivants. J'ai un système d'alarme que j'active régulièrement pour protéger mon domicile contre le vol."/>
    <s v="Veuillez répondre à chacun des énoncés suivants. Spécialement par mesure de protection, j'ai suivi un cours d'autodéfense. "/>
    <s v="Veuillez répondre à chacun des énoncés suivants. Spécialement par mesure de protection, il y a une arme à feu à mon domicile. "/>
    <s v="Est-ce qu'il y a à votre domicile au moins un détecteur de fumée fonctionnel par étage ? "/>
    <s v="Le bon fonctionnement de cet/ces appareil(s) a-t-il été vérifié, au cours des douze (12) derniers mois ?"/>
    <s v="Veuillez nous dire votre degré de satisfaction à l'égard : du déneigement et du déglaçage des rues et des trottoirs de votre quartier ? "/>
    <s v="Veuillez nous dire votre degré de satisfaction à l'égard :  de la propreté et de l'entretien des parcs et terrains de jeux de votre quartier ?"/>
    <s v="Veuillez nous dire votre degré de satisfaction à l'égard :  de la sécurité des équipements dans les parcs, aires de jeux ou centre récréatif ou sportif de votre quartier ? "/>
    <s v="Votre quartier est-il desservi par un service de police municipal, une régie intermunicipale ou par la Sûreté du Québec ?"/>
    <s v="Quel est votre niveau de satisfaction à l'égard de la présence des policiers dans votre quartier ?"/>
    <s v="Quel est votre niveau de satisfaction à l'égard du travail effectué par les policiers dans votre quartier ?"/>
    <s v="De façon plus spécifique, quel est votre niveau de satisfaction à l'égard du travail effectué par les policiers : auprès des jeunes de votre quartier"/>
    <s v="De façon plus spécifique, quel est votre niveau de satisfaction à l'égard du travail effectué par les policiers : pour assurer la sécurité routière dans votre quartier"/>
    <s v="De façon plus spécifique, quel est votre niveau de satisfaction à l'égard du travail effectué par les policiers : pour régler des problèmes de délinquance ou de désordres qui surviennent dans votre quartier"/>
    <s v="Au cours des deux dernières années, combien de fois avez-vous fait appel au service de police qui dessert votre quartier ?"/>
    <s v="En vous référant à l'événement le plus récent, quel est votre niveau de satisfaction à l'égard de la réponse que vous avez reçue ?"/>
    <s v="Pourquoi ? Peu"/>
    <s v="Pourquoi ? Pas"/>
    <s v="Au cours des deux dernières années, vous êtes vous IMPLIQUÉ SUR UNE BASE RÉGULIÈRE dans les activités suivantes de votre quartier : Dans un comité ou un organisme préoccupé par les problèmes de sécurité de votre quartier ?"/>
    <s v="Au cours des deux dernières années, vous êtes vous IMPLIQUÉ SUR UNE BASE RÉGULIÈRE dans les activités suivantes de votre quartier : Dans des assemblées du conseil municipal ?"/>
    <s v="Au cours des deux dernières années, vous êtes vous IMPLIQUÉ SUR UNE BASE RÉGULIÈRE dans les activités suivantes de votre quartier : Dans un conseil de quartier ou d'arrondissement ?"/>
    <s v="Au cours des deux dernières années, vous êtes vous IMPLIQUÉ SUR UNE BASE RÉGULIÈRE dans les activités suivantes de votre quartier : Dans un comité de citoyens ?"/>
    <s v="Au cours des deux dernières années, vous êtes vous IMPLIQUÉ SUR UNE BASE RÉGULIÈRE dans les activités suivantes de votre quartier : Dans des activités communautaires, d'entraide ou de bénévolat (cuisine communautaire, bazar)"/>
    <s v="Au cours des deux dernières années, vous êtes vous IMPLIQUÉ SUR UNE BASE RÉGULIÈRE dans les activités suivantes de votre quartier : Dans des activités sociales, culturelles ou sportives organisées par les gens de votre quartier ou de votre municipalité ?"/>
    <s v="Au cours des deux dernières années, avez-vous été victime de vol, de vandalisme ou de tout autre crime contre vos biens, chez vous ou dans votre quartier ?"/>
    <s v="Au cours des deux dernières années, avez-vous été victime d'une agression, d'intimidation ou de tout autre acte de violence, chez vous ou dans votre quartier ?"/>
    <s v="Au cours des deux dernières années avez-vous été victime dans votre quartier d'une quelconque forme de discrimination ?"/>
    <s v="À votre avis, le motif de cette discrimination était lié …"/>
    <s v="Autre, précisez :"/>
    <s v="Au cours des deux dernières années, avez-vous subi un accident qui vous a occasionné une blessure pour laquelle vous avez dû consulter un professionnel de la santé ou limiter vos activités ?"/>
    <s v="Combien de fois cela s'est-il produit ?"/>
    <s v="En se référant au dernier événement, était-ce … ?"/>
    <s v="Autre, précisez :"/>
    <s v="Maintenant, comparativement à d'autres personnes de votre âge, dirirez-vous que votre santé est en général …"/>
    <s v="Dans quel quartier habitez-vous ?"/>
    <s v="Combien de personne de moins de 18 ans habitent dans votre foyer ?"/>
    <x v="0"/>
    <s v="Quelle est votre année de naissance ?"/>
    <s v="Êtes-vous propriétaire ou locataire du logement que vous habitez ?"/>
    <s v="Autre, précisez : "/>
    <s v="Habitez-vous dans …"/>
    <s v="Autre, précisez : "/>
    <s v="Quel est votre état civil ?"/>
    <s v="Autre, précisez : "/>
    <s v="Où est situé votre lieu de travail habituel ?"/>
    <s v="Autre, précisez : "/>
    <s v="Quel est le plus haut niveau de scolarité que vous avez complété ?"/>
    <m/>
    <m/>
    <x v="0"/>
    <m/>
    <m/>
    <m/>
  </r>
  <r>
    <x v="1"/>
    <n v="1"/>
    <m/>
    <n v="1"/>
    <m/>
    <n v="1"/>
    <n v="1"/>
    <n v="1"/>
    <n v="1"/>
    <m/>
    <m/>
    <n v="1"/>
    <m/>
    <n v="2"/>
    <n v="2"/>
    <n v="1"/>
    <n v="1"/>
    <n v="1"/>
    <n v="2"/>
    <n v="1"/>
    <n v="2"/>
    <n v="2"/>
    <m/>
    <n v="1"/>
    <n v="7"/>
    <n v="4"/>
    <n v="8"/>
    <n v="1"/>
    <n v="4"/>
    <n v="8"/>
    <n v="2"/>
    <n v="2"/>
    <n v="1"/>
    <m/>
    <m/>
    <m/>
    <n v="1"/>
    <n v="2"/>
    <n v="1"/>
    <n v="2"/>
    <n v="2"/>
    <n v="1"/>
    <n v="1"/>
    <n v="2"/>
    <n v="1"/>
    <n v="2"/>
    <m/>
    <n v="1"/>
    <n v="4"/>
    <n v="5"/>
    <m/>
    <n v="2"/>
    <n v="4"/>
    <n v="5"/>
    <x v="1"/>
    <n v="1981"/>
    <n v="2"/>
    <m/>
    <n v="7"/>
    <m/>
    <n v="1"/>
    <m/>
    <n v="1"/>
    <m/>
    <n v="4"/>
    <n v="1"/>
    <n v="32"/>
    <x v="1"/>
    <n v="1"/>
    <n v="1"/>
    <n v="1"/>
  </r>
  <r>
    <x v="2"/>
    <n v="1"/>
    <m/>
    <m/>
    <n v="1"/>
    <m/>
    <n v="1"/>
    <m/>
    <n v="1"/>
    <m/>
    <m/>
    <n v="2"/>
    <m/>
    <n v="1"/>
    <n v="1"/>
    <n v="2"/>
    <n v="1"/>
    <n v="1"/>
    <n v="1"/>
    <n v="1"/>
    <n v="1"/>
    <n v="1"/>
    <n v="1"/>
    <n v="2"/>
    <n v="4"/>
    <n v="1"/>
    <n v="1"/>
    <n v="4"/>
    <n v="8"/>
    <n v="1"/>
    <n v="4"/>
    <n v="1"/>
    <n v="2"/>
    <n v="1"/>
    <m/>
    <m/>
    <n v="2"/>
    <n v="1"/>
    <n v="1"/>
    <n v="2"/>
    <n v="2"/>
    <n v="1"/>
    <n v="2"/>
    <n v="1"/>
    <n v="2"/>
    <n v="1"/>
    <m/>
    <n v="2"/>
    <m/>
    <m/>
    <m/>
    <n v="4"/>
    <n v="1"/>
    <n v="2"/>
    <x v="2"/>
    <n v="1970"/>
    <n v="1"/>
    <m/>
    <n v="5"/>
    <m/>
    <n v="2"/>
    <m/>
    <n v="2"/>
    <m/>
    <n v="1"/>
    <n v="1"/>
    <n v="43"/>
    <x v="2"/>
    <n v="2"/>
    <n v="3"/>
    <n v="2"/>
  </r>
  <r>
    <x v="1"/>
    <n v="2"/>
    <n v="1"/>
    <m/>
    <m/>
    <m/>
    <n v="1"/>
    <n v="1"/>
    <m/>
    <n v="1"/>
    <m/>
    <n v="2"/>
    <m/>
    <n v="1"/>
    <n v="1"/>
    <n v="2"/>
    <n v="1"/>
    <n v="1"/>
    <n v="1"/>
    <n v="2"/>
    <n v="1"/>
    <n v="1"/>
    <n v="2"/>
    <n v="3"/>
    <n v="1"/>
    <n v="2"/>
    <n v="3"/>
    <n v="2"/>
    <n v="1"/>
    <n v="2"/>
    <n v="3"/>
    <n v="4"/>
    <n v="3"/>
    <n v="3"/>
    <m/>
    <m/>
    <n v="2"/>
    <n v="1"/>
    <n v="2"/>
    <n v="2"/>
    <n v="2"/>
    <n v="2"/>
    <n v="2"/>
    <n v="1"/>
    <n v="3"/>
    <n v="3"/>
    <m/>
    <n v="1"/>
    <n v="2"/>
    <n v="8"/>
    <m/>
    <n v="5"/>
    <n v="4"/>
    <n v="4"/>
    <x v="2"/>
    <n v="1990"/>
    <n v="3"/>
    <m/>
    <n v="4"/>
    <m/>
    <n v="4"/>
    <m/>
    <n v="3"/>
    <m/>
    <n v="2"/>
    <n v="1"/>
    <n v="23"/>
    <x v="1"/>
    <n v="2"/>
    <n v="4"/>
    <n v="2"/>
  </r>
  <r>
    <x v="1"/>
    <n v="1"/>
    <n v="1"/>
    <n v="1"/>
    <m/>
    <n v="1"/>
    <n v="1"/>
    <n v="1"/>
    <n v="1"/>
    <m/>
    <m/>
    <n v="2"/>
    <m/>
    <n v="1"/>
    <n v="1"/>
    <n v="2"/>
    <n v="2"/>
    <n v="1"/>
    <n v="2"/>
    <n v="2"/>
    <n v="1"/>
    <n v="1"/>
    <n v="1"/>
    <n v="4"/>
    <n v="3"/>
    <n v="3"/>
    <n v="2"/>
    <n v="3"/>
    <n v="1"/>
    <n v="3"/>
    <n v="2"/>
    <n v="2"/>
    <n v="4"/>
    <n v="2"/>
    <m/>
    <m/>
    <n v="2"/>
    <n v="1"/>
    <n v="2"/>
    <n v="2"/>
    <n v="1"/>
    <n v="2"/>
    <n v="2"/>
    <n v="2"/>
    <n v="4"/>
    <m/>
    <m/>
    <n v="1"/>
    <n v="2"/>
    <n v="7"/>
    <m/>
    <n v="1"/>
    <n v="2"/>
    <n v="1"/>
    <x v="2"/>
    <n v="1983"/>
    <n v="1"/>
    <m/>
    <n v="1"/>
    <m/>
    <n v="1"/>
    <m/>
    <n v="4"/>
    <m/>
    <n v="3"/>
    <n v="1"/>
    <n v="30"/>
    <x v="1"/>
    <n v="2"/>
    <n v="3"/>
    <n v="2"/>
  </r>
  <r>
    <x v="2"/>
    <n v="1"/>
    <m/>
    <n v="1"/>
    <n v="1"/>
    <n v="1"/>
    <n v="1"/>
    <n v="1"/>
    <m/>
    <m/>
    <m/>
    <n v="2"/>
    <m/>
    <n v="1"/>
    <n v="1"/>
    <n v="1"/>
    <n v="2"/>
    <n v="2"/>
    <n v="2"/>
    <n v="1"/>
    <n v="2"/>
    <n v="2"/>
    <m/>
    <n v="7"/>
    <n v="3"/>
    <n v="3"/>
    <n v="1"/>
    <n v="2"/>
    <n v="3"/>
    <n v="2"/>
    <n v="1"/>
    <n v="3"/>
    <n v="2"/>
    <n v="4"/>
    <m/>
    <m/>
    <n v="1"/>
    <n v="2"/>
    <n v="2"/>
    <n v="1"/>
    <n v="1"/>
    <n v="2"/>
    <n v="2"/>
    <n v="1"/>
    <n v="1"/>
    <n v="6"/>
    <m/>
    <n v="2"/>
    <m/>
    <m/>
    <m/>
    <n v="3"/>
    <n v="3"/>
    <m/>
    <x v="2"/>
    <n v="1967"/>
    <n v="1"/>
    <m/>
    <n v="2"/>
    <m/>
    <n v="3"/>
    <m/>
    <n v="4"/>
    <m/>
    <n v="2"/>
    <n v="1"/>
    <n v="46"/>
    <x v="2"/>
    <n v="3"/>
    <n v="5"/>
    <n v="3"/>
  </r>
  <r>
    <x v="1"/>
    <n v="1"/>
    <m/>
    <n v="1"/>
    <m/>
    <m/>
    <m/>
    <n v="1"/>
    <m/>
    <m/>
    <m/>
    <n v="2"/>
    <m/>
    <n v="1"/>
    <n v="1"/>
    <n v="1"/>
    <n v="2"/>
    <n v="2"/>
    <n v="1"/>
    <n v="1"/>
    <n v="2"/>
    <n v="1"/>
    <n v="1"/>
    <n v="4"/>
    <n v="2"/>
    <n v="2"/>
    <n v="2"/>
    <n v="3"/>
    <n v="2"/>
    <n v="4"/>
    <n v="4"/>
    <n v="2"/>
    <n v="1"/>
    <m/>
    <m/>
    <m/>
    <n v="1"/>
    <n v="2"/>
    <n v="1"/>
    <n v="1"/>
    <n v="2"/>
    <n v="1"/>
    <n v="1"/>
    <n v="2"/>
    <n v="4"/>
    <m/>
    <m/>
    <n v="2"/>
    <m/>
    <m/>
    <m/>
    <n v="2"/>
    <n v="2"/>
    <n v="1"/>
    <x v="2"/>
    <n v="1962"/>
    <n v="2"/>
    <m/>
    <n v="3"/>
    <m/>
    <n v="3"/>
    <m/>
    <n v="1"/>
    <m/>
    <n v="1"/>
    <n v="1"/>
    <n v="51"/>
    <x v="2"/>
    <n v="2"/>
    <n v="2"/>
    <n v="2"/>
  </r>
  <r>
    <x v="1"/>
    <n v="2"/>
    <m/>
    <m/>
    <m/>
    <n v="1"/>
    <m/>
    <n v="1"/>
    <m/>
    <m/>
    <m/>
    <n v="2"/>
    <m/>
    <n v="2"/>
    <n v="2"/>
    <n v="1"/>
    <n v="2"/>
    <n v="2"/>
    <n v="1"/>
    <n v="2"/>
    <n v="2"/>
    <n v="2"/>
    <m/>
    <n v="2"/>
    <n v="1"/>
    <n v="1"/>
    <n v="1"/>
    <n v="3"/>
    <n v="3"/>
    <n v="1"/>
    <n v="8"/>
    <n v="1"/>
    <n v="3"/>
    <n v="2"/>
    <m/>
    <m/>
    <n v="1"/>
    <n v="2"/>
    <n v="1"/>
    <n v="1"/>
    <n v="1"/>
    <n v="1"/>
    <n v="1"/>
    <n v="1"/>
    <n v="1"/>
    <n v="7"/>
    <m/>
    <n v="1"/>
    <n v="2"/>
    <n v="6"/>
    <m/>
    <n v="1"/>
    <n v="3"/>
    <n v="3"/>
    <x v="2"/>
    <n v="1994"/>
    <n v="3"/>
    <m/>
    <n v="3"/>
    <m/>
    <n v="2"/>
    <m/>
    <n v="2"/>
    <m/>
    <n v="4"/>
    <n v="1"/>
    <n v="19"/>
    <x v="1"/>
    <n v="2"/>
    <n v="4"/>
    <n v="2"/>
  </r>
  <r>
    <x v="2"/>
    <n v="2"/>
    <m/>
    <m/>
    <n v="1"/>
    <n v="1"/>
    <m/>
    <m/>
    <n v="1"/>
    <m/>
    <m/>
    <n v="1"/>
    <m/>
    <n v="2"/>
    <n v="2"/>
    <n v="1"/>
    <n v="2"/>
    <n v="2"/>
    <n v="2"/>
    <n v="1"/>
    <n v="2"/>
    <n v="1"/>
    <n v="2"/>
    <n v="3"/>
    <n v="1"/>
    <n v="2"/>
    <n v="3"/>
    <n v="4"/>
    <n v="2"/>
    <n v="3"/>
    <n v="8"/>
    <n v="4"/>
    <n v="2"/>
    <n v="1"/>
    <m/>
    <m/>
    <n v="1"/>
    <n v="1"/>
    <n v="1"/>
    <n v="1"/>
    <n v="1"/>
    <n v="1"/>
    <n v="1"/>
    <n v="2"/>
    <n v="3"/>
    <n v="2"/>
    <m/>
    <n v="2"/>
    <m/>
    <m/>
    <m/>
    <n v="3"/>
    <n v="2"/>
    <n v="2"/>
    <x v="1"/>
    <n v="1983"/>
    <n v="2"/>
    <m/>
    <n v="2"/>
    <m/>
    <n v="1"/>
    <m/>
    <n v="3"/>
    <m/>
    <n v="1"/>
    <n v="1"/>
    <n v="30"/>
    <x v="1"/>
    <n v="2"/>
    <n v="4"/>
    <n v="2"/>
  </r>
  <r>
    <x v="2"/>
    <n v="2"/>
    <n v="1"/>
    <n v="1"/>
    <m/>
    <n v="1"/>
    <n v="1"/>
    <n v="1"/>
    <m/>
    <m/>
    <m/>
    <n v="1"/>
    <m/>
    <n v="2"/>
    <n v="2"/>
    <n v="1"/>
    <n v="2"/>
    <n v="2"/>
    <n v="1"/>
    <n v="2"/>
    <n v="2"/>
    <n v="2"/>
    <m/>
    <n v="1"/>
    <n v="4"/>
    <n v="3"/>
    <n v="2"/>
    <n v="1"/>
    <n v="3"/>
    <n v="2"/>
    <n v="8"/>
    <n v="2"/>
    <n v="1"/>
    <m/>
    <m/>
    <m/>
    <n v="2"/>
    <n v="1"/>
    <n v="2"/>
    <n v="2"/>
    <n v="1"/>
    <n v="2"/>
    <n v="1"/>
    <n v="1"/>
    <n v="2"/>
    <n v="2"/>
    <m/>
    <n v="1"/>
    <n v="1"/>
    <n v="1"/>
    <m/>
    <n v="8"/>
    <n v="3"/>
    <n v="5"/>
    <x v="1"/>
    <n v="1975"/>
    <n v="3"/>
    <m/>
    <n v="2"/>
    <m/>
    <n v="4"/>
    <m/>
    <n v="2"/>
    <m/>
    <n v="3"/>
    <n v="1"/>
    <n v="38"/>
    <x v="1"/>
    <n v="2"/>
    <n v="2"/>
    <n v="1"/>
  </r>
  <r>
    <x v="1"/>
    <n v="1"/>
    <m/>
    <m/>
    <n v="1"/>
    <m/>
    <m/>
    <n v="1"/>
    <m/>
    <n v="1"/>
    <m/>
    <n v="1"/>
    <m/>
    <n v="2"/>
    <n v="2"/>
    <n v="1"/>
    <n v="1"/>
    <n v="2"/>
    <n v="2"/>
    <n v="2"/>
    <n v="2"/>
    <n v="2"/>
    <m/>
    <n v="2"/>
    <n v="1"/>
    <n v="4"/>
    <n v="2"/>
    <n v="2"/>
    <n v="2"/>
    <n v="1"/>
    <n v="8"/>
    <n v="3"/>
    <n v="3"/>
    <n v="3"/>
    <m/>
    <m/>
    <n v="2"/>
    <n v="2"/>
    <n v="2"/>
    <n v="2"/>
    <n v="2"/>
    <n v="2"/>
    <n v="1"/>
    <n v="1"/>
    <n v="2"/>
    <n v="3"/>
    <m/>
    <n v="1"/>
    <n v="2"/>
    <n v="5"/>
    <m/>
    <n v="2"/>
    <n v="2"/>
    <n v="5"/>
    <x v="1"/>
    <n v="1979"/>
    <n v="3"/>
    <m/>
    <n v="1"/>
    <m/>
    <n v="1"/>
    <m/>
    <n v="1"/>
    <m/>
    <n v="2"/>
    <n v="1"/>
    <n v="34"/>
    <x v="1"/>
    <n v="1"/>
    <n v="1"/>
    <n v="1"/>
  </r>
  <r>
    <x v="1"/>
    <n v="2"/>
    <m/>
    <m/>
    <n v="1"/>
    <m/>
    <m/>
    <m/>
    <m/>
    <m/>
    <m/>
    <n v="1"/>
    <m/>
    <n v="2"/>
    <n v="2"/>
    <n v="2"/>
    <n v="1"/>
    <n v="2"/>
    <n v="1"/>
    <n v="1"/>
    <n v="1"/>
    <n v="2"/>
    <m/>
    <n v="3"/>
    <n v="2"/>
    <n v="1"/>
    <n v="2"/>
    <n v="4"/>
    <n v="4"/>
    <n v="4"/>
    <n v="3"/>
    <n v="8"/>
    <n v="1"/>
    <m/>
    <m/>
    <m/>
    <n v="2"/>
    <n v="2"/>
    <n v="2"/>
    <n v="2"/>
    <n v="2"/>
    <n v="2"/>
    <n v="2"/>
    <n v="2"/>
    <n v="3"/>
    <n v="5"/>
    <m/>
    <n v="2"/>
    <m/>
    <m/>
    <m/>
    <n v="1"/>
    <n v="1"/>
    <n v="5"/>
    <x v="1"/>
    <n v="1957"/>
    <n v="3"/>
    <m/>
    <n v="1"/>
    <m/>
    <n v="3"/>
    <m/>
    <n v="4"/>
    <m/>
    <n v="3"/>
    <n v="1"/>
    <n v="56"/>
    <x v="2"/>
    <n v="1"/>
    <n v="1"/>
    <n v="1"/>
  </r>
  <r>
    <x v="2"/>
    <n v="1"/>
    <n v="1"/>
    <n v="1"/>
    <n v="1"/>
    <m/>
    <m/>
    <m/>
    <n v="1"/>
    <m/>
    <m/>
    <n v="1"/>
    <m/>
    <n v="1"/>
    <n v="2"/>
    <n v="1"/>
    <n v="1"/>
    <n v="1"/>
    <n v="2"/>
    <n v="2"/>
    <n v="1"/>
    <n v="1"/>
    <n v="2"/>
    <n v="1"/>
    <n v="3"/>
    <n v="7"/>
    <n v="3"/>
    <n v="1"/>
    <n v="2"/>
    <n v="2"/>
    <n v="2"/>
    <n v="2"/>
    <n v="4"/>
    <n v="4"/>
    <m/>
    <m/>
    <n v="1"/>
    <n v="1"/>
    <n v="1"/>
    <n v="2"/>
    <n v="2"/>
    <n v="1"/>
    <n v="2"/>
    <n v="2"/>
    <n v="3"/>
    <n v="98"/>
    <m/>
    <n v="1"/>
    <n v="4"/>
    <n v="4"/>
    <m/>
    <n v="2"/>
    <n v="3"/>
    <m/>
    <x v="2"/>
    <n v="1946"/>
    <n v="2"/>
    <m/>
    <n v="5"/>
    <m/>
    <n v="2"/>
    <m/>
    <n v="2"/>
    <m/>
    <n v="2"/>
    <n v="1"/>
    <n v="67"/>
    <x v="3"/>
    <n v="2"/>
    <n v="4"/>
    <n v="3"/>
  </r>
  <r>
    <x v="2"/>
    <n v="2"/>
    <n v="1"/>
    <m/>
    <m/>
    <m/>
    <n v="1"/>
    <n v="1"/>
    <m/>
    <m/>
    <m/>
    <n v="1"/>
    <m/>
    <n v="1"/>
    <n v="2"/>
    <n v="2"/>
    <n v="2"/>
    <n v="1"/>
    <n v="1"/>
    <n v="1"/>
    <n v="1"/>
    <n v="2"/>
    <m/>
    <n v="2"/>
    <n v="1"/>
    <n v="4"/>
    <n v="3"/>
    <n v="3"/>
    <n v="3"/>
    <n v="3"/>
    <n v="1"/>
    <n v="1"/>
    <n v="1"/>
    <m/>
    <m/>
    <m/>
    <n v="1"/>
    <n v="2"/>
    <n v="1"/>
    <n v="1"/>
    <n v="1"/>
    <n v="1"/>
    <n v="1"/>
    <n v="1"/>
    <n v="2"/>
    <n v="1"/>
    <m/>
    <n v="1"/>
    <n v="2"/>
    <n v="98"/>
    <m/>
    <n v="3"/>
    <n v="2"/>
    <n v="1"/>
    <x v="1"/>
    <n v="1947"/>
    <n v="1"/>
    <m/>
    <n v="6"/>
    <m/>
    <n v="4"/>
    <m/>
    <n v="1"/>
    <m/>
    <n v="2"/>
    <n v="1"/>
    <n v="66"/>
    <x v="3"/>
    <n v="2"/>
    <n v="3"/>
    <n v="2"/>
  </r>
  <r>
    <x v="2"/>
    <n v="1"/>
    <m/>
    <n v="1"/>
    <n v="1"/>
    <n v="1"/>
    <m/>
    <m/>
    <m/>
    <m/>
    <m/>
    <n v="2"/>
    <m/>
    <n v="1"/>
    <n v="2"/>
    <n v="1"/>
    <n v="2"/>
    <n v="1"/>
    <n v="2"/>
    <n v="2"/>
    <n v="1"/>
    <n v="2"/>
    <m/>
    <n v="3"/>
    <n v="7"/>
    <n v="1"/>
    <n v="1"/>
    <n v="2"/>
    <n v="2"/>
    <n v="2"/>
    <n v="3"/>
    <n v="3"/>
    <n v="2"/>
    <n v="3"/>
    <m/>
    <m/>
    <n v="2"/>
    <n v="1"/>
    <n v="1"/>
    <n v="1"/>
    <n v="2"/>
    <n v="2"/>
    <n v="2"/>
    <n v="2"/>
    <n v="4"/>
    <m/>
    <m/>
    <n v="2"/>
    <m/>
    <m/>
    <m/>
    <n v="5"/>
    <n v="4"/>
    <n v="3"/>
    <x v="2"/>
    <n v="1984"/>
    <n v="3"/>
    <m/>
    <n v="4"/>
    <m/>
    <n v="6"/>
    <m/>
    <n v="3"/>
    <m/>
    <n v="1"/>
    <n v="1"/>
    <n v="29"/>
    <x v="1"/>
    <n v="2"/>
    <n v="4"/>
    <n v="2"/>
  </r>
  <r>
    <x v="1"/>
    <n v="2"/>
    <n v="1"/>
    <m/>
    <n v="1"/>
    <m/>
    <m/>
    <n v="1"/>
    <n v="1"/>
    <m/>
    <m/>
    <n v="2"/>
    <m/>
    <n v="2"/>
    <n v="1"/>
    <n v="2"/>
    <n v="1"/>
    <n v="1"/>
    <n v="1"/>
    <n v="1"/>
    <n v="2"/>
    <n v="1"/>
    <n v="1"/>
    <n v="4"/>
    <n v="1"/>
    <n v="2"/>
    <n v="1"/>
    <n v="2"/>
    <n v="1"/>
    <n v="1"/>
    <n v="2"/>
    <n v="8"/>
    <n v="3"/>
    <n v="2"/>
    <m/>
    <m/>
    <n v="1"/>
    <n v="2"/>
    <n v="2"/>
    <n v="2"/>
    <n v="2"/>
    <n v="2"/>
    <n v="1"/>
    <n v="1"/>
    <n v="1"/>
    <n v="8"/>
    <m/>
    <n v="2"/>
    <m/>
    <m/>
    <m/>
    <n v="3"/>
    <n v="3"/>
    <n v="1"/>
    <x v="1"/>
    <n v="1989"/>
    <n v="2"/>
    <m/>
    <n v="7"/>
    <m/>
    <n v="4"/>
    <m/>
    <n v="2"/>
    <m/>
    <n v="2"/>
    <n v="1"/>
    <n v="24"/>
    <x v="1"/>
    <n v="2"/>
    <n v="2"/>
    <n v="2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4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7"/>
    <m/>
    <m/>
    <m/>
    <m/>
    <m/>
    <m/>
    <m/>
    <m/>
    <m/>
    <n v="1"/>
    <n v="26"/>
    <x v="1"/>
    <n v="2"/>
    <n v="4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3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1"/>
    <m/>
    <m/>
    <m/>
    <m/>
    <m/>
    <m/>
    <m/>
    <m/>
    <m/>
    <n v="1"/>
    <n v="32"/>
    <x v="1"/>
    <n v="2"/>
    <n v="4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70"/>
    <m/>
    <m/>
    <m/>
    <m/>
    <m/>
    <m/>
    <m/>
    <m/>
    <m/>
    <n v="1"/>
    <n v="43"/>
    <x v="2"/>
    <n v="2"/>
    <n v="4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2"/>
    <n v="4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</pivotCacheRecords>
</file>

<file path=xl/pivotCache/pivotCacheRecords37.xml><?xml version="1.0" encoding="utf-8"?>
<pivotCacheRecords xmlns="http://schemas.openxmlformats.org/spreadsheetml/2006/main" xmlns:r="http://schemas.openxmlformats.org/officeDocument/2006/relationships" count="632">
  <r>
    <x v="0"/>
    <s v="De quel type ou groupe d'individus s'agit-il ?  Toxicomanes ou revendeur de drogue"/>
    <s v="De quel type ou groupe d'individus s'agit-il ? Gangs de motards / milieu criminel"/>
    <s v="De quel type ou groupe d'individus s'agit-il ? Sollicitation (vendeurs, mouvements religieux, ex-détenus, etc.)"/>
    <s v="De quel type ou groupe d'individus s'agit-il ? Itinérants"/>
    <s v="De quel type ou groupe d'individus s'agit-il ? Individus ou groupes d'individus en état d'ébriété"/>
    <s v="De quel type ou groupe d'individus s'agit-il ? Personnes d'une communauté culturelle différente de la mienne"/>
    <s v="De quel type ou groupe d'individus s'agit-il ? Voisins"/>
    <s v="De quel type ou groupe d'individus s'agit-il ? Autre"/>
    <s v="De quel type ou groupe d'individus s'agit-il ? Autre, précisez"/>
    <s v="Y a-t-il dans votre quartier des endroits que vous évitez de fréquenter pour des raisons de sécurité ?"/>
    <s v="Lesquels ?"/>
    <s v="Veuillez répondre à chacun des énoncés suivants. Quand je me déplace dans mon quartier, j'apporte habituellement quelque chose pour assurer ma protection. "/>
    <s v="Veuillez répondre à chacun des énoncés suivants. Lorsque je suis dans mon quartier, je vérifie qu'aucun intrus ne se trouve à l'intérieur de ma voiture avant d'y monter."/>
    <s v="Veuillez répondre à chacun des énoncés suivants. À mon domicile, j'évite d'ouvrir la porte à des inconnus, pour des raisons de sécurité. "/>
    <s v="Veuillez répondre à chacun des énoncés suivants. Je garde les portes extérieures de mon domicile constamment verrouillées, même lorsque je suis chez moi. "/>
    <s v="Veuillez répondre à chacun des énoncés suivants. Spécialement par mesure de protection, il y a un chien à mon domicile. "/>
    <s v="Veuillez répondre à chacun des énoncés suivants. J'ai un système d'alarme que j'active régulièrement pour protéger mon domicile contre le vol."/>
    <s v="Veuillez répondre à chacun des énoncés suivants. Spécialement par mesure de protection, j'ai suivi un cours d'autodéfense. "/>
    <s v="Veuillez répondre à chacun des énoncés suivants. Spécialement par mesure de protection, il y a une arme à feu à mon domicile. "/>
    <s v="Est-ce qu'il y a à votre domicile au moins un détecteur de fumée fonctionnel par étage ? "/>
    <s v="Le bon fonctionnement de cet/ces appareil(s) a-t-il été vérifié, au cours des douze (12) derniers mois ?"/>
    <s v="Veuillez nous dire votre degré de satisfaction à l'égard : du déneigement et du déglaçage des rues et des trottoirs de votre quartier ? "/>
    <s v="Veuillez nous dire votre degré de satisfaction à l'égard :  de la propreté et de l'entretien des parcs et terrains de jeux de votre quartier ?"/>
    <s v="Veuillez nous dire votre degré de satisfaction à l'égard :  de la sécurité des équipements dans les parcs, aires de jeux ou centre récréatif ou sportif de votre quartier ? "/>
    <s v="Votre quartier est-il desservi par un service de police municipal, une régie intermunicipale ou par la Sûreté du Québec ?"/>
    <s v="Quel est votre niveau de satisfaction à l'égard de la présence des policiers dans votre quartier ?"/>
    <s v="Quel est votre niveau de satisfaction à l'égard du travail effectué par les policiers dans votre quartier ?"/>
    <s v="De façon plus spécifique, quel est votre niveau de satisfaction à l'égard du travail effectué par les policiers : auprès des jeunes de votre quartier"/>
    <s v="De façon plus spécifique, quel est votre niveau de satisfaction à l'égard du travail effectué par les policiers : pour assurer la sécurité routière dans votre quartier"/>
    <s v="De façon plus spécifique, quel est votre niveau de satisfaction à l'égard du travail effectué par les policiers : pour régler des problèmes de délinquance ou de désordres qui surviennent dans votre quartier"/>
    <s v="Au cours des deux dernières années, combien de fois avez-vous fait appel au service de police qui dessert votre quartier ?"/>
    <s v="En vous référant à l'événement le plus récent, quel est votre niveau de satisfaction à l'égard de la réponse que vous avez reçue ?"/>
    <s v="Pourquoi ? Peu"/>
    <s v="Pourquoi ? Pas"/>
    <s v="Au cours des deux dernières années, vous êtes vous IMPLIQUÉ SUR UNE BASE RÉGULIÈRE dans les activités suivantes de votre quartier : Dans un comité ou un organisme préoccupé par les problèmes de sécurité de votre quartier ?"/>
    <s v="Au cours des deux dernières années, vous êtes vous IMPLIQUÉ SUR UNE BASE RÉGULIÈRE dans les activités suivantes de votre quartier : Dans des assemblées du conseil municipal ?"/>
    <s v="Au cours des deux dernières années, vous êtes vous IMPLIQUÉ SUR UNE BASE RÉGULIÈRE dans les activités suivantes de votre quartier : Dans un conseil de quartier ou d'arrondissement ?"/>
    <s v="Au cours des deux dernières années, vous êtes vous IMPLIQUÉ SUR UNE BASE RÉGULIÈRE dans les activités suivantes de votre quartier : Dans un comité de citoyens ?"/>
    <s v="Au cours des deux dernières années, vous êtes vous IMPLIQUÉ SUR UNE BASE RÉGULIÈRE dans les activités suivantes de votre quartier : Dans des activités communautaires, d'entraide ou de bénévolat (cuisine communautaire, bazar)"/>
    <s v="Au cours des deux dernières années, vous êtes vous IMPLIQUÉ SUR UNE BASE RÉGULIÈRE dans les activités suivantes de votre quartier : Dans des activités sociales, culturelles ou sportives organisées par les gens de votre quartier ou de votre municipalité ?"/>
    <s v="Au cours des deux dernières années, avez-vous été victime de vol, de vandalisme ou de tout autre crime contre vos biens, chez vous ou dans votre quartier ?"/>
    <s v="Au cours des deux dernières années, avez-vous été victime d'une agression, d'intimidation ou de tout autre acte de violence, chez vous ou dans votre quartier ?"/>
    <s v="Au cours des deux dernières années avez-vous été victime dans votre quartier d'une quelconque forme de discrimination ?"/>
    <s v="À votre avis, le motif de cette discrimination était lié …"/>
    <s v="Autre, précisez :"/>
    <s v="Au cours des deux dernières années, avez-vous subi un accident qui vous a occasionné une blessure pour laquelle vous avez dû consulter un professionnel de la santé ou limiter vos activités ?"/>
    <s v="Combien de fois cela s'est-il produit ?"/>
    <s v="En se référant au dernier événement, était-ce … ?"/>
    <s v="Autre, précisez :"/>
    <s v="Maintenant, comparativement à d'autres personnes de votre âge, dirirez-vous que votre santé est en général …"/>
    <s v="Dans quel quartier habitez-vous ?"/>
    <s v="Combien de personne de moins de 18 ans habitent dans votre foyer ?"/>
    <x v="0"/>
    <s v="Quelle est votre année de naissance ?"/>
    <s v="Êtes-vous propriétaire ou locataire du logement que vous habitez ?"/>
    <s v="Autre, précisez : "/>
    <s v="Habitez-vous dans …"/>
    <s v="Autre, précisez : "/>
    <s v="Quel est votre état civil ?"/>
    <s v="Autre, précisez : "/>
    <s v="Où est situé votre lieu de travail habituel ?"/>
    <s v="Autre, précisez : "/>
    <s v="Quel est le plus haut niveau de scolarité que vous avez complété ?"/>
    <m/>
    <m/>
    <x v="0"/>
    <m/>
    <m/>
    <m/>
  </r>
  <r>
    <x v="1"/>
    <m/>
    <n v="1"/>
    <m/>
    <n v="1"/>
    <n v="1"/>
    <n v="1"/>
    <n v="1"/>
    <m/>
    <m/>
    <n v="1"/>
    <m/>
    <n v="2"/>
    <n v="2"/>
    <n v="1"/>
    <n v="1"/>
    <n v="1"/>
    <n v="2"/>
    <n v="1"/>
    <n v="2"/>
    <n v="2"/>
    <m/>
    <n v="1"/>
    <n v="7"/>
    <n v="4"/>
    <n v="8"/>
    <n v="1"/>
    <n v="4"/>
    <n v="8"/>
    <n v="2"/>
    <n v="2"/>
    <n v="1"/>
    <m/>
    <m/>
    <m/>
    <n v="1"/>
    <n v="2"/>
    <n v="1"/>
    <n v="2"/>
    <n v="2"/>
    <n v="1"/>
    <n v="1"/>
    <n v="2"/>
    <n v="1"/>
    <n v="2"/>
    <m/>
    <n v="1"/>
    <n v="4"/>
    <n v="5"/>
    <m/>
    <n v="2"/>
    <n v="4"/>
    <n v="5"/>
    <x v="1"/>
    <n v="1981"/>
    <n v="2"/>
    <m/>
    <n v="7"/>
    <m/>
    <n v="1"/>
    <m/>
    <n v="1"/>
    <m/>
    <n v="4"/>
    <n v="1"/>
    <n v="32"/>
    <x v="1"/>
    <n v="1"/>
    <n v="1"/>
    <n v="1"/>
  </r>
  <r>
    <x v="1"/>
    <m/>
    <m/>
    <n v="1"/>
    <m/>
    <n v="1"/>
    <m/>
    <n v="1"/>
    <m/>
    <m/>
    <n v="2"/>
    <m/>
    <n v="1"/>
    <n v="1"/>
    <n v="2"/>
    <n v="1"/>
    <n v="1"/>
    <n v="1"/>
    <n v="1"/>
    <n v="1"/>
    <n v="1"/>
    <n v="1"/>
    <n v="2"/>
    <n v="4"/>
    <n v="1"/>
    <n v="1"/>
    <n v="4"/>
    <n v="8"/>
    <n v="1"/>
    <n v="4"/>
    <n v="1"/>
    <n v="2"/>
    <n v="1"/>
    <m/>
    <m/>
    <n v="2"/>
    <n v="1"/>
    <n v="1"/>
    <n v="2"/>
    <n v="2"/>
    <n v="1"/>
    <n v="2"/>
    <n v="1"/>
    <n v="2"/>
    <n v="1"/>
    <m/>
    <n v="2"/>
    <m/>
    <m/>
    <m/>
    <n v="4"/>
    <n v="1"/>
    <n v="2"/>
    <x v="2"/>
    <n v="1970"/>
    <n v="1"/>
    <m/>
    <n v="5"/>
    <m/>
    <n v="2"/>
    <m/>
    <n v="2"/>
    <m/>
    <n v="1"/>
    <n v="1"/>
    <n v="43"/>
    <x v="2"/>
    <n v="2"/>
    <n v="3"/>
    <n v="2"/>
  </r>
  <r>
    <x v="2"/>
    <n v="1"/>
    <m/>
    <m/>
    <m/>
    <n v="1"/>
    <n v="1"/>
    <m/>
    <n v="1"/>
    <m/>
    <n v="2"/>
    <m/>
    <n v="1"/>
    <n v="1"/>
    <n v="2"/>
    <n v="1"/>
    <n v="1"/>
    <n v="1"/>
    <n v="2"/>
    <n v="1"/>
    <n v="1"/>
    <n v="2"/>
    <n v="3"/>
    <n v="1"/>
    <n v="2"/>
    <n v="3"/>
    <n v="2"/>
    <n v="1"/>
    <n v="2"/>
    <n v="3"/>
    <n v="4"/>
    <n v="3"/>
    <n v="3"/>
    <m/>
    <m/>
    <n v="2"/>
    <n v="1"/>
    <n v="2"/>
    <n v="2"/>
    <n v="2"/>
    <n v="2"/>
    <n v="2"/>
    <n v="1"/>
    <n v="3"/>
    <n v="3"/>
    <m/>
    <n v="1"/>
    <n v="2"/>
    <n v="8"/>
    <m/>
    <n v="5"/>
    <n v="4"/>
    <n v="4"/>
    <x v="2"/>
    <n v="1990"/>
    <n v="3"/>
    <m/>
    <n v="4"/>
    <m/>
    <n v="4"/>
    <m/>
    <n v="3"/>
    <m/>
    <n v="2"/>
    <n v="1"/>
    <n v="23"/>
    <x v="1"/>
    <n v="2"/>
    <n v="4"/>
    <n v="2"/>
  </r>
  <r>
    <x v="1"/>
    <n v="1"/>
    <n v="1"/>
    <m/>
    <n v="1"/>
    <n v="1"/>
    <n v="1"/>
    <n v="1"/>
    <m/>
    <m/>
    <n v="2"/>
    <m/>
    <n v="1"/>
    <n v="1"/>
    <n v="2"/>
    <n v="2"/>
    <n v="1"/>
    <n v="2"/>
    <n v="2"/>
    <n v="1"/>
    <n v="1"/>
    <n v="1"/>
    <n v="4"/>
    <n v="3"/>
    <n v="3"/>
    <n v="2"/>
    <n v="3"/>
    <n v="1"/>
    <n v="3"/>
    <n v="2"/>
    <n v="2"/>
    <n v="4"/>
    <n v="2"/>
    <m/>
    <m/>
    <n v="2"/>
    <n v="1"/>
    <n v="2"/>
    <n v="2"/>
    <n v="1"/>
    <n v="2"/>
    <n v="2"/>
    <n v="2"/>
    <n v="4"/>
    <m/>
    <m/>
    <n v="1"/>
    <n v="2"/>
    <n v="7"/>
    <m/>
    <n v="1"/>
    <n v="2"/>
    <n v="1"/>
    <x v="2"/>
    <n v="1983"/>
    <n v="1"/>
    <m/>
    <n v="1"/>
    <m/>
    <n v="1"/>
    <m/>
    <n v="4"/>
    <m/>
    <n v="3"/>
    <n v="1"/>
    <n v="30"/>
    <x v="1"/>
    <n v="2"/>
    <n v="3"/>
    <n v="2"/>
  </r>
  <r>
    <x v="1"/>
    <m/>
    <n v="1"/>
    <n v="1"/>
    <n v="1"/>
    <n v="1"/>
    <n v="1"/>
    <m/>
    <m/>
    <m/>
    <n v="2"/>
    <m/>
    <n v="1"/>
    <n v="1"/>
    <n v="1"/>
    <n v="2"/>
    <n v="2"/>
    <n v="2"/>
    <n v="1"/>
    <n v="2"/>
    <n v="2"/>
    <m/>
    <n v="7"/>
    <n v="3"/>
    <n v="3"/>
    <n v="1"/>
    <n v="2"/>
    <n v="3"/>
    <n v="2"/>
    <n v="1"/>
    <n v="3"/>
    <n v="2"/>
    <n v="4"/>
    <m/>
    <m/>
    <n v="1"/>
    <n v="2"/>
    <n v="2"/>
    <n v="1"/>
    <n v="1"/>
    <n v="2"/>
    <n v="2"/>
    <n v="1"/>
    <n v="1"/>
    <n v="6"/>
    <m/>
    <n v="2"/>
    <m/>
    <m/>
    <m/>
    <n v="3"/>
    <n v="3"/>
    <m/>
    <x v="2"/>
    <n v="1967"/>
    <n v="1"/>
    <m/>
    <n v="2"/>
    <m/>
    <n v="3"/>
    <m/>
    <n v="4"/>
    <m/>
    <n v="2"/>
    <n v="1"/>
    <n v="46"/>
    <x v="2"/>
    <n v="3"/>
    <n v="5"/>
    <n v="3"/>
  </r>
  <r>
    <x v="1"/>
    <m/>
    <n v="1"/>
    <m/>
    <m/>
    <m/>
    <n v="1"/>
    <m/>
    <m/>
    <m/>
    <n v="2"/>
    <m/>
    <n v="1"/>
    <n v="1"/>
    <n v="1"/>
    <n v="2"/>
    <n v="2"/>
    <n v="1"/>
    <n v="1"/>
    <n v="2"/>
    <n v="1"/>
    <n v="1"/>
    <n v="4"/>
    <n v="2"/>
    <n v="2"/>
    <n v="2"/>
    <n v="3"/>
    <n v="2"/>
    <n v="4"/>
    <n v="4"/>
    <n v="2"/>
    <n v="1"/>
    <m/>
    <m/>
    <m/>
    <n v="1"/>
    <n v="2"/>
    <n v="1"/>
    <n v="1"/>
    <n v="2"/>
    <n v="1"/>
    <n v="1"/>
    <n v="2"/>
    <n v="4"/>
    <m/>
    <m/>
    <n v="2"/>
    <m/>
    <m/>
    <m/>
    <n v="2"/>
    <n v="2"/>
    <n v="1"/>
    <x v="2"/>
    <n v="1962"/>
    <n v="2"/>
    <m/>
    <n v="3"/>
    <m/>
    <n v="3"/>
    <m/>
    <n v="1"/>
    <m/>
    <n v="1"/>
    <n v="1"/>
    <n v="51"/>
    <x v="2"/>
    <n v="2"/>
    <n v="2"/>
    <n v="2"/>
  </r>
  <r>
    <x v="2"/>
    <m/>
    <m/>
    <m/>
    <n v="1"/>
    <m/>
    <n v="1"/>
    <m/>
    <m/>
    <m/>
    <n v="2"/>
    <m/>
    <n v="2"/>
    <n v="2"/>
    <n v="1"/>
    <n v="2"/>
    <n v="2"/>
    <n v="1"/>
    <n v="2"/>
    <n v="2"/>
    <n v="2"/>
    <m/>
    <n v="2"/>
    <n v="1"/>
    <n v="1"/>
    <n v="1"/>
    <n v="3"/>
    <n v="3"/>
    <n v="1"/>
    <n v="8"/>
    <n v="1"/>
    <n v="3"/>
    <n v="2"/>
    <m/>
    <m/>
    <n v="1"/>
    <n v="2"/>
    <n v="1"/>
    <n v="1"/>
    <n v="1"/>
    <n v="1"/>
    <n v="1"/>
    <n v="1"/>
    <n v="1"/>
    <n v="7"/>
    <m/>
    <n v="1"/>
    <n v="2"/>
    <n v="6"/>
    <m/>
    <n v="1"/>
    <n v="3"/>
    <n v="3"/>
    <x v="2"/>
    <n v="1994"/>
    <n v="3"/>
    <m/>
    <n v="3"/>
    <m/>
    <n v="2"/>
    <m/>
    <n v="2"/>
    <m/>
    <n v="4"/>
    <n v="1"/>
    <n v="19"/>
    <x v="1"/>
    <n v="2"/>
    <n v="4"/>
    <n v="2"/>
  </r>
  <r>
    <x v="2"/>
    <m/>
    <m/>
    <n v="1"/>
    <n v="1"/>
    <m/>
    <m/>
    <n v="1"/>
    <m/>
    <m/>
    <n v="1"/>
    <m/>
    <n v="2"/>
    <n v="2"/>
    <n v="1"/>
    <n v="2"/>
    <n v="2"/>
    <n v="2"/>
    <n v="1"/>
    <n v="2"/>
    <n v="1"/>
    <n v="2"/>
    <n v="3"/>
    <n v="1"/>
    <n v="2"/>
    <n v="3"/>
    <n v="4"/>
    <n v="2"/>
    <n v="3"/>
    <n v="8"/>
    <n v="4"/>
    <n v="2"/>
    <n v="1"/>
    <m/>
    <m/>
    <n v="1"/>
    <n v="1"/>
    <n v="1"/>
    <n v="1"/>
    <n v="1"/>
    <n v="1"/>
    <n v="1"/>
    <n v="2"/>
    <n v="3"/>
    <n v="2"/>
    <m/>
    <n v="2"/>
    <m/>
    <m/>
    <m/>
    <n v="3"/>
    <n v="2"/>
    <n v="2"/>
    <x v="1"/>
    <n v="1983"/>
    <n v="2"/>
    <m/>
    <n v="2"/>
    <m/>
    <n v="1"/>
    <m/>
    <n v="3"/>
    <m/>
    <n v="1"/>
    <n v="1"/>
    <n v="30"/>
    <x v="1"/>
    <n v="2"/>
    <n v="4"/>
    <n v="2"/>
  </r>
  <r>
    <x v="2"/>
    <n v="1"/>
    <n v="1"/>
    <m/>
    <n v="1"/>
    <n v="1"/>
    <n v="1"/>
    <m/>
    <m/>
    <m/>
    <n v="1"/>
    <m/>
    <n v="2"/>
    <n v="2"/>
    <n v="1"/>
    <n v="2"/>
    <n v="2"/>
    <n v="1"/>
    <n v="2"/>
    <n v="2"/>
    <n v="2"/>
    <m/>
    <n v="1"/>
    <n v="4"/>
    <n v="3"/>
    <n v="2"/>
    <n v="1"/>
    <n v="3"/>
    <n v="2"/>
    <n v="8"/>
    <n v="2"/>
    <n v="1"/>
    <m/>
    <m/>
    <m/>
    <n v="2"/>
    <n v="1"/>
    <n v="2"/>
    <n v="2"/>
    <n v="1"/>
    <n v="2"/>
    <n v="1"/>
    <n v="1"/>
    <n v="2"/>
    <n v="2"/>
    <m/>
    <n v="1"/>
    <n v="1"/>
    <n v="1"/>
    <m/>
    <n v="8"/>
    <n v="3"/>
    <n v="5"/>
    <x v="1"/>
    <n v="1975"/>
    <n v="3"/>
    <m/>
    <n v="2"/>
    <m/>
    <n v="4"/>
    <m/>
    <n v="2"/>
    <m/>
    <n v="3"/>
    <n v="1"/>
    <n v="38"/>
    <x v="1"/>
    <n v="2"/>
    <n v="2"/>
    <n v="1"/>
  </r>
  <r>
    <x v="1"/>
    <m/>
    <m/>
    <n v="1"/>
    <m/>
    <m/>
    <n v="1"/>
    <m/>
    <n v="1"/>
    <m/>
    <n v="1"/>
    <m/>
    <n v="2"/>
    <n v="2"/>
    <n v="1"/>
    <n v="1"/>
    <n v="2"/>
    <n v="2"/>
    <n v="2"/>
    <n v="2"/>
    <n v="2"/>
    <m/>
    <n v="2"/>
    <n v="1"/>
    <n v="4"/>
    <n v="2"/>
    <n v="2"/>
    <n v="2"/>
    <n v="1"/>
    <n v="8"/>
    <n v="3"/>
    <n v="3"/>
    <n v="3"/>
    <m/>
    <m/>
    <n v="2"/>
    <n v="2"/>
    <n v="2"/>
    <n v="2"/>
    <n v="2"/>
    <n v="2"/>
    <n v="1"/>
    <n v="1"/>
    <n v="2"/>
    <n v="3"/>
    <m/>
    <n v="1"/>
    <n v="2"/>
    <n v="5"/>
    <m/>
    <n v="2"/>
    <n v="2"/>
    <n v="5"/>
    <x v="1"/>
    <n v="1979"/>
    <n v="3"/>
    <m/>
    <n v="1"/>
    <m/>
    <n v="1"/>
    <m/>
    <n v="1"/>
    <m/>
    <n v="2"/>
    <n v="1"/>
    <n v="34"/>
    <x v="1"/>
    <n v="1"/>
    <n v="1"/>
    <n v="1"/>
  </r>
  <r>
    <x v="2"/>
    <m/>
    <m/>
    <n v="1"/>
    <m/>
    <m/>
    <m/>
    <m/>
    <m/>
    <m/>
    <n v="1"/>
    <m/>
    <n v="2"/>
    <n v="2"/>
    <n v="2"/>
    <n v="1"/>
    <n v="2"/>
    <n v="1"/>
    <n v="1"/>
    <n v="1"/>
    <n v="2"/>
    <m/>
    <n v="3"/>
    <n v="2"/>
    <n v="1"/>
    <n v="2"/>
    <n v="4"/>
    <n v="4"/>
    <n v="4"/>
    <n v="3"/>
    <n v="8"/>
    <n v="1"/>
    <m/>
    <m/>
    <m/>
    <n v="2"/>
    <n v="2"/>
    <n v="2"/>
    <n v="2"/>
    <n v="2"/>
    <n v="2"/>
    <n v="2"/>
    <n v="2"/>
    <n v="3"/>
    <n v="5"/>
    <m/>
    <n v="2"/>
    <m/>
    <m/>
    <m/>
    <n v="1"/>
    <n v="1"/>
    <n v="5"/>
    <x v="1"/>
    <n v="1957"/>
    <n v="3"/>
    <m/>
    <n v="1"/>
    <m/>
    <n v="3"/>
    <m/>
    <n v="4"/>
    <m/>
    <n v="3"/>
    <n v="1"/>
    <n v="56"/>
    <x v="2"/>
    <n v="1"/>
    <n v="1"/>
    <n v="1"/>
  </r>
  <r>
    <x v="1"/>
    <n v="1"/>
    <n v="1"/>
    <n v="1"/>
    <m/>
    <m/>
    <m/>
    <n v="1"/>
    <m/>
    <m/>
    <n v="1"/>
    <m/>
    <n v="1"/>
    <n v="2"/>
    <n v="1"/>
    <n v="1"/>
    <n v="1"/>
    <n v="2"/>
    <n v="2"/>
    <n v="1"/>
    <n v="1"/>
    <n v="2"/>
    <n v="1"/>
    <n v="3"/>
    <n v="7"/>
    <n v="3"/>
    <n v="1"/>
    <n v="2"/>
    <n v="2"/>
    <n v="2"/>
    <n v="2"/>
    <n v="4"/>
    <n v="4"/>
    <m/>
    <m/>
    <n v="1"/>
    <n v="1"/>
    <n v="1"/>
    <n v="2"/>
    <n v="2"/>
    <n v="1"/>
    <n v="2"/>
    <n v="2"/>
    <n v="3"/>
    <n v="98"/>
    <m/>
    <n v="1"/>
    <n v="4"/>
    <n v="4"/>
    <m/>
    <n v="2"/>
    <n v="3"/>
    <m/>
    <x v="2"/>
    <n v="1946"/>
    <n v="2"/>
    <m/>
    <n v="5"/>
    <m/>
    <n v="2"/>
    <m/>
    <n v="2"/>
    <m/>
    <n v="2"/>
    <n v="1"/>
    <n v="67"/>
    <x v="3"/>
    <n v="2"/>
    <n v="4"/>
    <n v="3"/>
  </r>
  <r>
    <x v="2"/>
    <n v="1"/>
    <m/>
    <m/>
    <m/>
    <n v="1"/>
    <n v="1"/>
    <m/>
    <m/>
    <m/>
    <n v="1"/>
    <m/>
    <n v="1"/>
    <n v="2"/>
    <n v="2"/>
    <n v="2"/>
    <n v="1"/>
    <n v="1"/>
    <n v="1"/>
    <n v="1"/>
    <n v="2"/>
    <m/>
    <n v="2"/>
    <n v="1"/>
    <n v="4"/>
    <n v="3"/>
    <n v="3"/>
    <n v="3"/>
    <n v="3"/>
    <n v="1"/>
    <n v="1"/>
    <n v="1"/>
    <m/>
    <m/>
    <m/>
    <n v="1"/>
    <n v="2"/>
    <n v="1"/>
    <n v="1"/>
    <n v="1"/>
    <n v="1"/>
    <n v="1"/>
    <n v="1"/>
    <n v="2"/>
    <n v="1"/>
    <m/>
    <n v="1"/>
    <n v="2"/>
    <n v="98"/>
    <m/>
    <n v="3"/>
    <n v="2"/>
    <n v="1"/>
    <x v="1"/>
    <n v="1947"/>
    <n v="1"/>
    <m/>
    <n v="6"/>
    <m/>
    <n v="4"/>
    <m/>
    <n v="1"/>
    <m/>
    <n v="2"/>
    <n v="1"/>
    <n v="66"/>
    <x v="3"/>
    <n v="2"/>
    <n v="3"/>
    <n v="2"/>
  </r>
  <r>
    <x v="1"/>
    <m/>
    <n v="1"/>
    <n v="1"/>
    <n v="1"/>
    <m/>
    <m/>
    <m/>
    <m/>
    <m/>
    <n v="2"/>
    <m/>
    <n v="1"/>
    <n v="2"/>
    <n v="1"/>
    <n v="2"/>
    <n v="1"/>
    <n v="2"/>
    <n v="2"/>
    <n v="1"/>
    <n v="2"/>
    <m/>
    <n v="3"/>
    <n v="7"/>
    <n v="1"/>
    <n v="1"/>
    <n v="2"/>
    <n v="2"/>
    <n v="2"/>
    <n v="3"/>
    <n v="3"/>
    <n v="2"/>
    <n v="3"/>
    <m/>
    <m/>
    <n v="2"/>
    <n v="1"/>
    <n v="1"/>
    <n v="1"/>
    <n v="2"/>
    <n v="2"/>
    <n v="2"/>
    <n v="2"/>
    <n v="4"/>
    <m/>
    <m/>
    <n v="2"/>
    <m/>
    <m/>
    <m/>
    <n v="5"/>
    <n v="4"/>
    <n v="3"/>
    <x v="2"/>
    <n v="1984"/>
    <n v="3"/>
    <m/>
    <n v="4"/>
    <m/>
    <n v="6"/>
    <m/>
    <n v="3"/>
    <m/>
    <n v="1"/>
    <n v="1"/>
    <n v="29"/>
    <x v="1"/>
    <n v="2"/>
    <n v="4"/>
    <n v="2"/>
  </r>
  <r>
    <x v="2"/>
    <n v="1"/>
    <m/>
    <n v="1"/>
    <m/>
    <m/>
    <n v="1"/>
    <n v="1"/>
    <m/>
    <m/>
    <n v="2"/>
    <m/>
    <n v="2"/>
    <n v="1"/>
    <n v="2"/>
    <n v="1"/>
    <n v="1"/>
    <n v="1"/>
    <n v="1"/>
    <n v="2"/>
    <n v="1"/>
    <n v="1"/>
    <n v="4"/>
    <n v="1"/>
    <n v="2"/>
    <n v="1"/>
    <n v="2"/>
    <n v="1"/>
    <n v="1"/>
    <n v="2"/>
    <n v="8"/>
    <n v="3"/>
    <n v="2"/>
    <m/>
    <m/>
    <n v="1"/>
    <n v="2"/>
    <n v="2"/>
    <n v="2"/>
    <n v="2"/>
    <n v="2"/>
    <n v="1"/>
    <n v="1"/>
    <n v="1"/>
    <n v="8"/>
    <m/>
    <n v="2"/>
    <m/>
    <m/>
    <m/>
    <n v="3"/>
    <n v="3"/>
    <n v="1"/>
    <x v="1"/>
    <n v="1989"/>
    <n v="2"/>
    <m/>
    <n v="7"/>
    <m/>
    <n v="4"/>
    <m/>
    <n v="2"/>
    <m/>
    <n v="2"/>
    <n v="1"/>
    <n v="24"/>
    <x v="1"/>
    <n v="2"/>
    <n v="2"/>
    <n v="2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4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7"/>
    <m/>
    <m/>
    <m/>
    <m/>
    <m/>
    <m/>
    <m/>
    <m/>
    <m/>
    <n v="1"/>
    <n v="26"/>
    <x v="1"/>
    <n v="2"/>
    <n v="4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3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1"/>
    <m/>
    <m/>
    <m/>
    <m/>
    <m/>
    <m/>
    <m/>
    <m/>
    <m/>
    <n v="1"/>
    <n v="32"/>
    <x v="1"/>
    <n v="2"/>
    <n v="4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70"/>
    <m/>
    <m/>
    <m/>
    <m/>
    <m/>
    <m/>
    <m/>
    <m/>
    <m/>
    <n v="1"/>
    <n v="43"/>
    <x v="2"/>
    <n v="2"/>
    <n v="4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2"/>
    <n v="4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</pivotCacheRecords>
</file>

<file path=xl/pivotCache/pivotCacheRecords38.xml><?xml version="1.0" encoding="utf-8"?>
<pivotCacheRecords xmlns="http://schemas.openxmlformats.org/spreadsheetml/2006/main" xmlns:r="http://schemas.openxmlformats.org/officeDocument/2006/relationships" count="632">
  <r>
    <x v="0"/>
    <s v="Lesquels ?"/>
    <s v="Veuillez répondre à chacun des énoncés suivants. Quand je me déplace dans mon quartier, j'apporte habituellement quelque chose pour assurer ma protection. "/>
    <s v="Veuillez répondre à chacun des énoncés suivants. Lorsque je suis dans mon quartier, je vérifie qu'aucun intrus ne se trouve à l'intérieur de ma voiture avant d'y monter."/>
    <s v="Veuillez répondre à chacun des énoncés suivants. À mon domicile, j'évite d'ouvrir la porte à des inconnus, pour des raisons de sécurité. "/>
    <s v="Veuillez répondre à chacun des énoncés suivants. Je garde les portes extérieures de mon domicile constamment verrouillées, même lorsque je suis chez moi. "/>
    <s v="Veuillez répondre à chacun des énoncés suivants. Spécialement par mesure de protection, il y a un chien à mon domicile. "/>
    <s v="Veuillez répondre à chacun des énoncés suivants. J'ai un système d'alarme que j'active régulièrement pour protéger mon domicile contre le vol."/>
    <s v="Veuillez répondre à chacun des énoncés suivants. Spécialement par mesure de protection, j'ai suivi un cours d'autodéfense. "/>
    <s v="Veuillez répondre à chacun des énoncés suivants. Spécialement par mesure de protection, il y a une arme à feu à mon domicile. "/>
    <s v="Est-ce qu'il y a à votre domicile au moins un détecteur de fumée fonctionnel par étage ? "/>
    <s v="Le bon fonctionnement de cet/ces appareil(s) a-t-il été vérifié, au cours des douze (12) derniers mois ?"/>
    <s v="Veuillez nous dire votre degré de satisfaction à l'égard : du déneigement et du déglaçage des rues et des trottoirs de votre quartier ? "/>
    <s v="Veuillez nous dire votre degré de satisfaction à l'égard :  de la propreté et de l'entretien des parcs et terrains de jeux de votre quartier ?"/>
    <s v="Veuillez nous dire votre degré de satisfaction à l'égard :  de la sécurité des équipements dans les parcs, aires de jeux ou centre récréatif ou sportif de votre quartier ? "/>
    <s v="Votre quartier est-il desservi par un service de police municipal, une régie intermunicipale ou par la Sûreté du Québec ?"/>
    <s v="Quel est votre niveau de satisfaction à l'égard de la présence des policiers dans votre quartier ?"/>
    <s v="Quel est votre niveau de satisfaction à l'égard du travail effectué par les policiers dans votre quartier ?"/>
    <s v="De façon plus spécifique, quel est votre niveau de satisfaction à l'égard du travail effectué par les policiers : auprès des jeunes de votre quartier"/>
    <s v="De façon plus spécifique, quel est votre niveau de satisfaction à l'égard du travail effectué par les policiers : pour assurer la sécurité routière dans votre quartier"/>
    <s v="De façon plus spécifique, quel est votre niveau de satisfaction à l'égard du travail effectué par les policiers : pour régler des problèmes de délinquance ou de désordres qui surviennent dans votre quartier"/>
    <s v="Au cours des deux dernières années, combien de fois avez-vous fait appel au service de police qui dessert votre quartier ?"/>
    <s v="En vous référant à l'événement le plus récent, quel est votre niveau de satisfaction à l'égard de la réponse que vous avez reçue ?"/>
    <s v="Pourquoi ? Peu"/>
    <s v="Pourquoi ? Pas"/>
    <s v="Au cours des deux dernières années, vous êtes vous IMPLIQUÉ SUR UNE BASE RÉGULIÈRE dans les activités suivantes de votre quartier : Dans un comité ou un organisme préoccupé par les problèmes de sécurité de votre quartier ?"/>
    <s v="Au cours des deux dernières années, vous êtes vous IMPLIQUÉ SUR UNE BASE RÉGULIÈRE dans les activités suivantes de votre quartier : Dans des assemblées du conseil municipal ?"/>
    <s v="Au cours des deux dernières années, vous êtes vous IMPLIQUÉ SUR UNE BASE RÉGULIÈRE dans les activités suivantes de votre quartier : Dans un conseil de quartier ou d'arrondissement ?"/>
    <s v="Au cours des deux dernières années, vous êtes vous IMPLIQUÉ SUR UNE BASE RÉGULIÈRE dans les activités suivantes de votre quartier : Dans un comité de citoyens ?"/>
    <s v="Au cours des deux dernières années, vous êtes vous IMPLIQUÉ SUR UNE BASE RÉGULIÈRE dans les activités suivantes de votre quartier : Dans des activités communautaires, d'entraide ou de bénévolat (cuisine communautaire, bazar)"/>
    <s v="Au cours des deux dernières années, vous êtes vous IMPLIQUÉ SUR UNE BASE RÉGULIÈRE dans les activités suivantes de votre quartier : Dans des activités sociales, culturelles ou sportives organisées par les gens de votre quartier ou de votre municipalité ?"/>
    <s v="Au cours des deux dernières années, avez-vous été victime de vol, de vandalisme ou de tout autre crime contre vos biens, chez vous ou dans votre quartier ?"/>
    <s v="Au cours des deux dernières années, avez-vous été victime d'une agression, d'intimidation ou de tout autre acte de violence, chez vous ou dans votre quartier ?"/>
    <s v="Au cours des deux dernières années avez-vous été victime dans votre quartier d'une quelconque forme de discrimination ?"/>
    <s v="À votre avis, le motif de cette discrimination était lié …"/>
    <s v="Autre, précisez :"/>
    <s v="Au cours des deux dernières années, avez-vous subi un accident qui vous a occasionné une blessure pour laquelle vous avez dû consulter un professionnel de la santé ou limiter vos activités ?"/>
    <s v="Combien de fois cela s'est-il produit ?"/>
    <s v="En se référant au dernier événement, était-ce … ?"/>
    <s v="Autre, précisez :"/>
    <s v="Maintenant, comparativement à d'autres personnes de votre âge, dirirez-vous que votre santé est en général …"/>
    <s v="Dans quel quartier habitez-vous ?"/>
    <s v="Combien de personne de moins de 18 ans habitent dans votre foyer ?"/>
    <x v="0"/>
    <s v="Quelle est votre année de naissance ?"/>
    <s v="Êtes-vous propriétaire ou locataire du logement que vous habitez ?"/>
    <s v="Autre, précisez : "/>
    <s v="Habitez-vous dans …"/>
    <s v="Autre, précisez : "/>
    <s v="Quel est votre état civil ?"/>
    <s v="Autre, précisez : "/>
    <s v="Où est situé votre lieu de travail habituel ?"/>
    <s v="Autre, précisez : "/>
    <s v="Quel est le plus haut niveau de scolarité que vous avez complété ?"/>
    <m/>
    <m/>
    <x v="0"/>
    <m/>
    <m/>
    <m/>
  </r>
  <r>
    <x v="1"/>
    <m/>
    <n v="2"/>
    <n v="2"/>
    <n v="1"/>
    <n v="1"/>
    <n v="1"/>
    <n v="2"/>
    <n v="1"/>
    <n v="2"/>
    <n v="2"/>
    <m/>
    <n v="1"/>
    <n v="7"/>
    <n v="4"/>
    <n v="8"/>
    <n v="1"/>
    <n v="4"/>
    <n v="8"/>
    <n v="2"/>
    <n v="2"/>
    <n v="1"/>
    <m/>
    <m/>
    <m/>
    <n v="1"/>
    <n v="2"/>
    <n v="1"/>
    <n v="2"/>
    <n v="2"/>
    <n v="1"/>
    <n v="1"/>
    <n v="2"/>
    <n v="1"/>
    <n v="2"/>
    <m/>
    <n v="1"/>
    <n v="4"/>
    <n v="5"/>
    <m/>
    <n v="2"/>
    <n v="4"/>
    <n v="5"/>
    <x v="1"/>
    <n v="1981"/>
    <n v="2"/>
    <m/>
    <n v="7"/>
    <m/>
    <n v="1"/>
    <m/>
    <n v="1"/>
    <m/>
    <n v="4"/>
    <n v="1"/>
    <n v="32"/>
    <x v="1"/>
    <n v="1"/>
    <n v="1"/>
    <n v="1"/>
  </r>
  <r>
    <x v="2"/>
    <m/>
    <n v="1"/>
    <n v="1"/>
    <n v="2"/>
    <n v="1"/>
    <n v="1"/>
    <n v="1"/>
    <n v="1"/>
    <n v="1"/>
    <n v="1"/>
    <n v="1"/>
    <n v="2"/>
    <n v="4"/>
    <n v="1"/>
    <n v="1"/>
    <n v="4"/>
    <n v="8"/>
    <n v="1"/>
    <n v="4"/>
    <n v="1"/>
    <n v="2"/>
    <n v="1"/>
    <m/>
    <m/>
    <n v="2"/>
    <n v="1"/>
    <n v="1"/>
    <n v="2"/>
    <n v="2"/>
    <n v="1"/>
    <n v="2"/>
    <n v="1"/>
    <n v="2"/>
    <n v="1"/>
    <m/>
    <n v="2"/>
    <m/>
    <m/>
    <m/>
    <n v="4"/>
    <n v="1"/>
    <n v="2"/>
    <x v="2"/>
    <n v="1970"/>
    <n v="1"/>
    <m/>
    <n v="5"/>
    <m/>
    <n v="2"/>
    <m/>
    <n v="2"/>
    <m/>
    <n v="1"/>
    <n v="1"/>
    <n v="43"/>
    <x v="2"/>
    <n v="2"/>
    <n v="3"/>
    <n v="2"/>
  </r>
  <r>
    <x v="2"/>
    <m/>
    <n v="1"/>
    <n v="1"/>
    <n v="2"/>
    <n v="1"/>
    <n v="1"/>
    <n v="1"/>
    <n v="2"/>
    <n v="1"/>
    <n v="1"/>
    <n v="2"/>
    <n v="3"/>
    <n v="1"/>
    <n v="2"/>
    <n v="3"/>
    <n v="2"/>
    <n v="1"/>
    <n v="2"/>
    <n v="3"/>
    <n v="4"/>
    <n v="3"/>
    <n v="3"/>
    <m/>
    <m/>
    <n v="2"/>
    <n v="1"/>
    <n v="2"/>
    <n v="2"/>
    <n v="2"/>
    <n v="2"/>
    <n v="2"/>
    <n v="1"/>
    <n v="3"/>
    <n v="3"/>
    <m/>
    <n v="1"/>
    <n v="2"/>
    <n v="8"/>
    <m/>
    <n v="5"/>
    <n v="4"/>
    <n v="4"/>
    <x v="2"/>
    <n v="1990"/>
    <n v="3"/>
    <m/>
    <n v="4"/>
    <m/>
    <n v="4"/>
    <m/>
    <n v="3"/>
    <m/>
    <n v="2"/>
    <n v="1"/>
    <n v="23"/>
    <x v="1"/>
    <n v="2"/>
    <n v="4"/>
    <n v="2"/>
  </r>
  <r>
    <x v="2"/>
    <m/>
    <n v="1"/>
    <n v="1"/>
    <n v="2"/>
    <n v="2"/>
    <n v="1"/>
    <n v="2"/>
    <n v="2"/>
    <n v="1"/>
    <n v="1"/>
    <n v="1"/>
    <n v="4"/>
    <n v="3"/>
    <n v="3"/>
    <n v="2"/>
    <n v="3"/>
    <n v="1"/>
    <n v="3"/>
    <n v="2"/>
    <n v="2"/>
    <n v="4"/>
    <n v="2"/>
    <m/>
    <m/>
    <n v="2"/>
    <n v="1"/>
    <n v="2"/>
    <n v="2"/>
    <n v="1"/>
    <n v="2"/>
    <n v="2"/>
    <n v="2"/>
    <n v="4"/>
    <m/>
    <m/>
    <n v="1"/>
    <n v="2"/>
    <n v="7"/>
    <m/>
    <n v="1"/>
    <n v="2"/>
    <n v="1"/>
    <x v="2"/>
    <n v="1983"/>
    <n v="1"/>
    <m/>
    <n v="1"/>
    <m/>
    <n v="1"/>
    <m/>
    <n v="4"/>
    <m/>
    <n v="3"/>
    <n v="1"/>
    <n v="30"/>
    <x v="1"/>
    <n v="2"/>
    <n v="3"/>
    <n v="2"/>
  </r>
  <r>
    <x v="2"/>
    <m/>
    <n v="1"/>
    <n v="1"/>
    <n v="1"/>
    <n v="2"/>
    <n v="2"/>
    <n v="2"/>
    <n v="1"/>
    <n v="2"/>
    <n v="2"/>
    <m/>
    <n v="7"/>
    <n v="3"/>
    <n v="3"/>
    <n v="1"/>
    <n v="2"/>
    <n v="3"/>
    <n v="2"/>
    <n v="1"/>
    <n v="3"/>
    <n v="2"/>
    <n v="4"/>
    <m/>
    <m/>
    <n v="1"/>
    <n v="2"/>
    <n v="2"/>
    <n v="1"/>
    <n v="1"/>
    <n v="2"/>
    <n v="2"/>
    <n v="1"/>
    <n v="1"/>
    <n v="6"/>
    <m/>
    <n v="2"/>
    <m/>
    <m/>
    <m/>
    <n v="3"/>
    <n v="3"/>
    <m/>
    <x v="2"/>
    <n v="1967"/>
    <n v="1"/>
    <m/>
    <n v="2"/>
    <m/>
    <n v="3"/>
    <m/>
    <n v="4"/>
    <m/>
    <n v="2"/>
    <n v="1"/>
    <n v="46"/>
    <x v="2"/>
    <n v="3"/>
    <n v="5"/>
    <n v="3"/>
  </r>
  <r>
    <x v="2"/>
    <m/>
    <n v="1"/>
    <n v="1"/>
    <n v="1"/>
    <n v="2"/>
    <n v="2"/>
    <n v="1"/>
    <n v="1"/>
    <n v="2"/>
    <n v="1"/>
    <n v="1"/>
    <n v="4"/>
    <n v="2"/>
    <n v="2"/>
    <n v="2"/>
    <n v="3"/>
    <n v="2"/>
    <n v="4"/>
    <n v="4"/>
    <n v="2"/>
    <n v="1"/>
    <m/>
    <m/>
    <m/>
    <n v="1"/>
    <n v="2"/>
    <n v="1"/>
    <n v="1"/>
    <n v="2"/>
    <n v="1"/>
    <n v="1"/>
    <n v="2"/>
    <n v="4"/>
    <m/>
    <m/>
    <n v="2"/>
    <m/>
    <m/>
    <m/>
    <n v="2"/>
    <n v="2"/>
    <n v="1"/>
    <x v="2"/>
    <n v="1962"/>
    <n v="2"/>
    <m/>
    <n v="3"/>
    <m/>
    <n v="3"/>
    <m/>
    <n v="1"/>
    <m/>
    <n v="1"/>
    <n v="1"/>
    <n v="51"/>
    <x v="2"/>
    <n v="2"/>
    <n v="2"/>
    <n v="2"/>
  </r>
  <r>
    <x v="2"/>
    <m/>
    <n v="2"/>
    <n v="2"/>
    <n v="1"/>
    <n v="2"/>
    <n v="2"/>
    <n v="1"/>
    <n v="2"/>
    <n v="2"/>
    <n v="2"/>
    <m/>
    <n v="2"/>
    <n v="1"/>
    <n v="1"/>
    <n v="1"/>
    <n v="3"/>
    <n v="3"/>
    <n v="1"/>
    <n v="8"/>
    <n v="1"/>
    <n v="3"/>
    <n v="2"/>
    <m/>
    <m/>
    <n v="1"/>
    <n v="2"/>
    <n v="1"/>
    <n v="1"/>
    <n v="1"/>
    <n v="1"/>
    <n v="1"/>
    <n v="1"/>
    <n v="1"/>
    <n v="7"/>
    <m/>
    <n v="1"/>
    <n v="2"/>
    <n v="6"/>
    <m/>
    <n v="1"/>
    <n v="3"/>
    <n v="3"/>
    <x v="2"/>
    <n v="1994"/>
    <n v="3"/>
    <m/>
    <n v="3"/>
    <m/>
    <n v="2"/>
    <m/>
    <n v="2"/>
    <m/>
    <n v="4"/>
    <n v="1"/>
    <n v="19"/>
    <x v="1"/>
    <n v="2"/>
    <n v="4"/>
    <n v="2"/>
  </r>
  <r>
    <x v="1"/>
    <m/>
    <n v="2"/>
    <n v="2"/>
    <n v="1"/>
    <n v="2"/>
    <n v="2"/>
    <n v="2"/>
    <n v="1"/>
    <n v="2"/>
    <n v="1"/>
    <n v="2"/>
    <n v="3"/>
    <n v="1"/>
    <n v="2"/>
    <n v="3"/>
    <n v="4"/>
    <n v="2"/>
    <n v="3"/>
    <n v="8"/>
    <n v="4"/>
    <n v="2"/>
    <n v="1"/>
    <m/>
    <m/>
    <n v="1"/>
    <n v="1"/>
    <n v="1"/>
    <n v="1"/>
    <n v="1"/>
    <n v="1"/>
    <n v="1"/>
    <n v="2"/>
    <n v="3"/>
    <n v="2"/>
    <m/>
    <n v="2"/>
    <m/>
    <m/>
    <m/>
    <n v="3"/>
    <n v="2"/>
    <n v="2"/>
    <x v="1"/>
    <n v="1983"/>
    <n v="2"/>
    <m/>
    <n v="2"/>
    <m/>
    <n v="1"/>
    <m/>
    <n v="3"/>
    <m/>
    <n v="1"/>
    <n v="1"/>
    <n v="30"/>
    <x v="1"/>
    <n v="2"/>
    <n v="4"/>
    <n v="2"/>
  </r>
  <r>
    <x v="1"/>
    <m/>
    <n v="2"/>
    <n v="2"/>
    <n v="1"/>
    <n v="2"/>
    <n v="2"/>
    <n v="1"/>
    <n v="2"/>
    <n v="2"/>
    <n v="2"/>
    <m/>
    <n v="1"/>
    <n v="4"/>
    <n v="3"/>
    <n v="2"/>
    <n v="1"/>
    <n v="3"/>
    <n v="2"/>
    <n v="8"/>
    <n v="2"/>
    <n v="1"/>
    <m/>
    <m/>
    <m/>
    <n v="2"/>
    <n v="1"/>
    <n v="2"/>
    <n v="2"/>
    <n v="1"/>
    <n v="2"/>
    <n v="1"/>
    <n v="1"/>
    <n v="2"/>
    <n v="2"/>
    <m/>
    <n v="1"/>
    <n v="1"/>
    <n v="1"/>
    <m/>
    <n v="8"/>
    <n v="3"/>
    <n v="5"/>
    <x v="1"/>
    <n v="1975"/>
    <n v="3"/>
    <m/>
    <n v="2"/>
    <m/>
    <n v="4"/>
    <m/>
    <n v="2"/>
    <m/>
    <n v="3"/>
    <n v="1"/>
    <n v="38"/>
    <x v="1"/>
    <n v="2"/>
    <n v="2"/>
    <n v="1"/>
  </r>
  <r>
    <x v="1"/>
    <m/>
    <n v="2"/>
    <n v="2"/>
    <n v="1"/>
    <n v="1"/>
    <n v="2"/>
    <n v="2"/>
    <n v="2"/>
    <n v="2"/>
    <n v="2"/>
    <m/>
    <n v="2"/>
    <n v="1"/>
    <n v="4"/>
    <n v="2"/>
    <n v="2"/>
    <n v="2"/>
    <n v="1"/>
    <n v="8"/>
    <n v="3"/>
    <n v="3"/>
    <n v="3"/>
    <m/>
    <m/>
    <n v="2"/>
    <n v="2"/>
    <n v="2"/>
    <n v="2"/>
    <n v="2"/>
    <n v="2"/>
    <n v="1"/>
    <n v="1"/>
    <n v="2"/>
    <n v="3"/>
    <m/>
    <n v="1"/>
    <n v="2"/>
    <n v="5"/>
    <m/>
    <n v="2"/>
    <n v="2"/>
    <n v="5"/>
    <x v="1"/>
    <n v="1979"/>
    <n v="3"/>
    <m/>
    <n v="1"/>
    <m/>
    <n v="1"/>
    <m/>
    <n v="1"/>
    <m/>
    <n v="2"/>
    <n v="1"/>
    <n v="34"/>
    <x v="1"/>
    <n v="1"/>
    <n v="1"/>
    <n v="1"/>
  </r>
  <r>
    <x v="1"/>
    <m/>
    <n v="2"/>
    <n v="2"/>
    <n v="2"/>
    <n v="1"/>
    <n v="2"/>
    <n v="1"/>
    <n v="1"/>
    <n v="1"/>
    <n v="2"/>
    <m/>
    <n v="3"/>
    <n v="2"/>
    <n v="1"/>
    <n v="2"/>
    <n v="4"/>
    <n v="4"/>
    <n v="4"/>
    <n v="3"/>
    <n v="8"/>
    <n v="1"/>
    <m/>
    <m/>
    <m/>
    <n v="2"/>
    <n v="2"/>
    <n v="2"/>
    <n v="2"/>
    <n v="2"/>
    <n v="2"/>
    <n v="2"/>
    <n v="2"/>
    <n v="3"/>
    <n v="5"/>
    <m/>
    <n v="2"/>
    <m/>
    <m/>
    <m/>
    <n v="1"/>
    <n v="1"/>
    <n v="5"/>
    <x v="1"/>
    <n v="1957"/>
    <n v="3"/>
    <m/>
    <n v="1"/>
    <m/>
    <n v="3"/>
    <m/>
    <n v="4"/>
    <m/>
    <n v="3"/>
    <n v="1"/>
    <n v="56"/>
    <x v="2"/>
    <n v="1"/>
    <n v="1"/>
    <n v="1"/>
  </r>
  <r>
    <x v="1"/>
    <m/>
    <n v="1"/>
    <n v="2"/>
    <n v="1"/>
    <n v="1"/>
    <n v="1"/>
    <n v="2"/>
    <n v="2"/>
    <n v="1"/>
    <n v="1"/>
    <n v="2"/>
    <n v="1"/>
    <n v="3"/>
    <n v="7"/>
    <n v="3"/>
    <n v="1"/>
    <n v="2"/>
    <n v="2"/>
    <n v="2"/>
    <n v="2"/>
    <n v="4"/>
    <n v="4"/>
    <m/>
    <m/>
    <n v="1"/>
    <n v="1"/>
    <n v="1"/>
    <n v="2"/>
    <n v="2"/>
    <n v="1"/>
    <n v="2"/>
    <n v="2"/>
    <n v="3"/>
    <n v="98"/>
    <m/>
    <n v="1"/>
    <n v="4"/>
    <n v="4"/>
    <m/>
    <n v="2"/>
    <n v="3"/>
    <m/>
    <x v="2"/>
    <n v="1946"/>
    <n v="2"/>
    <m/>
    <n v="5"/>
    <m/>
    <n v="2"/>
    <m/>
    <n v="2"/>
    <m/>
    <n v="2"/>
    <n v="1"/>
    <n v="67"/>
    <x v="3"/>
    <n v="2"/>
    <n v="4"/>
    <n v="3"/>
  </r>
  <r>
    <x v="1"/>
    <m/>
    <n v="1"/>
    <n v="2"/>
    <n v="2"/>
    <n v="2"/>
    <n v="1"/>
    <n v="1"/>
    <n v="1"/>
    <n v="1"/>
    <n v="2"/>
    <m/>
    <n v="2"/>
    <n v="1"/>
    <n v="4"/>
    <n v="3"/>
    <n v="3"/>
    <n v="3"/>
    <n v="3"/>
    <n v="1"/>
    <n v="1"/>
    <n v="1"/>
    <m/>
    <m/>
    <m/>
    <n v="1"/>
    <n v="2"/>
    <n v="1"/>
    <n v="1"/>
    <n v="1"/>
    <n v="1"/>
    <n v="1"/>
    <n v="1"/>
    <n v="2"/>
    <n v="1"/>
    <m/>
    <n v="1"/>
    <n v="2"/>
    <n v="98"/>
    <m/>
    <n v="3"/>
    <n v="2"/>
    <n v="1"/>
    <x v="1"/>
    <n v="1947"/>
    <n v="1"/>
    <m/>
    <n v="6"/>
    <m/>
    <n v="4"/>
    <m/>
    <n v="1"/>
    <m/>
    <n v="2"/>
    <n v="1"/>
    <n v="66"/>
    <x v="3"/>
    <n v="2"/>
    <n v="3"/>
    <n v="2"/>
  </r>
  <r>
    <x v="2"/>
    <m/>
    <n v="1"/>
    <n v="2"/>
    <n v="1"/>
    <n v="2"/>
    <n v="1"/>
    <n v="2"/>
    <n v="2"/>
    <n v="1"/>
    <n v="2"/>
    <m/>
    <n v="3"/>
    <n v="7"/>
    <n v="1"/>
    <n v="1"/>
    <n v="2"/>
    <n v="2"/>
    <n v="2"/>
    <n v="3"/>
    <n v="3"/>
    <n v="2"/>
    <n v="3"/>
    <m/>
    <m/>
    <n v="2"/>
    <n v="1"/>
    <n v="1"/>
    <n v="1"/>
    <n v="2"/>
    <n v="2"/>
    <n v="2"/>
    <n v="2"/>
    <n v="4"/>
    <m/>
    <m/>
    <n v="2"/>
    <m/>
    <m/>
    <m/>
    <n v="5"/>
    <n v="4"/>
    <n v="3"/>
    <x v="2"/>
    <n v="1984"/>
    <n v="3"/>
    <m/>
    <n v="4"/>
    <m/>
    <n v="6"/>
    <m/>
    <n v="3"/>
    <m/>
    <n v="1"/>
    <n v="1"/>
    <n v="29"/>
    <x v="1"/>
    <n v="2"/>
    <n v="4"/>
    <n v="2"/>
  </r>
  <r>
    <x v="2"/>
    <m/>
    <n v="2"/>
    <n v="1"/>
    <n v="2"/>
    <n v="1"/>
    <n v="1"/>
    <n v="1"/>
    <n v="1"/>
    <n v="2"/>
    <n v="1"/>
    <n v="1"/>
    <n v="4"/>
    <n v="1"/>
    <n v="2"/>
    <n v="1"/>
    <n v="2"/>
    <n v="1"/>
    <n v="1"/>
    <n v="2"/>
    <n v="8"/>
    <n v="3"/>
    <n v="2"/>
    <m/>
    <m/>
    <n v="1"/>
    <n v="2"/>
    <n v="2"/>
    <n v="2"/>
    <n v="2"/>
    <n v="2"/>
    <n v="1"/>
    <n v="1"/>
    <n v="1"/>
    <n v="8"/>
    <m/>
    <n v="2"/>
    <m/>
    <m/>
    <m/>
    <n v="3"/>
    <n v="3"/>
    <n v="1"/>
    <x v="1"/>
    <n v="1989"/>
    <n v="2"/>
    <m/>
    <n v="7"/>
    <m/>
    <n v="4"/>
    <m/>
    <n v="2"/>
    <m/>
    <n v="2"/>
    <n v="1"/>
    <n v="24"/>
    <x v="1"/>
    <n v="2"/>
    <n v="2"/>
    <n v="2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4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7"/>
    <m/>
    <m/>
    <m/>
    <m/>
    <m/>
    <m/>
    <m/>
    <m/>
    <m/>
    <n v="1"/>
    <n v="26"/>
    <x v="1"/>
    <n v="2"/>
    <n v="4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3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1"/>
    <m/>
    <m/>
    <m/>
    <m/>
    <m/>
    <m/>
    <m/>
    <m/>
    <m/>
    <n v="1"/>
    <n v="32"/>
    <x v="1"/>
    <n v="2"/>
    <n v="4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70"/>
    <m/>
    <m/>
    <m/>
    <m/>
    <m/>
    <m/>
    <m/>
    <m/>
    <m/>
    <n v="1"/>
    <n v="43"/>
    <x v="2"/>
    <n v="2"/>
    <n v="4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2"/>
    <n v="4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</pivotCacheRecords>
</file>

<file path=xl/pivotCache/pivotCacheRecords39.xml><?xml version="1.0" encoding="utf-8"?>
<pivotCacheRecords xmlns="http://schemas.openxmlformats.org/spreadsheetml/2006/main" xmlns:r="http://schemas.openxmlformats.org/officeDocument/2006/relationships" count="632">
  <r>
    <x v="0"/>
    <s v="Veuillez répondre à chacun des énoncés suivants. Lorsque je suis dans mon quartier, je vérifie qu'aucun intrus ne se trouve à l'intérieur de ma voiture avant d'y monter."/>
    <s v="Veuillez répondre à chacun des énoncés suivants. À mon domicile, j'évite d'ouvrir la porte à des inconnus, pour des raisons de sécurité. "/>
    <s v="Veuillez répondre à chacun des énoncés suivants. Je garde les portes extérieures de mon domicile constamment verrouillées, même lorsque je suis chez moi. "/>
    <s v="Veuillez répondre à chacun des énoncés suivants. Spécialement par mesure de protection, il y a un chien à mon domicile. "/>
    <s v="Veuillez répondre à chacun des énoncés suivants. J'ai un système d'alarme que j'active régulièrement pour protéger mon domicile contre le vol."/>
    <s v="Veuillez répondre à chacun des énoncés suivants. Spécialement par mesure de protection, j'ai suivi un cours d'autodéfense. "/>
    <s v="Veuillez répondre à chacun des énoncés suivants. Spécialement par mesure de protection, il y a une arme à feu à mon domicile. "/>
    <s v="Est-ce qu'il y a à votre domicile au moins un détecteur de fumée fonctionnel par étage ? "/>
    <s v="Le bon fonctionnement de cet/ces appareil(s) a-t-il été vérifié, au cours des douze (12) derniers mois ?"/>
    <s v="Veuillez nous dire votre degré de satisfaction à l'égard : du déneigement et du déglaçage des rues et des trottoirs de votre quartier ? "/>
    <s v="Veuillez nous dire votre degré de satisfaction à l'égard :  de la propreté et de l'entretien des parcs et terrains de jeux de votre quartier ?"/>
    <s v="Veuillez nous dire votre degré de satisfaction à l'égard :  de la sécurité des équipements dans les parcs, aires de jeux ou centre récréatif ou sportif de votre quartier ? "/>
    <s v="Votre quartier est-il desservi par un service de police municipal, une régie intermunicipale ou par la Sûreté du Québec ?"/>
    <s v="Quel est votre niveau de satisfaction à l'égard de la présence des policiers dans votre quartier ?"/>
    <s v="Quel est votre niveau de satisfaction à l'égard du travail effectué par les policiers dans votre quartier ?"/>
    <s v="De façon plus spécifique, quel est votre niveau de satisfaction à l'égard du travail effectué par les policiers : auprès des jeunes de votre quartier"/>
    <s v="De façon plus spécifique, quel est votre niveau de satisfaction à l'égard du travail effectué par les policiers : pour assurer la sécurité routière dans votre quartier"/>
    <s v="De façon plus spécifique, quel est votre niveau de satisfaction à l'égard du travail effectué par les policiers : pour régler des problèmes de délinquance ou de désordres qui surviennent dans votre quartier"/>
    <s v="Au cours des deux dernières années, combien de fois avez-vous fait appel au service de police qui dessert votre quartier ?"/>
    <s v="En vous référant à l'événement le plus récent, quel est votre niveau de satisfaction à l'égard de la réponse que vous avez reçue ?"/>
    <s v="Pourquoi ? Peu"/>
    <s v="Pourquoi ? Pas"/>
    <s v="Au cours des deux dernières années, vous êtes vous IMPLIQUÉ SUR UNE BASE RÉGULIÈRE dans les activités suivantes de votre quartier : Dans un comité ou un organisme préoccupé par les problèmes de sécurité de votre quartier ?"/>
    <s v="Au cours des deux dernières années, vous êtes vous IMPLIQUÉ SUR UNE BASE RÉGULIÈRE dans les activités suivantes de votre quartier : Dans des assemblées du conseil municipal ?"/>
    <s v="Au cours des deux dernières années, vous êtes vous IMPLIQUÉ SUR UNE BASE RÉGULIÈRE dans les activités suivantes de votre quartier : Dans un conseil de quartier ou d'arrondissement ?"/>
    <s v="Au cours des deux dernières années, vous êtes vous IMPLIQUÉ SUR UNE BASE RÉGULIÈRE dans les activités suivantes de votre quartier : Dans un comité de citoyens ?"/>
    <s v="Au cours des deux dernières années, vous êtes vous IMPLIQUÉ SUR UNE BASE RÉGULIÈRE dans les activités suivantes de votre quartier : Dans des activités communautaires, d'entraide ou de bénévolat (cuisine communautaire, bazar)"/>
    <s v="Au cours des deux dernières années, vous êtes vous IMPLIQUÉ SUR UNE BASE RÉGULIÈRE dans les activités suivantes de votre quartier : Dans des activités sociales, culturelles ou sportives organisées par les gens de votre quartier ou de votre municipalité ?"/>
    <s v="Au cours des deux dernières années, avez-vous été victime de vol, de vandalisme ou de tout autre crime contre vos biens, chez vous ou dans votre quartier ?"/>
    <s v="Au cours des deux dernières années, avez-vous été victime d'une agression, d'intimidation ou de tout autre acte de violence, chez vous ou dans votre quartier ?"/>
    <s v="Au cours des deux dernières années avez-vous été victime dans votre quartier d'une quelconque forme de discrimination ?"/>
    <s v="À votre avis, le motif de cette discrimination était lié …"/>
    <s v="Autre, précisez :"/>
    <s v="Au cours des deux dernières années, avez-vous subi un accident qui vous a occasionné une blessure pour laquelle vous avez dû consulter un professionnel de la santé ou limiter vos activités ?"/>
    <s v="Combien de fois cela s'est-il produit ?"/>
    <s v="En se référant au dernier événement, était-ce … ?"/>
    <s v="Autre, précisez :"/>
    <s v="Maintenant, comparativement à d'autres personnes de votre âge, dirirez-vous que votre santé est en général …"/>
    <s v="Dans quel quartier habitez-vous ?"/>
    <s v="Combien de personne de moins de 18 ans habitent dans votre foyer ?"/>
    <x v="0"/>
    <s v="Quelle est votre année de naissance ?"/>
    <s v="Êtes-vous propriétaire ou locataire du logement que vous habitez ?"/>
    <s v="Autre, précisez : "/>
    <s v="Habitez-vous dans …"/>
    <s v="Autre, précisez : "/>
    <s v="Quel est votre état civil ?"/>
    <s v="Autre, précisez : "/>
    <s v="Où est situé votre lieu de travail habituel ?"/>
    <s v="Autre, précisez : "/>
    <s v="Quel est le plus haut niveau de scolarité que vous avez complété ?"/>
    <m/>
    <m/>
    <x v="0"/>
    <m/>
    <m/>
    <m/>
  </r>
  <r>
    <x v="1"/>
    <n v="2"/>
    <n v="1"/>
    <n v="1"/>
    <n v="1"/>
    <n v="2"/>
    <n v="1"/>
    <n v="2"/>
    <n v="2"/>
    <m/>
    <n v="1"/>
    <n v="7"/>
    <n v="4"/>
    <n v="8"/>
    <n v="1"/>
    <n v="4"/>
    <n v="8"/>
    <n v="2"/>
    <n v="2"/>
    <n v="1"/>
    <m/>
    <m/>
    <m/>
    <n v="1"/>
    <n v="2"/>
    <n v="1"/>
    <n v="2"/>
    <n v="2"/>
    <n v="1"/>
    <n v="1"/>
    <n v="2"/>
    <n v="1"/>
    <n v="2"/>
    <m/>
    <n v="1"/>
    <n v="4"/>
    <n v="5"/>
    <m/>
    <n v="2"/>
    <n v="4"/>
    <n v="5"/>
    <x v="1"/>
    <n v="1981"/>
    <n v="2"/>
    <m/>
    <n v="7"/>
    <m/>
    <n v="1"/>
    <m/>
    <n v="1"/>
    <m/>
    <n v="4"/>
    <n v="1"/>
    <n v="32"/>
    <x v="1"/>
    <n v="1"/>
    <n v="1"/>
    <n v="1"/>
  </r>
  <r>
    <x v="2"/>
    <n v="1"/>
    <n v="2"/>
    <n v="1"/>
    <n v="1"/>
    <n v="1"/>
    <n v="1"/>
    <n v="1"/>
    <n v="1"/>
    <n v="1"/>
    <n v="2"/>
    <n v="4"/>
    <n v="1"/>
    <n v="1"/>
    <n v="4"/>
    <n v="8"/>
    <n v="1"/>
    <n v="4"/>
    <n v="1"/>
    <n v="2"/>
    <n v="1"/>
    <m/>
    <m/>
    <n v="2"/>
    <n v="1"/>
    <n v="1"/>
    <n v="2"/>
    <n v="2"/>
    <n v="1"/>
    <n v="2"/>
    <n v="1"/>
    <n v="2"/>
    <n v="1"/>
    <m/>
    <n v="2"/>
    <m/>
    <m/>
    <m/>
    <n v="4"/>
    <n v="1"/>
    <n v="2"/>
    <x v="2"/>
    <n v="1970"/>
    <n v="1"/>
    <m/>
    <n v="5"/>
    <m/>
    <n v="2"/>
    <m/>
    <n v="2"/>
    <m/>
    <n v="1"/>
    <n v="1"/>
    <n v="43"/>
    <x v="2"/>
    <n v="2"/>
    <n v="3"/>
    <n v="2"/>
  </r>
  <r>
    <x v="2"/>
    <n v="1"/>
    <n v="2"/>
    <n v="1"/>
    <n v="1"/>
    <n v="1"/>
    <n v="2"/>
    <n v="1"/>
    <n v="1"/>
    <n v="2"/>
    <n v="3"/>
    <n v="1"/>
    <n v="2"/>
    <n v="3"/>
    <n v="2"/>
    <n v="1"/>
    <n v="2"/>
    <n v="3"/>
    <n v="4"/>
    <n v="3"/>
    <n v="3"/>
    <m/>
    <m/>
    <n v="2"/>
    <n v="1"/>
    <n v="2"/>
    <n v="2"/>
    <n v="2"/>
    <n v="2"/>
    <n v="2"/>
    <n v="1"/>
    <n v="3"/>
    <n v="3"/>
    <m/>
    <n v="1"/>
    <n v="2"/>
    <n v="8"/>
    <m/>
    <n v="5"/>
    <n v="4"/>
    <n v="4"/>
    <x v="2"/>
    <n v="1990"/>
    <n v="3"/>
    <m/>
    <n v="4"/>
    <m/>
    <n v="4"/>
    <m/>
    <n v="3"/>
    <m/>
    <n v="2"/>
    <n v="1"/>
    <n v="23"/>
    <x v="1"/>
    <n v="2"/>
    <n v="4"/>
    <n v="2"/>
  </r>
  <r>
    <x v="2"/>
    <n v="1"/>
    <n v="2"/>
    <n v="2"/>
    <n v="1"/>
    <n v="2"/>
    <n v="2"/>
    <n v="1"/>
    <n v="1"/>
    <n v="1"/>
    <n v="4"/>
    <n v="3"/>
    <n v="3"/>
    <n v="2"/>
    <n v="3"/>
    <n v="1"/>
    <n v="3"/>
    <n v="2"/>
    <n v="2"/>
    <n v="4"/>
    <n v="2"/>
    <m/>
    <m/>
    <n v="2"/>
    <n v="1"/>
    <n v="2"/>
    <n v="2"/>
    <n v="1"/>
    <n v="2"/>
    <n v="2"/>
    <n v="2"/>
    <n v="4"/>
    <m/>
    <m/>
    <n v="1"/>
    <n v="2"/>
    <n v="7"/>
    <m/>
    <n v="1"/>
    <n v="2"/>
    <n v="1"/>
    <x v="2"/>
    <n v="1983"/>
    <n v="1"/>
    <m/>
    <n v="1"/>
    <m/>
    <n v="1"/>
    <m/>
    <n v="4"/>
    <m/>
    <n v="3"/>
    <n v="1"/>
    <n v="30"/>
    <x v="1"/>
    <n v="2"/>
    <n v="3"/>
    <n v="2"/>
  </r>
  <r>
    <x v="2"/>
    <n v="1"/>
    <n v="1"/>
    <n v="2"/>
    <n v="2"/>
    <n v="2"/>
    <n v="1"/>
    <n v="2"/>
    <n v="2"/>
    <m/>
    <n v="7"/>
    <n v="3"/>
    <n v="3"/>
    <n v="1"/>
    <n v="2"/>
    <n v="3"/>
    <n v="2"/>
    <n v="1"/>
    <n v="3"/>
    <n v="2"/>
    <n v="4"/>
    <m/>
    <m/>
    <n v="1"/>
    <n v="2"/>
    <n v="2"/>
    <n v="1"/>
    <n v="1"/>
    <n v="2"/>
    <n v="2"/>
    <n v="1"/>
    <n v="1"/>
    <n v="6"/>
    <m/>
    <n v="2"/>
    <m/>
    <m/>
    <m/>
    <n v="3"/>
    <n v="3"/>
    <m/>
    <x v="2"/>
    <n v="1967"/>
    <n v="1"/>
    <m/>
    <n v="2"/>
    <m/>
    <n v="3"/>
    <m/>
    <n v="4"/>
    <m/>
    <n v="2"/>
    <n v="1"/>
    <n v="46"/>
    <x v="2"/>
    <n v="3"/>
    <n v="5"/>
    <n v="3"/>
  </r>
  <r>
    <x v="2"/>
    <n v="1"/>
    <n v="1"/>
    <n v="2"/>
    <n v="2"/>
    <n v="1"/>
    <n v="1"/>
    <n v="2"/>
    <n v="1"/>
    <n v="1"/>
    <n v="4"/>
    <n v="2"/>
    <n v="2"/>
    <n v="2"/>
    <n v="3"/>
    <n v="2"/>
    <n v="4"/>
    <n v="4"/>
    <n v="2"/>
    <n v="1"/>
    <m/>
    <m/>
    <m/>
    <n v="1"/>
    <n v="2"/>
    <n v="1"/>
    <n v="1"/>
    <n v="2"/>
    <n v="1"/>
    <n v="1"/>
    <n v="2"/>
    <n v="4"/>
    <m/>
    <m/>
    <n v="2"/>
    <m/>
    <m/>
    <m/>
    <n v="2"/>
    <n v="2"/>
    <n v="1"/>
    <x v="2"/>
    <n v="1962"/>
    <n v="2"/>
    <m/>
    <n v="3"/>
    <m/>
    <n v="3"/>
    <m/>
    <n v="1"/>
    <m/>
    <n v="1"/>
    <n v="1"/>
    <n v="51"/>
    <x v="2"/>
    <n v="2"/>
    <n v="2"/>
    <n v="2"/>
  </r>
  <r>
    <x v="1"/>
    <n v="2"/>
    <n v="1"/>
    <n v="2"/>
    <n v="2"/>
    <n v="1"/>
    <n v="2"/>
    <n v="2"/>
    <n v="2"/>
    <m/>
    <n v="2"/>
    <n v="1"/>
    <n v="1"/>
    <n v="1"/>
    <n v="3"/>
    <n v="3"/>
    <n v="1"/>
    <n v="8"/>
    <n v="1"/>
    <n v="3"/>
    <n v="2"/>
    <m/>
    <m/>
    <n v="1"/>
    <n v="2"/>
    <n v="1"/>
    <n v="1"/>
    <n v="1"/>
    <n v="1"/>
    <n v="1"/>
    <n v="1"/>
    <n v="1"/>
    <n v="7"/>
    <m/>
    <n v="1"/>
    <n v="2"/>
    <n v="6"/>
    <m/>
    <n v="1"/>
    <n v="3"/>
    <n v="3"/>
    <x v="2"/>
    <n v="1994"/>
    <n v="3"/>
    <m/>
    <n v="3"/>
    <m/>
    <n v="2"/>
    <m/>
    <n v="2"/>
    <m/>
    <n v="4"/>
    <n v="1"/>
    <n v="19"/>
    <x v="1"/>
    <n v="2"/>
    <n v="4"/>
    <n v="2"/>
  </r>
  <r>
    <x v="1"/>
    <n v="2"/>
    <n v="1"/>
    <n v="2"/>
    <n v="2"/>
    <n v="2"/>
    <n v="1"/>
    <n v="2"/>
    <n v="1"/>
    <n v="2"/>
    <n v="3"/>
    <n v="1"/>
    <n v="2"/>
    <n v="3"/>
    <n v="4"/>
    <n v="2"/>
    <n v="3"/>
    <n v="8"/>
    <n v="4"/>
    <n v="2"/>
    <n v="1"/>
    <m/>
    <m/>
    <n v="1"/>
    <n v="1"/>
    <n v="1"/>
    <n v="1"/>
    <n v="1"/>
    <n v="1"/>
    <n v="1"/>
    <n v="2"/>
    <n v="3"/>
    <n v="2"/>
    <m/>
    <n v="2"/>
    <m/>
    <m/>
    <m/>
    <n v="3"/>
    <n v="2"/>
    <n v="2"/>
    <x v="1"/>
    <n v="1983"/>
    <n v="2"/>
    <m/>
    <n v="2"/>
    <m/>
    <n v="1"/>
    <m/>
    <n v="3"/>
    <m/>
    <n v="1"/>
    <n v="1"/>
    <n v="30"/>
    <x v="1"/>
    <n v="2"/>
    <n v="4"/>
    <n v="2"/>
  </r>
  <r>
    <x v="1"/>
    <n v="2"/>
    <n v="1"/>
    <n v="2"/>
    <n v="2"/>
    <n v="1"/>
    <n v="2"/>
    <n v="2"/>
    <n v="2"/>
    <m/>
    <n v="1"/>
    <n v="4"/>
    <n v="3"/>
    <n v="2"/>
    <n v="1"/>
    <n v="3"/>
    <n v="2"/>
    <n v="8"/>
    <n v="2"/>
    <n v="1"/>
    <m/>
    <m/>
    <m/>
    <n v="2"/>
    <n v="1"/>
    <n v="2"/>
    <n v="2"/>
    <n v="1"/>
    <n v="2"/>
    <n v="1"/>
    <n v="1"/>
    <n v="2"/>
    <n v="2"/>
    <m/>
    <n v="1"/>
    <n v="1"/>
    <n v="1"/>
    <m/>
    <n v="8"/>
    <n v="3"/>
    <n v="5"/>
    <x v="1"/>
    <n v="1975"/>
    <n v="3"/>
    <m/>
    <n v="2"/>
    <m/>
    <n v="4"/>
    <m/>
    <n v="2"/>
    <m/>
    <n v="3"/>
    <n v="1"/>
    <n v="38"/>
    <x v="1"/>
    <n v="2"/>
    <n v="2"/>
    <n v="1"/>
  </r>
  <r>
    <x v="1"/>
    <n v="2"/>
    <n v="1"/>
    <n v="1"/>
    <n v="2"/>
    <n v="2"/>
    <n v="2"/>
    <n v="2"/>
    <n v="2"/>
    <m/>
    <n v="2"/>
    <n v="1"/>
    <n v="4"/>
    <n v="2"/>
    <n v="2"/>
    <n v="2"/>
    <n v="1"/>
    <n v="8"/>
    <n v="3"/>
    <n v="3"/>
    <n v="3"/>
    <m/>
    <m/>
    <n v="2"/>
    <n v="2"/>
    <n v="2"/>
    <n v="2"/>
    <n v="2"/>
    <n v="2"/>
    <n v="1"/>
    <n v="1"/>
    <n v="2"/>
    <n v="3"/>
    <m/>
    <n v="1"/>
    <n v="2"/>
    <n v="5"/>
    <m/>
    <n v="2"/>
    <n v="2"/>
    <n v="5"/>
    <x v="1"/>
    <n v="1979"/>
    <n v="3"/>
    <m/>
    <n v="1"/>
    <m/>
    <n v="1"/>
    <m/>
    <n v="1"/>
    <m/>
    <n v="2"/>
    <n v="1"/>
    <n v="34"/>
    <x v="1"/>
    <n v="1"/>
    <n v="1"/>
    <n v="1"/>
  </r>
  <r>
    <x v="1"/>
    <n v="2"/>
    <n v="2"/>
    <n v="1"/>
    <n v="2"/>
    <n v="1"/>
    <n v="1"/>
    <n v="1"/>
    <n v="2"/>
    <m/>
    <n v="3"/>
    <n v="2"/>
    <n v="1"/>
    <n v="2"/>
    <n v="4"/>
    <n v="4"/>
    <n v="4"/>
    <n v="3"/>
    <n v="8"/>
    <n v="1"/>
    <m/>
    <m/>
    <m/>
    <n v="2"/>
    <n v="2"/>
    <n v="2"/>
    <n v="2"/>
    <n v="2"/>
    <n v="2"/>
    <n v="2"/>
    <n v="2"/>
    <n v="3"/>
    <n v="5"/>
    <m/>
    <n v="2"/>
    <m/>
    <m/>
    <m/>
    <n v="1"/>
    <n v="1"/>
    <n v="5"/>
    <x v="1"/>
    <n v="1957"/>
    <n v="3"/>
    <m/>
    <n v="1"/>
    <m/>
    <n v="3"/>
    <m/>
    <n v="4"/>
    <m/>
    <n v="3"/>
    <n v="1"/>
    <n v="56"/>
    <x v="2"/>
    <n v="1"/>
    <n v="1"/>
    <n v="1"/>
  </r>
  <r>
    <x v="2"/>
    <n v="2"/>
    <n v="1"/>
    <n v="1"/>
    <n v="1"/>
    <n v="2"/>
    <n v="2"/>
    <n v="1"/>
    <n v="1"/>
    <n v="2"/>
    <n v="1"/>
    <n v="3"/>
    <n v="7"/>
    <n v="3"/>
    <n v="1"/>
    <n v="2"/>
    <n v="2"/>
    <n v="2"/>
    <n v="2"/>
    <n v="4"/>
    <n v="4"/>
    <m/>
    <m/>
    <n v="1"/>
    <n v="1"/>
    <n v="1"/>
    <n v="2"/>
    <n v="2"/>
    <n v="1"/>
    <n v="2"/>
    <n v="2"/>
    <n v="3"/>
    <n v="98"/>
    <m/>
    <n v="1"/>
    <n v="4"/>
    <n v="4"/>
    <m/>
    <n v="2"/>
    <n v="3"/>
    <m/>
    <x v="2"/>
    <n v="1946"/>
    <n v="2"/>
    <m/>
    <n v="5"/>
    <m/>
    <n v="2"/>
    <m/>
    <n v="2"/>
    <m/>
    <n v="2"/>
    <n v="1"/>
    <n v="67"/>
    <x v="3"/>
    <n v="2"/>
    <n v="4"/>
    <n v="3"/>
  </r>
  <r>
    <x v="2"/>
    <n v="2"/>
    <n v="2"/>
    <n v="2"/>
    <n v="1"/>
    <n v="1"/>
    <n v="1"/>
    <n v="1"/>
    <n v="2"/>
    <m/>
    <n v="2"/>
    <n v="1"/>
    <n v="4"/>
    <n v="3"/>
    <n v="3"/>
    <n v="3"/>
    <n v="3"/>
    <n v="1"/>
    <n v="1"/>
    <n v="1"/>
    <m/>
    <m/>
    <m/>
    <n v="1"/>
    <n v="2"/>
    <n v="1"/>
    <n v="1"/>
    <n v="1"/>
    <n v="1"/>
    <n v="1"/>
    <n v="1"/>
    <n v="2"/>
    <n v="1"/>
    <m/>
    <n v="1"/>
    <n v="2"/>
    <n v="98"/>
    <m/>
    <n v="3"/>
    <n v="2"/>
    <n v="1"/>
    <x v="1"/>
    <n v="1947"/>
    <n v="1"/>
    <m/>
    <n v="6"/>
    <m/>
    <n v="4"/>
    <m/>
    <n v="1"/>
    <m/>
    <n v="2"/>
    <n v="1"/>
    <n v="66"/>
    <x v="3"/>
    <n v="2"/>
    <n v="3"/>
    <n v="2"/>
  </r>
  <r>
    <x v="2"/>
    <n v="2"/>
    <n v="1"/>
    <n v="2"/>
    <n v="1"/>
    <n v="2"/>
    <n v="2"/>
    <n v="1"/>
    <n v="2"/>
    <m/>
    <n v="3"/>
    <n v="7"/>
    <n v="1"/>
    <n v="1"/>
    <n v="2"/>
    <n v="2"/>
    <n v="2"/>
    <n v="3"/>
    <n v="3"/>
    <n v="2"/>
    <n v="3"/>
    <m/>
    <m/>
    <n v="2"/>
    <n v="1"/>
    <n v="1"/>
    <n v="1"/>
    <n v="2"/>
    <n v="2"/>
    <n v="2"/>
    <n v="2"/>
    <n v="4"/>
    <m/>
    <m/>
    <n v="2"/>
    <m/>
    <m/>
    <m/>
    <n v="5"/>
    <n v="4"/>
    <n v="3"/>
    <x v="2"/>
    <n v="1984"/>
    <n v="3"/>
    <m/>
    <n v="4"/>
    <m/>
    <n v="6"/>
    <m/>
    <n v="3"/>
    <m/>
    <n v="1"/>
    <n v="1"/>
    <n v="29"/>
    <x v="1"/>
    <n v="2"/>
    <n v="4"/>
    <n v="2"/>
  </r>
  <r>
    <x v="1"/>
    <n v="1"/>
    <n v="2"/>
    <n v="1"/>
    <n v="1"/>
    <n v="1"/>
    <n v="1"/>
    <n v="2"/>
    <n v="1"/>
    <n v="1"/>
    <n v="4"/>
    <n v="1"/>
    <n v="2"/>
    <n v="1"/>
    <n v="2"/>
    <n v="1"/>
    <n v="1"/>
    <n v="2"/>
    <n v="8"/>
    <n v="3"/>
    <n v="2"/>
    <m/>
    <m/>
    <n v="1"/>
    <n v="2"/>
    <n v="2"/>
    <n v="2"/>
    <n v="2"/>
    <n v="2"/>
    <n v="1"/>
    <n v="1"/>
    <n v="1"/>
    <n v="8"/>
    <m/>
    <n v="2"/>
    <m/>
    <m/>
    <m/>
    <n v="3"/>
    <n v="3"/>
    <n v="1"/>
    <x v="1"/>
    <n v="1989"/>
    <n v="2"/>
    <m/>
    <n v="7"/>
    <m/>
    <n v="4"/>
    <m/>
    <n v="2"/>
    <m/>
    <n v="2"/>
    <n v="1"/>
    <n v="24"/>
    <x v="1"/>
    <n v="2"/>
    <n v="2"/>
    <n v="2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4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7"/>
    <m/>
    <m/>
    <m/>
    <m/>
    <m/>
    <m/>
    <m/>
    <m/>
    <m/>
    <n v="1"/>
    <n v="26"/>
    <x v="1"/>
    <n v="2"/>
    <n v="4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3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1"/>
    <m/>
    <m/>
    <m/>
    <m/>
    <m/>
    <m/>
    <m/>
    <m/>
    <m/>
    <n v="1"/>
    <n v="32"/>
    <x v="1"/>
    <n v="2"/>
    <n v="4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70"/>
    <m/>
    <m/>
    <m/>
    <m/>
    <m/>
    <m/>
    <m/>
    <m/>
    <m/>
    <n v="1"/>
    <n v="43"/>
    <x v="2"/>
    <n v="2"/>
    <n v="4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2"/>
    <n v="4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601">
  <r>
    <x v="0"/>
    <s v="Au cours des deux dernières années avez-vous été victime dans votre quartier d'une quelconque forme de discrimination ?"/>
    <s v="À votre avis, le motif de cette discrimination était lié …"/>
    <s v="Autre, précisez :"/>
    <s v="Au cours des deux dernières années, avez-vous subi un accident qui vous a occasionné une blessure pour laquelle vous avez dû consulter un professionnel de la santé ou limiter vos activités ?"/>
    <s v="Combien de fois cela s'est-il produit ?"/>
    <s v="En se référant au dernier événement, était-ce … ?"/>
    <s v="Autre, précisez :"/>
    <s v="Maintenant, comparativement à d'autres personnes de votre âge, dirirez-vous que votre santé est en général …"/>
    <s v="Dans quel quartier habitez-vous ?"/>
    <s v="Combien de personne de moins de 18 ans habitent dans votre foyer ?"/>
    <x v="0"/>
    <s v="Quelle est votre année de naissance ?"/>
    <s v="Êtes-vous propriétaire ou locataire du logement que vous habitez ?"/>
    <s v="Autre, précisez : "/>
    <s v="Habitez-vous dans …"/>
    <s v="Autre, précisez : "/>
    <s v="Quel est votre état civil ?"/>
    <s v="Autre, précisez : "/>
    <s v="Où est situé votre lieu de travail habituel ?"/>
    <s v="Autre, précisez : "/>
    <s v="Quel est le plus haut niveau de scolarité que vous avez complété ?"/>
    <m/>
    <m/>
    <m/>
    <m/>
    <m/>
    <m/>
  </r>
  <r>
    <x v="1"/>
    <n v="1"/>
    <n v="2"/>
    <m/>
    <n v="1"/>
    <n v="4"/>
    <n v="5"/>
    <m/>
    <n v="2"/>
    <n v="4"/>
    <n v="5"/>
    <x v="1"/>
    <n v="1981"/>
    <n v="2"/>
    <m/>
    <n v="7"/>
    <m/>
    <n v="1"/>
    <m/>
    <n v="1"/>
    <m/>
    <n v="4"/>
    <n v="1"/>
    <n v="32"/>
    <n v="1"/>
    <n v="1"/>
    <n v="1"/>
    <n v="1"/>
  </r>
  <r>
    <x v="2"/>
    <n v="2"/>
    <n v="1"/>
    <m/>
    <n v="2"/>
    <m/>
    <m/>
    <m/>
    <n v="4"/>
    <n v="1"/>
    <n v="2"/>
    <x v="2"/>
    <n v="1970"/>
    <n v="1"/>
    <m/>
    <n v="5"/>
    <m/>
    <n v="2"/>
    <m/>
    <n v="2"/>
    <m/>
    <n v="1"/>
    <n v="1"/>
    <n v="43"/>
    <n v="2"/>
    <n v="2"/>
    <n v="3"/>
    <n v="2"/>
  </r>
  <r>
    <x v="2"/>
    <n v="3"/>
    <n v="3"/>
    <m/>
    <n v="1"/>
    <n v="2"/>
    <n v="8"/>
    <m/>
    <n v="5"/>
    <n v="4"/>
    <n v="4"/>
    <x v="2"/>
    <n v="1990"/>
    <n v="3"/>
    <m/>
    <n v="4"/>
    <m/>
    <n v="4"/>
    <m/>
    <n v="3"/>
    <m/>
    <n v="2"/>
    <n v="1"/>
    <n v="23"/>
    <n v="1"/>
    <n v="2"/>
    <n v="4"/>
    <n v="2"/>
  </r>
  <r>
    <x v="1"/>
    <n v="4"/>
    <m/>
    <m/>
    <n v="1"/>
    <n v="2"/>
    <n v="7"/>
    <m/>
    <n v="1"/>
    <n v="2"/>
    <n v="1"/>
    <x v="2"/>
    <n v="1983"/>
    <n v="1"/>
    <m/>
    <n v="1"/>
    <m/>
    <n v="1"/>
    <m/>
    <n v="4"/>
    <m/>
    <n v="3"/>
    <n v="1"/>
    <n v="30"/>
    <n v="1"/>
    <n v="2"/>
    <n v="3"/>
    <n v="2"/>
  </r>
  <r>
    <x v="2"/>
    <n v="1"/>
    <n v="6"/>
    <m/>
    <n v="2"/>
    <m/>
    <m/>
    <m/>
    <n v="3"/>
    <n v="3"/>
    <m/>
    <x v="2"/>
    <n v="1967"/>
    <n v="1"/>
    <m/>
    <n v="2"/>
    <m/>
    <n v="3"/>
    <m/>
    <n v="4"/>
    <m/>
    <n v="2"/>
    <n v="1"/>
    <n v="46"/>
    <n v="2"/>
    <n v="3"/>
    <n v="5"/>
    <n v="3"/>
  </r>
  <r>
    <x v="1"/>
    <n v="4"/>
    <m/>
    <m/>
    <n v="2"/>
    <m/>
    <m/>
    <m/>
    <n v="2"/>
    <n v="2"/>
    <n v="1"/>
    <x v="2"/>
    <n v="1962"/>
    <n v="2"/>
    <m/>
    <n v="3"/>
    <m/>
    <n v="3"/>
    <m/>
    <n v="1"/>
    <m/>
    <n v="1"/>
    <n v="1"/>
    <n v="51"/>
    <n v="2"/>
    <n v="2"/>
    <n v="2"/>
    <n v="2"/>
  </r>
  <r>
    <x v="2"/>
    <n v="1"/>
    <n v="7"/>
    <m/>
    <n v="1"/>
    <n v="2"/>
    <n v="6"/>
    <m/>
    <n v="1"/>
    <n v="3"/>
    <n v="3"/>
    <x v="2"/>
    <n v="1994"/>
    <n v="3"/>
    <m/>
    <n v="3"/>
    <m/>
    <n v="2"/>
    <m/>
    <n v="2"/>
    <m/>
    <n v="4"/>
    <n v="1"/>
    <n v="19"/>
    <n v="1"/>
    <n v="2"/>
    <n v="4"/>
    <n v="2"/>
  </r>
  <r>
    <x v="1"/>
    <n v="3"/>
    <n v="2"/>
    <m/>
    <n v="2"/>
    <m/>
    <m/>
    <m/>
    <n v="3"/>
    <n v="2"/>
    <n v="2"/>
    <x v="1"/>
    <n v="1983"/>
    <n v="2"/>
    <m/>
    <n v="2"/>
    <m/>
    <n v="1"/>
    <m/>
    <n v="3"/>
    <m/>
    <n v="1"/>
    <n v="1"/>
    <n v="30"/>
    <n v="1"/>
    <n v="2"/>
    <n v="4"/>
    <n v="2"/>
  </r>
  <r>
    <x v="2"/>
    <n v="2"/>
    <n v="2"/>
    <m/>
    <n v="1"/>
    <n v="1"/>
    <n v="1"/>
    <m/>
    <n v="8"/>
    <n v="3"/>
    <n v="5"/>
    <x v="1"/>
    <n v="1975"/>
    <n v="3"/>
    <m/>
    <n v="2"/>
    <m/>
    <n v="4"/>
    <m/>
    <n v="2"/>
    <m/>
    <n v="3"/>
    <n v="1"/>
    <n v="38"/>
    <n v="1"/>
    <n v="2"/>
    <n v="2"/>
    <n v="1"/>
  </r>
  <r>
    <x v="2"/>
    <n v="2"/>
    <n v="3"/>
    <m/>
    <n v="1"/>
    <n v="2"/>
    <n v="5"/>
    <m/>
    <n v="2"/>
    <n v="2"/>
    <n v="5"/>
    <x v="1"/>
    <n v="1979"/>
    <n v="3"/>
    <m/>
    <n v="1"/>
    <m/>
    <n v="1"/>
    <m/>
    <n v="1"/>
    <m/>
    <n v="2"/>
    <n v="1"/>
    <n v="34"/>
    <n v="1"/>
    <n v="1"/>
    <n v="1"/>
    <n v="1"/>
  </r>
  <r>
    <x v="1"/>
    <n v="3"/>
    <n v="5"/>
    <m/>
    <n v="2"/>
    <m/>
    <m/>
    <m/>
    <n v="1"/>
    <n v="1"/>
    <n v="5"/>
    <x v="1"/>
    <n v="1957"/>
    <n v="3"/>
    <m/>
    <n v="1"/>
    <m/>
    <n v="3"/>
    <m/>
    <n v="4"/>
    <m/>
    <n v="3"/>
    <n v="1"/>
    <n v="56"/>
    <n v="2"/>
    <n v="1"/>
    <n v="1"/>
    <n v="1"/>
  </r>
  <r>
    <x v="1"/>
    <n v="3"/>
    <n v="98"/>
    <m/>
    <n v="1"/>
    <n v="4"/>
    <n v="4"/>
    <m/>
    <n v="2"/>
    <n v="3"/>
    <m/>
    <x v="2"/>
    <n v="1946"/>
    <n v="2"/>
    <m/>
    <n v="5"/>
    <m/>
    <n v="2"/>
    <m/>
    <n v="2"/>
    <m/>
    <n v="2"/>
    <n v="1"/>
    <n v="67"/>
    <n v="3"/>
    <n v="2"/>
    <n v="4"/>
    <n v="3"/>
  </r>
  <r>
    <x v="2"/>
    <n v="2"/>
    <n v="1"/>
    <m/>
    <n v="1"/>
    <n v="2"/>
    <n v="98"/>
    <m/>
    <n v="3"/>
    <n v="2"/>
    <n v="1"/>
    <x v="1"/>
    <n v="1947"/>
    <n v="1"/>
    <m/>
    <n v="6"/>
    <m/>
    <n v="4"/>
    <m/>
    <n v="1"/>
    <m/>
    <n v="2"/>
    <n v="1"/>
    <n v="66"/>
    <n v="3"/>
    <n v="2"/>
    <n v="3"/>
    <n v="2"/>
  </r>
  <r>
    <x v="1"/>
    <n v="4"/>
    <m/>
    <m/>
    <n v="2"/>
    <m/>
    <m/>
    <m/>
    <n v="5"/>
    <n v="4"/>
    <n v="3"/>
    <x v="2"/>
    <n v="1984"/>
    <n v="3"/>
    <m/>
    <n v="4"/>
    <m/>
    <n v="6"/>
    <m/>
    <n v="3"/>
    <m/>
    <n v="1"/>
    <n v="1"/>
    <n v="29"/>
    <n v="1"/>
    <n v="2"/>
    <n v="4"/>
    <n v="2"/>
  </r>
  <r>
    <x v="2"/>
    <n v="1"/>
    <n v="8"/>
    <m/>
    <n v="2"/>
    <m/>
    <m/>
    <m/>
    <n v="3"/>
    <n v="3"/>
    <n v="1"/>
    <x v="1"/>
    <n v="1989"/>
    <n v="2"/>
    <m/>
    <n v="7"/>
    <m/>
    <n v="4"/>
    <m/>
    <n v="2"/>
    <m/>
    <n v="2"/>
    <n v="1"/>
    <n v="24"/>
    <n v="1"/>
    <n v="2"/>
    <n v="2"/>
    <n v="2"/>
  </r>
  <r>
    <x v="3"/>
    <m/>
    <m/>
    <m/>
    <m/>
    <m/>
    <m/>
    <m/>
    <m/>
    <m/>
    <m/>
    <x v="2"/>
    <n v="1990"/>
    <m/>
    <m/>
    <m/>
    <m/>
    <m/>
    <m/>
    <m/>
    <m/>
    <m/>
    <n v="1"/>
    <n v="23"/>
    <n v="1"/>
    <n v="2"/>
    <n v="4"/>
    <n v="3"/>
  </r>
  <r>
    <x v="3"/>
    <m/>
    <m/>
    <m/>
    <m/>
    <m/>
    <m/>
    <m/>
    <m/>
    <m/>
    <m/>
    <x v="2"/>
    <n v="1987"/>
    <m/>
    <m/>
    <m/>
    <m/>
    <m/>
    <m/>
    <m/>
    <m/>
    <m/>
    <n v="1"/>
    <n v="26"/>
    <n v="1"/>
    <n v="2"/>
    <n v="4"/>
    <n v="3"/>
  </r>
  <r>
    <x v="3"/>
    <m/>
    <m/>
    <m/>
    <m/>
    <m/>
    <m/>
    <m/>
    <m/>
    <m/>
    <m/>
    <x v="2"/>
    <n v="1990"/>
    <m/>
    <m/>
    <m/>
    <m/>
    <m/>
    <m/>
    <m/>
    <m/>
    <m/>
    <n v="1"/>
    <n v="23"/>
    <n v="1"/>
    <n v="2"/>
    <n v="3"/>
    <n v="3"/>
  </r>
  <r>
    <x v="3"/>
    <m/>
    <m/>
    <m/>
    <m/>
    <m/>
    <m/>
    <m/>
    <m/>
    <m/>
    <m/>
    <x v="2"/>
    <n v="1981"/>
    <m/>
    <m/>
    <m/>
    <m/>
    <m/>
    <m/>
    <m/>
    <m/>
    <m/>
    <n v="1"/>
    <n v="32"/>
    <n v="1"/>
    <n v="2"/>
    <n v="4"/>
    <n v="3"/>
  </r>
  <r>
    <x v="3"/>
    <m/>
    <m/>
    <m/>
    <m/>
    <m/>
    <m/>
    <m/>
    <m/>
    <m/>
    <m/>
    <x v="2"/>
    <n v="1970"/>
    <m/>
    <m/>
    <m/>
    <m/>
    <m/>
    <m/>
    <m/>
    <m/>
    <m/>
    <n v="1"/>
    <n v="43"/>
    <n v="2"/>
    <n v="2"/>
    <n v="4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2"/>
    <n v="4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3"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</pivotCacheRecords>
</file>

<file path=xl/pivotCache/pivotCacheRecords40.xml><?xml version="1.0" encoding="utf-8"?>
<pivotCacheRecords xmlns="http://schemas.openxmlformats.org/spreadsheetml/2006/main" xmlns:r="http://schemas.openxmlformats.org/officeDocument/2006/relationships" count="632">
  <r>
    <x v="0"/>
    <s v="Veuillez répondre à chacun des énoncés suivants. À mon domicile, j'évite d'ouvrir la porte à des inconnus, pour des raisons de sécurité. "/>
    <s v="Veuillez répondre à chacun des énoncés suivants. Je garde les portes extérieures de mon domicile constamment verrouillées, même lorsque je suis chez moi. "/>
    <s v="Veuillez répondre à chacun des énoncés suivants. Spécialement par mesure de protection, il y a un chien à mon domicile. "/>
    <s v="Veuillez répondre à chacun des énoncés suivants. J'ai un système d'alarme que j'active régulièrement pour protéger mon domicile contre le vol."/>
    <s v="Veuillez répondre à chacun des énoncés suivants. Spécialement par mesure de protection, j'ai suivi un cours d'autodéfense. "/>
    <s v="Veuillez répondre à chacun des énoncés suivants. Spécialement par mesure de protection, il y a une arme à feu à mon domicile. "/>
    <s v="Est-ce qu'il y a à votre domicile au moins un détecteur de fumée fonctionnel par étage ? "/>
    <s v="Le bon fonctionnement de cet/ces appareil(s) a-t-il été vérifié, au cours des douze (12) derniers mois ?"/>
    <s v="Veuillez nous dire votre degré de satisfaction à l'égard : du déneigement et du déglaçage des rues et des trottoirs de votre quartier ? "/>
    <s v="Veuillez nous dire votre degré de satisfaction à l'égard :  de la propreté et de l'entretien des parcs et terrains de jeux de votre quartier ?"/>
    <s v="Veuillez nous dire votre degré de satisfaction à l'égard :  de la sécurité des équipements dans les parcs, aires de jeux ou centre récréatif ou sportif de votre quartier ? "/>
    <s v="Votre quartier est-il desservi par un service de police municipal, une régie intermunicipale ou par la Sûreté du Québec ?"/>
    <s v="Quel est votre niveau de satisfaction à l'égard de la présence des policiers dans votre quartier ?"/>
    <s v="Quel est votre niveau de satisfaction à l'égard du travail effectué par les policiers dans votre quartier ?"/>
    <s v="De façon plus spécifique, quel est votre niveau de satisfaction à l'égard du travail effectué par les policiers : auprès des jeunes de votre quartier"/>
    <s v="De façon plus spécifique, quel est votre niveau de satisfaction à l'égard du travail effectué par les policiers : pour assurer la sécurité routière dans votre quartier"/>
    <s v="De façon plus spécifique, quel est votre niveau de satisfaction à l'égard du travail effectué par les policiers : pour régler des problèmes de délinquance ou de désordres qui surviennent dans votre quartier"/>
    <s v="Au cours des deux dernières années, combien de fois avez-vous fait appel au service de police qui dessert votre quartier ?"/>
    <s v="En vous référant à l'événement le plus récent, quel est votre niveau de satisfaction à l'égard de la réponse que vous avez reçue ?"/>
    <s v="Pourquoi ? Peu"/>
    <s v="Pourquoi ? Pas"/>
    <s v="Au cours des deux dernières années, vous êtes vous IMPLIQUÉ SUR UNE BASE RÉGULIÈRE dans les activités suivantes de votre quartier : Dans un comité ou un organisme préoccupé par les problèmes de sécurité de votre quartier ?"/>
    <s v="Au cours des deux dernières années, vous êtes vous IMPLIQUÉ SUR UNE BASE RÉGULIÈRE dans les activités suivantes de votre quartier : Dans des assemblées du conseil municipal ?"/>
    <s v="Au cours des deux dernières années, vous êtes vous IMPLIQUÉ SUR UNE BASE RÉGULIÈRE dans les activités suivantes de votre quartier : Dans un conseil de quartier ou d'arrondissement ?"/>
    <s v="Au cours des deux dernières années, vous êtes vous IMPLIQUÉ SUR UNE BASE RÉGULIÈRE dans les activités suivantes de votre quartier : Dans un comité de citoyens ?"/>
    <s v="Au cours des deux dernières années, vous êtes vous IMPLIQUÉ SUR UNE BASE RÉGULIÈRE dans les activités suivantes de votre quartier : Dans des activités communautaires, d'entraide ou de bénévolat (cuisine communautaire, bazar)"/>
    <s v="Au cours des deux dernières années, vous êtes vous IMPLIQUÉ SUR UNE BASE RÉGULIÈRE dans les activités suivantes de votre quartier : Dans des activités sociales, culturelles ou sportives organisées par les gens de votre quartier ou de votre municipalité ?"/>
    <s v="Au cours des deux dernières années, avez-vous été victime de vol, de vandalisme ou de tout autre crime contre vos biens, chez vous ou dans votre quartier ?"/>
    <s v="Au cours des deux dernières années, avez-vous été victime d'une agression, d'intimidation ou de tout autre acte de violence, chez vous ou dans votre quartier ?"/>
    <s v="Au cours des deux dernières années avez-vous été victime dans votre quartier d'une quelconque forme de discrimination ?"/>
    <s v="À votre avis, le motif de cette discrimination était lié …"/>
    <s v="Autre, précisez :"/>
    <s v="Au cours des deux dernières années, avez-vous subi un accident qui vous a occasionné une blessure pour laquelle vous avez dû consulter un professionnel de la santé ou limiter vos activités ?"/>
    <s v="Combien de fois cela s'est-il produit ?"/>
    <s v="En se référant au dernier événement, était-ce … ?"/>
    <s v="Autre, précisez :"/>
    <s v="Maintenant, comparativement à d'autres personnes de votre âge, dirirez-vous que votre santé est en général …"/>
    <s v="Dans quel quartier habitez-vous ?"/>
    <s v="Combien de personne de moins de 18 ans habitent dans votre foyer ?"/>
    <x v="0"/>
    <s v="Quelle est votre année de naissance ?"/>
    <s v="Êtes-vous propriétaire ou locataire du logement que vous habitez ?"/>
    <s v="Autre, précisez : "/>
    <s v="Habitez-vous dans …"/>
    <s v="Autre, précisez : "/>
    <s v="Quel est votre état civil ?"/>
    <s v="Autre, précisez : "/>
    <s v="Où est situé votre lieu de travail habituel ?"/>
    <s v="Autre, précisez : "/>
    <s v="Quel est le plus haut niveau de scolarité que vous avez complété ?"/>
    <m/>
    <m/>
    <x v="0"/>
    <m/>
    <m/>
    <m/>
  </r>
  <r>
    <x v="1"/>
    <n v="1"/>
    <n v="1"/>
    <n v="1"/>
    <n v="2"/>
    <n v="1"/>
    <n v="2"/>
    <n v="2"/>
    <m/>
    <n v="1"/>
    <n v="7"/>
    <n v="4"/>
    <n v="8"/>
    <n v="1"/>
    <n v="4"/>
    <n v="8"/>
    <n v="2"/>
    <n v="2"/>
    <n v="1"/>
    <m/>
    <m/>
    <m/>
    <n v="1"/>
    <n v="2"/>
    <n v="1"/>
    <n v="2"/>
    <n v="2"/>
    <n v="1"/>
    <n v="1"/>
    <n v="2"/>
    <n v="1"/>
    <n v="2"/>
    <m/>
    <n v="1"/>
    <n v="4"/>
    <n v="5"/>
    <m/>
    <n v="2"/>
    <n v="4"/>
    <n v="5"/>
    <x v="1"/>
    <n v="1981"/>
    <n v="2"/>
    <m/>
    <n v="7"/>
    <m/>
    <n v="1"/>
    <m/>
    <n v="1"/>
    <m/>
    <n v="4"/>
    <n v="1"/>
    <n v="32"/>
    <x v="1"/>
    <n v="1"/>
    <n v="1"/>
    <n v="1"/>
  </r>
  <r>
    <x v="2"/>
    <n v="2"/>
    <n v="1"/>
    <n v="1"/>
    <n v="1"/>
    <n v="1"/>
    <n v="1"/>
    <n v="1"/>
    <n v="1"/>
    <n v="2"/>
    <n v="4"/>
    <n v="1"/>
    <n v="1"/>
    <n v="4"/>
    <n v="8"/>
    <n v="1"/>
    <n v="4"/>
    <n v="1"/>
    <n v="2"/>
    <n v="1"/>
    <m/>
    <m/>
    <n v="2"/>
    <n v="1"/>
    <n v="1"/>
    <n v="2"/>
    <n v="2"/>
    <n v="1"/>
    <n v="2"/>
    <n v="1"/>
    <n v="2"/>
    <n v="1"/>
    <m/>
    <n v="2"/>
    <m/>
    <m/>
    <m/>
    <n v="4"/>
    <n v="1"/>
    <n v="2"/>
    <x v="2"/>
    <n v="1970"/>
    <n v="1"/>
    <m/>
    <n v="5"/>
    <m/>
    <n v="2"/>
    <m/>
    <n v="2"/>
    <m/>
    <n v="1"/>
    <n v="1"/>
    <n v="43"/>
    <x v="2"/>
    <n v="2"/>
    <n v="3"/>
    <n v="2"/>
  </r>
  <r>
    <x v="2"/>
    <n v="2"/>
    <n v="1"/>
    <n v="1"/>
    <n v="1"/>
    <n v="2"/>
    <n v="1"/>
    <n v="1"/>
    <n v="2"/>
    <n v="3"/>
    <n v="1"/>
    <n v="2"/>
    <n v="3"/>
    <n v="2"/>
    <n v="1"/>
    <n v="2"/>
    <n v="3"/>
    <n v="4"/>
    <n v="3"/>
    <n v="3"/>
    <m/>
    <m/>
    <n v="2"/>
    <n v="1"/>
    <n v="2"/>
    <n v="2"/>
    <n v="2"/>
    <n v="2"/>
    <n v="2"/>
    <n v="1"/>
    <n v="3"/>
    <n v="3"/>
    <m/>
    <n v="1"/>
    <n v="2"/>
    <n v="8"/>
    <m/>
    <n v="5"/>
    <n v="4"/>
    <n v="4"/>
    <x v="2"/>
    <n v="1990"/>
    <n v="3"/>
    <m/>
    <n v="4"/>
    <m/>
    <n v="4"/>
    <m/>
    <n v="3"/>
    <m/>
    <n v="2"/>
    <n v="1"/>
    <n v="23"/>
    <x v="1"/>
    <n v="2"/>
    <n v="4"/>
    <n v="2"/>
  </r>
  <r>
    <x v="2"/>
    <n v="2"/>
    <n v="2"/>
    <n v="1"/>
    <n v="2"/>
    <n v="2"/>
    <n v="1"/>
    <n v="1"/>
    <n v="1"/>
    <n v="4"/>
    <n v="3"/>
    <n v="3"/>
    <n v="2"/>
    <n v="3"/>
    <n v="1"/>
    <n v="3"/>
    <n v="2"/>
    <n v="2"/>
    <n v="4"/>
    <n v="2"/>
    <m/>
    <m/>
    <n v="2"/>
    <n v="1"/>
    <n v="2"/>
    <n v="2"/>
    <n v="1"/>
    <n v="2"/>
    <n v="2"/>
    <n v="2"/>
    <n v="4"/>
    <m/>
    <m/>
    <n v="1"/>
    <n v="2"/>
    <n v="7"/>
    <m/>
    <n v="1"/>
    <n v="2"/>
    <n v="1"/>
    <x v="2"/>
    <n v="1983"/>
    <n v="1"/>
    <m/>
    <n v="1"/>
    <m/>
    <n v="1"/>
    <m/>
    <n v="4"/>
    <m/>
    <n v="3"/>
    <n v="1"/>
    <n v="30"/>
    <x v="1"/>
    <n v="2"/>
    <n v="3"/>
    <n v="2"/>
  </r>
  <r>
    <x v="2"/>
    <n v="1"/>
    <n v="2"/>
    <n v="2"/>
    <n v="2"/>
    <n v="1"/>
    <n v="2"/>
    <n v="2"/>
    <m/>
    <n v="7"/>
    <n v="3"/>
    <n v="3"/>
    <n v="1"/>
    <n v="2"/>
    <n v="3"/>
    <n v="2"/>
    <n v="1"/>
    <n v="3"/>
    <n v="2"/>
    <n v="4"/>
    <m/>
    <m/>
    <n v="1"/>
    <n v="2"/>
    <n v="2"/>
    <n v="1"/>
    <n v="1"/>
    <n v="2"/>
    <n v="2"/>
    <n v="1"/>
    <n v="1"/>
    <n v="6"/>
    <m/>
    <n v="2"/>
    <m/>
    <m/>
    <m/>
    <n v="3"/>
    <n v="3"/>
    <m/>
    <x v="2"/>
    <n v="1967"/>
    <n v="1"/>
    <m/>
    <n v="2"/>
    <m/>
    <n v="3"/>
    <m/>
    <n v="4"/>
    <m/>
    <n v="2"/>
    <n v="1"/>
    <n v="46"/>
    <x v="2"/>
    <n v="3"/>
    <n v="5"/>
    <n v="3"/>
  </r>
  <r>
    <x v="2"/>
    <n v="1"/>
    <n v="2"/>
    <n v="2"/>
    <n v="1"/>
    <n v="1"/>
    <n v="2"/>
    <n v="1"/>
    <n v="1"/>
    <n v="4"/>
    <n v="2"/>
    <n v="2"/>
    <n v="2"/>
    <n v="3"/>
    <n v="2"/>
    <n v="4"/>
    <n v="4"/>
    <n v="2"/>
    <n v="1"/>
    <m/>
    <m/>
    <m/>
    <n v="1"/>
    <n v="2"/>
    <n v="1"/>
    <n v="1"/>
    <n v="2"/>
    <n v="1"/>
    <n v="1"/>
    <n v="2"/>
    <n v="4"/>
    <m/>
    <m/>
    <n v="2"/>
    <m/>
    <m/>
    <m/>
    <n v="2"/>
    <n v="2"/>
    <n v="1"/>
    <x v="2"/>
    <n v="1962"/>
    <n v="2"/>
    <m/>
    <n v="3"/>
    <m/>
    <n v="3"/>
    <m/>
    <n v="1"/>
    <m/>
    <n v="1"/>
    <n v="1"/>
    <n v="51"/>
    <x v="2"/>
    <n v="2"/>
    <n v="2"/>
    <n v="2"/>
  </r>
  <r>
    <x v="1"/>
    <n v="1"/>
    <n v="2"/>
    <n v="2"/>
    <n v="1"/>
    <n v="2"/>
    <n v="2"/>
    <n v="2"/>
    <m/>
    <n v="2"/>
    <n v="1"/>
    <n v="1"/>
    <n v="1"/>
    <n v="3"/>
    <n v="3"/>
    <n v="1"/>
    <n v="8"/>
    <n v="1"/>
    <n v="3"/>
    <n v="2"/>
    <m/>
    <m/>
    <n v="1"/>
    <n v="2"/>
    <n v="1"/>
    <n v="1"/>
    <n v="1"/>
    <n v="1"/>
    <n v="1"/>
    <n v="1"/>
    <n v="1"/>
    <n v="7"/>
    <m/>
    <n v="1"/>
    <n v="2"/>
    <n v="6"/>
    <m/>
    <n v="1"/>
    <n v="3"/>
    <n v="3"/>
    <x v="2"/>
    <n v="1994"/>
    <n v="3"/>
    <m/>
    <n v="3"/>
    <m/>
    <n v="2"/>
    <m/>
    <n v="2"/>
    <m/>
    <n v="4"/>
    <n v="1"/>
    <n v="19"/>
    <x v="1"/>
    <n v="2"/>
    <n v="4"/>
    <n v="2"/>
  </r>
  <r>
    <x v="1"/>
    <n v="1"/>
    <n v="2"/>
    <n v="2"/>
    <n v="2"/>
    <n v="1"/>
    <n v="2"/>
    <n v="1"/>
    <n v="2"/>
    <n v="3"/>
    <n v="1"/>
    <n v="2"/>
    <n v="3"/>
    <n v="4"/>
    <n v="2"/>
    <n v="3"/>
    <n v="8"/>
    <n v="4"/>
    <n v="2"/>
    <n v="1"/>
    <m/>
    <m/>
    <n v="1"/>
    <n v="1"/>
    <n v="1"/>
    <n v="1"/>
    <n v="1"/>
    <n v="1"/>
    <n v="1"/>
    <n v="2"/>
    <n v="3"/>
    <n v="2"/>
    <m/>
    <n v="2"/>
    <m/>
    <m/>
    <m/>
    <n v="3"/>
    <n v="2"/>
    <n v="2"/>
    <x v="1"/>
    <n v="1983"/>
    <n v="2"/>
    <m/>
    <n v="2"/>
    <m/>
    <n v="1"/>
    <m/>
    <n v="3"/>
    <m/>
    <n v="1"/>
    <n v="1"/>
    <n v="30"/>
    <x v="1"/>
    <n v="2"/>
    <n v="4"/>
    <n v="2"/>
  </r>
  <r>
    <x v="1"/>
    <n v="1"/>
    <n v="2"/>
    <n v="2"/>
    <n v="1"/>
    <n v="2"/>
    <n v="2"/>
    <n v="2"/>
    <m/>
    <n v="1"/>
    <n v="4"/>
    <n v="3"/>
    <n v="2"/>
    <n v="1"/>
    <n v="3"/>
    <n v="2"/>
    <n v="8"/>
    <n v="2"/>
    <n v="1"/>
    <m/>
    <m/>
    <m/>
    <n v="2"/>
    <n v="1"/>
    <n v="2"/>
    <n v="2"/>
    <n v="1"/>
    <n v="2"/>
    <n v="1"/>
    <n v="1"/>
    <n v="2"/>
    <n v="2"/>
    <m/>
    <n v="1"/>
    <n v="1"/>
    <n v="1"/>
    <m/>
    <n v="8"/>
    <n v="3"/>
    <n v="5"/>
    <x v="1"/>
    <n v="1975"/>
    <n v="3"/>
    <m/>
    <n v="2"/>
    <m/>
    <n v="4"/>
    <m/>
    <n v="2"/>
    <m/>
    <n v="3"/>
    <n v="1"/>
    <n v="38"/>
    <x v="1"/>
    <n v="2"/>
    <n v="2"/>
    <n v="1"/>
  </r>
  <r>
    <x v="1"/>
    <n v="1"/>
    <n v="1"/>
    <n v="2"/>
    <n v="2"/>
    <n v="2"/>
    <n v="2"/>
    <n v="2"/>
    <m/>
    <n v="2"/>
    <n v="1"/>
    <n v="4"/>
    <n v="2"/>
    <n v="2"/>
    <n v="2"/>
    <n v="1"/>
    <n v="8"/>
    <n v="3"/>
    <n v="3"/>
    <n v="3"/>
    <m/>
    <m/>
    <n v="2"/>
    <n v="2"/>
    <n v="2"/>
    <n v="2"/>
    <n v="2"/>
    <n v="2"/>
    <n v="1"/>
    <n v="1"/>
    <n v="2"/>
    <n v="3"/>
    <m/>
    <n v="1"/>
    <n v="2"/>
    <n v="5"/>
    <m/>
    <n v="2"/>
    <n v="2"/>
    <n v="5"/>
    <x v="1"/>
    <n v="1979"/>
    <n v="3"/>
    <m/>
    <n v="1"/>
    <m/>
    <n v="1"/>
    <m/>
    <n v="1"/>
    <m/>
    <n v="2"/>
    <n v="1"/>
    <n v="34"/>
    <x v="1"/>
    <n v="1"/>
    <n v="1"/>
    <n v="1"/>
  </r>
  <r>
    <x v="1"/>
    <n v="2"/>
    <n v="1"/>
    <n v="2"/>
    <n v="1"/>
    <n v="1"/>
    <n v="1"/>
    <n v="2"/>
    <m/>
    <n v="3"/>
    <n v="2"/>
    <n v="1"/>
    <n v="2"/>
    <n v="4"/>
    <n v="4"/>
    <n v="4"/>
    <n v="3"/>
    <n v="8"/>
    <n v="1"/>
    <m/>
    <m/>
    <m/>
    <n v="2"/>
    <n v="2"/>
    <n v="2"/>
    <n v="2"/>
    <n v="2"/>
    <n v="2"/>
    <n v="2"/>
    <n v="2"/>
    <n v="3"/>
    <n v="5"/>
    <m/>
    <n v="2"/>
    <m/>
    <m/>
    <m/>
    <n v="1"/>
    <n v="1"/>
    <n v="5"/>
    <x v="1"/>
    <n v="1957"/>
    <n v="3"/>
    <m/>
    <n v="1"/>
    <m/>
    <n v="3"/>
    <m/>
    <n v="4"/>
    <m/>
    <n v="3"/>
    <n v="1"/>
    <n v="56"/>
    <x v="2"/>
    <n v="1"/>
    <n v="1"/>
    <n v="1"/>
  </r>
  <r>
    <x v="1"/>
    <n v="1"/>
    <n v="1"/>
    <n v="1"/>
    <n v="2"/>
    <n v="2"/>
    <n v="1"/>
    <n v="1"/>
    <n v="2"/>
    <n v="1"/>
    <n v="3"/>
    <n v="7"/>
    <n v="3"/>
    <n v="1"/>
    <n v="2"/>
    <n v="2"/>
    <n v="2"/>
    <n v="2"/>
    <n v="4"/>
    <n v="4"/>
    <m/>
    <m/>
    <n v="1"/>
    <n v="1"/>
    <n v="1"/>
    <n v="2"/>
    <n v="2"/>
    <n v="1"/>
    <n v="2"/>
    <n v="2"/>
    <n v="3"/>
    <n v="98"/>
    <m/>
    <n v="1"/>
    <n v="4"/>
    <n v="4"/>
    <m/>
    <n v="2"/>
    <n v="3"/>
    <m/>
    <x v="2"/>
    <n v="1946"/>
    <n v="2"/>
    <m/>
    <n v="5"/>
    <m/>
    <n v="2"/>
    <m/>
    <n v="2"/>
    <m/>
    <n v="2"/>
    <n v="1"/>
    <n v="67"/>
    <x v="3"/>
    <n v="2"/>
    <n v="4"/>
    <n v="3"/>
  </r>
  <r>
    <x v="1"/>
    <n v="2"/>
    <n v="2"/>
    <n v="1"/>
    <n v="1"/>
    <n v="1"/>
    <n v="1"/>
    <n v="2"/>
    <m/>
    <n v="2"/>
    <n v="1"/>
    <n v="4"/>
    <n v="3"/>
    <n v="3"/>
    <n v="3"/>
    <n v="3"/>
    <n v="1"/>
    <n v="1"/>
    <n v="1"/>
    <m/>
    <m/>
    <m/>
    <n v="1"/>
    <n v="2"/>
    <n v="1"/>
    <n v="1"/>
    <n v="1"/>
    <n v="1"/>
    <n v="1"/>
    <n v="1"/>
    <n v="2"/>
    <n v="1"/>
    <m/>
    <n v="1"/>
    <n v="2"/>
    <n v="98"/>
    <m/>
    <n v="3"/>
    <n v="2"/>
    <n v="1"/>
    <x v="1"/>
    <n v="1947"/>
    <n v="1"/>
    <m/>
    <n v="6"/>
    <m/>
    <n v="4"/>
    <m/>
    <n v="1"/>
    <m/>
    <n v="2"/>
    <n v="1"/>
    <n v="66"/>
    <x v="3"/>
    <n v="2"/>
    <n v="3"/>
    <n v="2"/>
  </r>
  <r>
    <x v="1"/>
    <n v="1"/>
    <n v="2"/>
    <n v="1"/>
    <n v="2"/>
    <n v="2"/>
    <n v="1"/>
    <n v="2"/>
    <m/>
    <n v="3"/>
    <n v="7"/>
    <n v="1"/>
    <n v="1"/>
    <n v="2"/>
    <n v="2"/>
    <n v="2"/>
    <n v="3"/>
    <n v="3"/>
    <n v="2"/>
    <n v="3"/>
    <m/>
    <m/>
    <n v="2"/>
    <n v="1"/>
    <n v="1"/>
    <n v="1"/>
    <n v="2"/>
    <n v="2"/>
    <n v="2"/>
    <n v="2"/>
    <n v="4"/>
    <m/>
    <m/>
    <n v="2"/>
    <m/>
    <m/>
    <m/>
    <n v="5"/>
    <n v="4"/>
    <n v="3"/>
    <x v="2"/>
    <n v="1984"/>
    <n v="3"/>
    <m/>
    <n v="4"/>
    <m/>
    <n v="6"/>
    <m/>
    <n v="3"/>
    <m/>
    <n v="1"/>
    <n v="1"/>
    <n v="29"/>
    <x v="1"/>
    <n v="2"/>
    <n v="4"/>
    <n v="2"/>
  </r>
  <r>
    <x v="2"/>
    <n v="2"/>
    <n v="1"/>
    <n v="1"/>
    <n v="1"/>
    <n v="1"/>
    <n v="2"/>
    <n v="1"/>
    <n v="1"/>
    <n v="4"/>
    <n v="1"/>
    <n v="2"/>
    <n v="1"/>
    <n v="2"/>
    <n v="1"/>
    <n v="1"/>
    <n v="2"/>
    <n v="8"/>
    <n v="3"/>
    <n v="2"/>
    <m/>
    <m/>
    <n v="1"/>
    <n v="2"/>
    <n v="2"/>
    <n v="2"/>
    <n v="2"/>
    <n v="2"/>
    <n v="1"/>
    <n v="1"/>
    <n v="1"/>
    <n v="8"/>
    <m/>
    <n v="2"/>
    <m/>
    <m/>
    <m/>
    <n v="3"/>
    <n v="3"/>
    <n v="1"/>
    <x v="1"/>
    <n v="1989"/>
    <n v="2"/>
    <m/>
    <n v="7"/>
    <m/>
    <n v="4"/>
    <m/>
    <n v="2"/>
    <m/>
    <n v="2"/>
    <n v="1"/>
    <n v="24"/>
    <x v="1"/>
    <n v="2"/>
    <n v="2"/>
    <n v="2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4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7"/>
    <m/>
    <m/>
    <m/>
    <m/>
    <m/>
    <m/>
    <m/>
    <m/>
    <m/>
    <n v="1"/>
    <n v="26"/>
    <x v="1"/>
    <n v="2"/>
    <n v="4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3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1"/>
    <m/>
    <m/>
    <m/>
    <m/>
    <m/>
    <m/>
    <m/>
    <m/>
    <m/>
    <n v="1"/>
    <n v="32"/>
    <x v="1"/>
    <n v="2"/>
    <n v="4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70"/>
    <m/>
    <m/>
    <m/>
    <m/>
    <m/>
    <m/>
    <m/>
    <m/>
    <m/>
    <n v="1"/>
    <n v="43"/>
    <x v="2"/>
    <n v="2"/>
    <n v="4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2"/>
    <n v="4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</pivotCacheRecords>
</file>

<file path=xl/pivotCache/pivotCacheRecords41.xml><?xml version="1.0" encoding="utf-8"?>
<pivotCacheRecords xmlns="http://schemas.openxmlformats.org/spreadsheetml/2006/main" xmlns:r="http://schemas.openxmlformats.org/officeDocument/2006/relationships" count="632">
  <r>
    <x v="0"/>
    <s v="Veuillez répondre à chacun des énoncés suivants. Je garde les portes extérieures de mon domicile constamment verrouillées, même lorsque je suis chez moi. "/>
    <s v="Veuillez répondre à chacun des énoncés suivants. Spécialement par mesure de protection, il y a un chien à mon domicile. "/>
    <s v="Veuillez répondre à chacun des énoncés suivants. J'ai un système d'alarme que j'active régulièrement pour protéger mon domicile contre le vol."/>
    <s v="Veuillez répondre à chacun des énoncés suivants. Spécialement par mesure de protection, j'ai suivi un cours d'autodéfense. "/>
    <s v="Veuillez répondre à chacun des énoncés suivants. Spécialement par mesure de protection, il y a une arme à feu à mon domicile. "/>
    <s v="Est-ce qu'il y a à votre domicile au moins un détecteur de fumée fonctionnel par étage ? "/>
    <s v="Le bon fonctionnement de cet/ces appareil(s) a-t-il été vérifié, au cours des douze (12) derniers mois ?"/>
    <s v="Veuillez nous dire votre degré de satisfaction à l'égard : du déneigement et du déglaçage des rues et des trottoirs de votre quartier ? "/>
    <s v="Veuillez nous dire votre degré de satisfaction à l'égard :  de la propreté et de l'entretien des parcs et terrains de jeux de votre quartier ?"/>
    <s v="Veuillez nous dire votre degré de satisfaction à l'égard :  de la sécurité des équipements dans les parcs, aires de jeux ou centre récréatif ou sportif de votre quartier ? "/>
    <s v="Votre quartier est-il desservi par un service de police municipal, une régie intermunicipale ou par la Sûreté du Québec ?"/>
    <s v="Quel est votre niveau de satisfaction à l'égard de la présence des policiers dans votre quartier ?"/>
    <s v="Quel est votre niveau de satisfaction à l'égard du travail effectué par les policiers dans votre quartier ?"/>
    <s v="De façon plus spécifique, quel est votre niveau de satisfaction à l'égard du travail effectué par les policiers : auprès des jeunes de votre quartier"/>
    <s v="De façon plus spécifique, quel est votre niveau de satisfaction à l'égard du travail effectué par les policiers : pour assurer la sécurité routière dans votre quartier"/>
    <s v="De façon plus spécifique, quel est votre niveau de satisfaction à l'égard du travail effectué par les policiers : pour régler des problèmes de délinquance ou de désordres qui surviennent dans votre quartier"/>
    <s v="Au cours des deux dernières années, combien de fois avez-vous fait appel au service de police qui dessert votre quartier ?"/>
    <s v="En vous référant à l'événement le plus récent, quel est votre niveau de satisfaction à l'égard de la réponse que vous avez reçue ?"/>
    <s v="Pourquoi ? Peu"/>
    <s v="Pourquoi ? Pas"/>
    <s v="Au cours des deux dernières années, vous êtes vous IMPLIQUÉ SUR UNE BASE RÉGULIÈRE dans les activités suivantes de votre quartier : Dans un comité ou un organisme préoccupé par les problèmes de sécurité de votre quartier ?"/>
    <s v="Au cours des deux dernières années, vous êtes vous IMPLIQUÉ SUR UNE BASE RÉGULIÈRE dans les activités suivantes de votre quartier : Dans des assemblées du conseil municipal ?"/>
    <s v="Au cours des deux dernières années, vous êtes vous IMPLIQUÉ SUR UNE BASE RÉGULIÈRE dans les activités suivantes de votre quartier : Dans un conseil de quartier ou d'arrondissement ?"/>
    <s v="Au cours des deux dernières années, vous êtes vous IMPLIQUÉ SUR UNE BASE RÉGULIÈRE dans les activités suivantes de votre quartier : Dans un comité de citoyens ?"/>
    <s v="Au cours des deux dernières années, vous êtes vous IMPLIQUÉ SUR UNE BASE RÉGULIÈRE dans les activités suivantes de votre quartier : Dans des activités communautaires, d'entraide ou de bénévolat (cuisine communautaire, bazar)"/>
    <s v="Au cours des deux dernières années, vous êtes vous IMPLIQUÉ SUR UNE BASE RÉGULIÈRE dans les activités suivantes de votre quartier : Dans des activités sociales, culturelles ou sportives organisées par les gens de votre quartier ou de votre municipalité ?"/>
    <s v="Au cours des deux dernières années, avez-vous été victime de vol, de vandalisme ou de tout autre crime contre vos biens, chez vous ou dans votre quartier ?"/>
    <s v="Au cours des deux dernières années, avez-vous été victime d'une agression, d'intimidation ou de tout autre acte de violence, chez vous ou dans votre quartier ?"/>
    <s v="Au cours des deux dernières années avez-vous été victime dans votre quartier d'une quelconque forme de discrimination ?"/>
    <s v="À votre avis, le motif de cette discrimination était lié …"/>
    <s v="Autre, précisez :"/>
    <s v="Au cours des deux dernières années, avez-vous subi un accident qui vous a occasionné une blessure pour laquelle vous avez dû consulter un professionnel de la santé ou limiter vos activités ?"/>
    <s v="Combien de fois cela s'est-il produit ?"/>
    <s v="En se référant au dernier événement, était-ce … ?"/>
    <s v="Autre, précisez :"/>
    <s v="Maintenant, comparativement à d'autres personnes de votre âge, dirirez-vous que votre santé est en général …"/>
    <s v="Dans quel quartier habitez-vous ?"/>
    <s v="Combien de personne de moins de 18 ans habitent dans votre foyer ?"/>
    <x v="0"/>
    <s v="Quelle est votre année de naissance ?"/>
    <s v="Êtes-vous propriétaire ou locataire du logement que vous habitez ?"/>
    <s v="Autre, précisez : "/>
    <s v="Habitez-vous dans …"/>
    <s v="Autre, précisez : "/>
    <s v="Quel est votre état civil ?"/>
    <s v="Autre, précisez : "/>
    <s v="Où est situé votre lieu de travail habituel ?"/>
    <s v="Autre, précisez : "/>
    <s v="Quel est le plus haut niveau de scolarité que vous avez complété ?"/>
    <m/>
    <m/>
    <x v="0"/>
    <m/>
    <m/>
    <m/>
  </r>
  <r>
    <x v="1"/>
    <n v="1"/>
    <n v="1"/>
    <n v="2"/>
    <n v="1"/>
    <n v="2"/>
    <n v="2"/>
    <m/>
    <n v="1"/>
    <n v="7"/>
    <n v="4"/>
    <n v="8"/>
    <n v="1"/>
    <n v="4"/>
    <n v="8"/>
    <n v="2"/>
    <n v="2"/>
    <n v="1"/>
    <m/>
    <m/>
    <m/>
    <n v="1"/>
    <n v="2"/>
    <n v="1"/>
    <n v="2"/>
    <n v="2"/>
    <n v="1"/>
    <n v="1"/>
    <n v="2"/>
    <n v="1"/>
    <n v="2"/>
    <m/>
    <n v="1"/>
    <n v="4"/>
    <n v="5"/>
    <m/>
    <n v="2"/>
    <n v="4"/>
    <n v="5"/>
    <x v="1"/>
    <n v="1981"/>
    <n v="2"/>
    <m/>
    <n v="7"/>
    <m/>
    <n v="1"/>
    <m/>
    <n v="1"/>
    <m/>
    <n v="4"/>
    <n v="1"/>
    <n v="32"/>
    <x v="1"/>
    <n v="1"/>
    <n v="1"/>
    <n v="1"/>
  </r>
  <r>
    <x v="2"/>
    <n v="1"/>
    <n v="1"/>
    <n v="1"/>
    <n v="1"/>
    <n v="1"/>
    <n v="1"/>
    <n v="1"/>
    <n v="2"/>
    <n v="4"/>
    <n v="1"/>
    <n v="1"/>
    <n v="4"/>
    <n v="8"/>
    <n v="1"/>
    <n v="4"/>
    <n v="1"/>
    <n v="2"/>
    <n v="1"/>
    <m/>
    <m/>
    <n v="2"/>
    <n v="1"/>
    <n v="1"/>
    <n v="2"/>
    <n v="2"/>
    <n v="1"/>
    <n v="2"/>
    <n v="1"/>
    <n v="2"/>
    <n v="1"/>
    <m/>
    <n v="2"/>
    <m/>
    <m/>
    <m/>
    <n v="4"/>
    <n v="1"/>
    <n v="2"/>
    <x v="2"/>
    <n v="1970"/>
    <n v="1"/>
    <m/>
    <n v="5"/>
    <m/>
    <n v="2"/>
    <m/>
    <n v="2"/>
    <m/>
    <n v="1"/>
    <n v="1"/>
    <n v="43"/>
    <x v="2"/>
    <n v="2"/>
    <n v="3"/>
    <n v="2"/>
  </r>
  <r>
    <x v="2"/>
    <n v="1"/>
    <n v="1"/>
    <n v="1"/>
    <n v="2"/>
    <n v="1"/>
    <n v="1"/>
    <n v="2"/>
    <n v="3"/>
    <n v="1"/>
    <n v="2"/>
    <n v="3"/>
    <n v="2"/>
    <n v="1"/>
    <n v="2"/>
    <n v="3"/>
    <n v="4"/>
    <n v="3"/>
    <n v="3"/>
    <m/>
    <m/>
    <n v="2"/>
    <n v="1"/>
    <n v="2"/>
    <n v="2"/>
    <n v="2"/>
    <n v="2"/>
    <n v="2"/>
    <n v="1"/>
    <n v="3"/>
    <n v="3"/>
    <m/>
    <n v="1"/>
    <n v="2"/>
    <n v="8"/>
    <m/>
    <n v="5"/>
    <n v="4"/>
    <n v="4"/>
    <x v="2"/>
    <n v="1990"/>
    <n v="3"/>
    <m/>
    <n v="4"/>
    <m/>
    <n v="4"/>
    <m/>
    <n v="3"/>
    <m/>
    <n v="2"/>
    <n v="1"/>
    <n v="23"/>
    <x v="1"/>
    <n v="2"/>
    <n v="4"/>
    <n v="2"/>
  </r>
  <r>
    <x v="2"/>
    <n v="2"/>
    <n v="1"/>
    <n v="2"/>
    <n v="2"/>
    <n v="1"/>
    <n v="1"/>
    <n v="1"/>
    <n v="4"/>
    <n v="3"/>
    <n v="3"/>
    <n v="2"/>
    <n v="3"/>
    <n v="1"/>
    <n v="3"/>
    <n v="2"/>
    <n v="2"/>
    <n v="4"/>
    <n v="2"/>
    <m/>
    <m/>
    <n v="2"/>
    <n v="1"/>
    <n v="2"/>
    <n v="2"/>
    <n v="1"/>
    <n v="2"/>
    <n v="2"/>
    <n v="2"/>
    <n v="4"/>
    <m/>
    <m/>
    <n v="1"/>
    <n v="2"/>
    <n v="7"/>
    <m/>
    <n v="1"/>
    <n v="2"/>
    <n v="1"/>
    <x v="2"/>
    <n v="1983"/>
    <n v="1"/>
    <m/>
    <n v="1"/>
    <m/>
    <n v="1"/>
    <m/>
    <n v="4"/>
    <m/>
    <n v="3"/>
    <n v="1"/>
    <n v="30"/>
    <x v="1"/>
    <n v="2"/>
    <n v="3"/>
    <n v="2"/>
  </r>
  <r>
    <x v="1"/>
    <n v="2"/>
    <n v="2"/>
    <n v="2"/>
    <n v="1"/>
    <n v="2"/>
    <n v="2"/>
    <m/>
    <n v="7"/>
    <n v="3"/>
    <n v="3"/>
    <n v="1"/>
    <n v="2"/>
    <n v="3"/>
    <n v="2"/>
    <n v="1"/>
    <n v="3"/>
    <n v="2"/>
    <n v="4"/>
    <m/>
    <m/>
    <n v="1"/>
    <n v="2"/>
    <n v="2"/>
    <n v="1"/>
    <n v="1"/>
    <n v="2"/>
    <n v="2"/>
    <n v="1"/>
    <n v="1"/>
    <n v="6"/>
    <m/>
    <n v="2"/>
    <m/>
    <m/>
    <m/>
    <n v="3"/>
    <n v="3"/>
    <m/>
    <x v="2"/>
    <n v="1967"/>
    <n v="1"/>
    <m/>
    <n v="2"/>
    <m/>
    <n v="3"/>
    <m/>
    <n v="4"/>
    <m/>
    <n v="2"/>
    <n v="1"/>
    <n v="46"/>
    <x v="2"/>
    <n v="3"/>
    <n v="5"/>
    <n v="3"/>
  </r>
  <r>
    <x v="1"/>
    <n v="2"/>
    <n v="2"/>
    <n v="1"/>
    <n v="1"/>
    <n v="2"/>
    <n v="1"/>
    <n v="1"/>
    <n v="4"/>
    <n v="2"/>
    <n v="2"/>
    <n v="2"/>
    <n v="3"/>
    <n v="2"/>
    <n v="4"/>
    <n v="4"/>
    <n v="2"/>
    <n v="1"/>
    <m/>
    <m/>
    <m/>
    <n v="1"/>
    <n v="2"/>
    <n v="1"/>
    <n v="1"/>
    <n v="2"/>
    <n v="1"/>
    <n v="1"/>
    <n v="2"/>
    <n v="4"/>
    <m/>
    <m/>
    <n v="2"/>
    <m/>
    <m/>
    <m/>
    <n v="2"/>
    <n v="2"/>
    <n v="1"/>
    <x v="2"/>
    <n v="1962"/>
    <n v="2"/>
    <m/>
    <n v="3"/>
    <m/>
    <n v="3"/>
    <m/>
    <n v="1"/>
    <m/>
    <n v="1"/>
    <n v="1"/>
    <n v="51"/>
    <x v="2"/>
    <n v="2"/>
    <n v="2"/>
    <n v="2"/>
  </r>
  <r>
    <x v="1"/>
    <n v="2"/>
    <n v="2"/>
    <n v="1"/>
    <n v="2"/>
    <n v="2"/>
    <n v="2"/>
    <m/>
    <n v="2"/>
    <n v="1"/>
    <n v="1"/>
    <n v="1"/>
    <n v="3"/>
    <n v="3"/>
    <n v="1"/>
    <n v="8"/>
    <n v="1"/>
    <n v="3"/>
    <n v="2"/>
    <m/>
    <m/>
    <n v="1"/>
    <n v="2"/>
    <n v="1"/>
    <n v="1"/>
    <n v="1"/>
    <n v="1"/>
    <n v="1"/>
    <n v="1"/>
    <n v="1"/>
    <n v="7"/>
    <m/>
    <n v="1"/>
    <n v="2"/>
    <n v="6"/>
    <m/>
    <n v="1"/>
    <n v="3"/>
    <n v="3"/>
    <x v="2"/>
    <n v="1994"/>
    <n v="3"/>
    <m/>
    <n v="3"/>
    <m/>
    <n v="2"/>
    <m/>
    <n v="2"/>
    <m/>
    <n v="4"/>
    <n v="1"/>
    <n v="19"/>
    <x v="1"/>
    <n v="2"/>
    <n v="4"/>
    <n v="2"/>
  </r>
  <r>
    <x v="1"/>
    <n v="2"/>
    <n v="2"/>
    <n v="2"/>
    <n v="1"/>
    <n v="2"/>
    <n v="1"/>
    <n v="2"/>
    <n v="3"/>
    <n v="1"/>
    <n v="2"/>
    <n v="3"/>
    <n v="4"/>
    <n v="2"/>
    <n v="3"/>
    <n v="8"/>
    <n v="4"/>
    <n v="2"/>
    <n v="1"/>
    <m/>
    <m/>
    <n v="1"/>
    <n v="1"/>
    <n v="1"/>
    <n v="1"/>
    <n v="1"/>
    <n v="1"/>
    <n v="1"/>
    <n v="2"/>
    <n v="3"/>
    <n v="2"/>
    <m/>
    <n v="2"/>
    <m/>
    <m/>
    <m/>
    <n v="3"/>
    <n v="2"/>
    <n v="2"/>
    <x v="1"/>
    <n v="1983"/>
    <n v="2"/>
    <m/>
    <n v="2"/>
    <m/>
    <n v="1"/>
    <m/>
    <n v="3"/>
    <m/>
    <n v="1"/>
    <n v="1"/>
    <n v="30"/>
    <x v="1"/>
    <n v="2"/>
    <n v="4"/>
    <n v="2"/>
  </r>
  <r>
    <x v="1"/>
    <n v="2"/>
    <n v="2"/>
    <n v="1"/>
    <n v="2"/>
    <n v="2"/>
    <n v="2"/>
    <m/>
    <n v="1"/>
    <n v="4"/>
    <n v="3"/>
    <n v="2"/>
    <n v="1"/>
    <n v="3"/>
    <n v="2"/>
    <n v="8"/>
    <n v="2"/>
    <n v="1"/>
    <m/>
    <m/>
    <m/>
    <n v="2"/>
    <n v="1"/>
    <n v="2"/>
    <n v="2"/>
    <n v="1"/>
    <n v="2"/>
    <n v="1"/>
    <n v="1"/>
    <n v="2"/>
    <n v="2"/>
    <m/>
    <n v="1"/>
    <n v="1"/>
    <n v="1"/>
    <m/>
    <n v="8"/>
    <n v="3"/>
    <n v="5"/>
    <x v="1"/>
    <n v="1975"/>
    <n v="3"/>
    <m/>
    <n v="2"/>
    <m/>
    <n v="4"/>
    <m/>
    <n v="2"/>
    <m/>
    <n v="3"/>
    <n v="1"/>
    <n v="38"/>
    <x v="1"/>
    <n v="2"/>
    <n v="2"/>
    <n v="1"/>
  </r>
  <r>
    <x v="1"/>
    <n v="1"/>
    <n v="2"/>
    <n v="2"/>
    <n v="2"/>
    <n v="2"/>
    <n v="2"/>
    <m/>
    <n v="2"/>
    <n v="1"/>
    <n v="4"/>
    <n v="2"/>
    <n v="2"/>
    <n v="2"/>
    <n v="1"/>
    <n v="8"/>
    <n v="3"/>
    <n v="3"/>
    <n v="3"/>
    <m/>
    <m/>
    <n v="2"/>
    <n v="2"/>
    <n v="2"/>
    <n v="2"/>
    <n v="2"/>
    <n v="2"/>
    <n v="1"/>
    <n v="1"/>
    <n v="2"/>
    <n v="3"/>
    <m/>
    <n v="1"/>
    <n v="2"/>
    <n v="5"/>
    <m/>
    <n v="2"/>
    <n v="2"/>
    <n v="5"/>
    <x v="1"/>
    <n v="1979"/>
    <n v="3"/>
    <m/>
    <n v="1"/>
    <m/>
    <n v="1"/>
    <m/>
    <n v="1"/>
    <m/>
    <n v="2"/>
    <n v="1"/>
    <n v="34"/>
    <x v="1"/>
    <n v="1"/>
    <n v="1"/>
    <n v="1"/>
  </r>
  <r>
    <x v="2"/>
    <n v="1"/>
    <n v="2"/>
    <n v="1"/>
    <n v="1"/>
    <n v="1"/>
    <n v="2"/>
    <m/>
    <n v="3"/>
    <n v="2"/>
    <n v="1"/>
    <n v="2"/>
    <n v="4"/>
    <n v="4"/>
    <n v="4"/>
    <n v="3"/>
    <n v="8"/>
    <n v="1"/>
    <m/>
    <m/>
    <m/>
    <n v="2"/>
    <n v="2"/>
    <n v="2"/>
    <n v="2"/>
    <n v="2"/>
    <n v="2"/>
    <n v="2"/>
    <n v="2"/>
    <n v="3"/>
    <n v="5"/>
    <m/>
    <n v="2"/>
    <m/>
    <m/>
    <m/>
    <n v="1"/>
    <n v="1"/>
    <n v="5"/>
    <x v="1"/>
    <n v="1957"/>
    <n v="3"/>
    <m/>
    <n v="1"/>
    <m/>
    <n v="3"/>
    <m/>
    <n v="4"/>
    <m/>
    <n v="3"/>
    <n v="1"/>
    <n v="56"/>
    <x v="2"/>
    <n v="1"/>
    <n v="1"/>
    <n v="1"/>
  </r>
  <r>
    <x v="1"/>
    <n v="1"/>
    <n v="1"/>
    <n v="2"/>
    <n v="2"/>
    <n v="1"/>
    <n v="1"/>
    <n v="2"/>
    <n v="1"/>
    <n v="3"/>
    <n v="7"/>
    <n v="3"/>
    <n v="1"/>
    <n v="2"/>
    <n v="2"/>
    <n v="2"/>
    <n v="2"/>
    <n v="4"/>
    <n v="4"/>
    <m/>
    <m/>
    <n v="1"/>
    <n v="1"/>
    <n v="1"/>
    <n v="2"/>
    <n v="2"/>
    <n v="1"/>
    <n v="2"/>
    <n v="2"/>
    <n v="3"/>
    <n v="98"/>
    <m/>
    <n v="1"/>
    <n v="4"/>
    <n v="4"/>
    <m/>
    <n v="2"/>
    <n v="3"/>
    <m/>
    <x v="2"/>
    <n v="1946"/>
    <n v="2"/>
    <m/>
    <n v="5"/>
    <m/>
    <n v="2"/>
    <m/>
    <n v="2"/>
    <m/>
    <n v="2"/>
    <n v="1"/>
    <n v="67"/>
    <x v="3"/>
    <n v="2"/>
    <n v="4"/>
    <n v="3"/>
  </r>
  <r>
    <x v="2"/>
    <n v="2"/>
    <n v="1"/>
    <n v="1"/>
    <n v="1"/>
    <n v="1"/>
    <n v="2"/>
    <m/>
    <n v="2"/>
    <n v="1"/>
    <n v="4"/>
    <n v="3"/>
    <n v="3"/>
    <n v="3"/>
    <n v="3"/>
    <n v="1"/>
    <n v="1"/>
    <n v="1"/>
    <m/>
    <m/>
    <m/>
    <n v="1"/>
    <n v="2"/>
    <n v="1"/>
    <n v="1"/>
    <n v="1"/>
    <n v="1"/>
    <n v="1"/>
    <n v="1"/>
    <n v="2"/>
    <n v="1"/>
    <m/>
    <n v="1"/>
    <n v="2"/>
    <n v="98"/>
    <m/>
    <n v="3"/>
    <n v="2"/>
    <n v="1"/>
    <x v="1"/>
    <n v="1947"/>
    <n v="1"/>
    <m/>
    <n v="6"/>
    <m/>
    <n v="4"/>
    <m/>
    <n v="1"/>
    <m/>
    <n v="2"/>
    <n v="1"/>
    <n v="66"/>
    <x v="3"/>
    <n v="2"/>
    <n v="3"/>
    <n v="2"/>
  </r>
  <r>
    <x v="1"/>
    <n v="2"/>
    <n v="1"/>
    <n v="2"/>
    <n v="2"/>
    <n v="1"/>
    <n v="2"/>
    <m/>
    <n v="3"/>
    <n v="7"/>
    <n v="1"/>
    <n v="1"/>
    <n v="2"/>
    <n v="2"/>
    <n v="2"/>
    <n v="3"/>
    <n v="3"/>
    <n v="2"/>
    <n v="3"/>
    <m/>
    <m/>
    <n v="2"/>
    <n v="1"/>
    <n v="1"/>
    <n v="1"/>
    <n v="2"/>
    <n v="2"/>
    <n v="2"/>
    <n v="2"/>
    <n v="4"/>
    <m/>
    <m/>
    <n v="2"/>
    <m/>
    <m/>
    <m/>
    <n v="5"/>
    <n v="4"/>
    <n v="3"/>
    <x v="2"/>
    <n v="1984"/>
    <n v="3"/>
    <m/>
    <n v="4"/>
    <m/>
    <n v="6"/>
    <m/>
    <n v="3"/>
    <m/>
    <n v="1"/>
    <n v="1"/>
    <n v="29"/>
    <x v="1"/>
    <n v="2"/>
    <n v="4"/>
    <n v="2"/>
  </r>
  <r>
    <x v="2"/>
    <n v="1"/>
    <n v="1"/>
    <n v="1"/>
    <n v="1"/>
    <n v="2"/>
    <n v="1"/>
    <n v="1"/>
    <n v="4"/>
    <n v="1"/>
    <n v="2"/>
    <n v="1"/>
    <n v="2"/>
    <n v="1"/>
    <n v="1"/>
    <n v="2"/>
    <n v="8"/>
    <n v="3"/>
    <n v="2"/>
    <m/>
    <m/>
    <n v="1"/>
    <n v="2"/>
    <n v="2"/>
    <n v="2"/>
    <n v="2"/>
    <n v="2"/>
    <n v="1"/>
    <n v="1"/>
    <n v="1"/>
    <n v="8"/>
    <m/>
    <n v="2"/>
    <m/>
    <m/>
    <m/>
    <n v="3"/>
    <n v="3"/>
    <n v="1"/>
    <x v="1"/>
    <n v="1989"/>
    <n v="2"/>
    <m/>
    <n v="7"/>
    <m/>
    <n v="4"/>
    <m/>
    <n v="2"/>
    <m/>
    <n v="2"/>
    <n v="1"/>
    <n v="24"/>
    <x v="1"/>
    <n v="2"/>
    <n v="2"/>
    <n v="2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4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7"/>
    <m/>
    <m/>
    <m/>
    <m/>
    <m/>
    <m/>
    <m/>
    <m/>
    <m/>
    <n v="1"/>
    <n v="26"/>
    <x v="1"/>
    <n v="2"/>
    <n v="4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3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1"/>
    <m/>
    <m/>
    <m/>
    <m/>
    <m/>
    <m/>
    <m/>
    <m/>
    <m/>
    <n v="1"/>
    <n v="32"/>
    <x v="1"/>
    <n v="2"/>
    <n v="4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70"/>
    <m/>
    <m/>
    <m/>
    <m/>
    <m/>
    <m/>
    <m/>
    <m/>
    <m/>
    <n v="1"/>
    <n v="43"/>
    <x v="2"/>
    <n v="2"/>
    <n v="4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2"/>
    <n v="4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</pivotCacheRecords>
</file>

<file path=xl/pivotCache/pivotCacheRecords42.xml><?xml version="1.0" encoding="utf-8"?>
<pivotCacheRecords xmlns="http://schemas.openxmlformats.org/spreadsheetml/2006/main" xmlns:r="http://schemas.openxmlformats.org/officeDocument/2006/relationships" count="632">
  <r>
    <x v="0"/>
    <s v="Veuillez répondre à chacun des énoncés suivants. Spécialement par mesure de protection, il y a un chien à mon domicile. "/>
    <s v="Veuillez répondre à chacun des énoncés suivants. J'ai un système d'alarme que j'active régulièrement pour protéger mon domicile contre le vol."/>
    <s v="Veuillez répondre à chacun des énoncés suivants. Spécialement par mesure de protection, j'ai suivi un cours d'autodéfense. "/>
    <s v="Veuillez répondre à chacun des énoncés suivants. Spécialement par mesure de protection, il y a une arme à feu à mon domicile. "/>
    <s v="Est-ce qu'il y a à votre domicile au moins un détecteur de fumée fonctionnel par étage ? "/>
    <s v="Le bon fonctionnement de cet/ces appareil(s) a-t-il été vérifié, au cours des douze (12) derniers mois ?"/>
    <s v="Veuillez nous dire votre degré de satisfaction à l'égard : du déneigement et du déglaçage des rues et des trottoirs de votre quartier ? "/>
    <s v="Veuillez nous dire votre degré de satisfaction à l'égard :  de la propreté et de l'entretien des parcs et terrains de jeux de votre quartier ?"/>
    <s v="Veuillez nous dire votre degré de satisfaction à l'égard :  de la sécurité des équipements dans les parcs, aires de jeux ou centre récréatif ou sportif de votre quartier ? "/>
    <s v="Votre quartier est-il desservi par un service de police municipal, une régie intermunicipale ou par la Sûreté du Québec ?"/>
    <s v="Quel est votre niveau de satisfaction à l'égard de la présence des policiers dans votre quartier ?"/>
    <s v="Quel est votre niveau de satisfaction à l'égard du travail effectué par les policiers dans votre quartier ?"/>
    <s v="De façon plus spécifique, quel est votre niveau de satisfaction à l'égard du travail effectué par les policiers : auprès des jeunes de votre quartier"/>
    <s v="De façon plus spécifique, quel est votre niveau de satisfaction à l'égard du travail effectué par les policiers : pour assurer la sécurité routière dans votre quartier"/>
    <s v="De façon plus spécifique, quel est votre niveau de satisfaction à l'égard du travail effectué par les policiers : pour régler des problèmes de délinquance ou de désordres qui surviennent dans votre quartier"/>
    <s v="Au cours des deux dernières années, combien de fois avez-vous fait appel au service de police qui dessert votre quartier ?"/>
    <s v="En vous référant à l'événement le plus récent, quel est votre niveau de satisfaction à l'égard de la réponse que vous avez reçue ?"/>
    <s v="Pourquoi ? Peu"/>
    <s v="Pourquoi ? Pas"/>
    <s v="Au cours des deux dernières années, vous êtes vous IMPLIQUÉ SUR UNE BASE RÉGULIÈRE dans les activités suivantes de votre quartier : Dans un comité ou un organisme préoccupé par les problèmes de sécurité de votre quartier ?"/>
    <s v="Au cours des deux dernières années, vous êtes vous IMPLIQUÉ SUR UNE BASE RÉGULIÈRE dans les activités suivantes de votre quartier : Dans des assemblées du conseil municipal ?"/>
    <s v="Au cours des deux dernières années, vous êtes vous IMPLIQUÉ SUR UNE BASE RÉGULIÈRE dans les activités suivantes de votre quartier : Dans un conseil de quartier ou d'arrondissement ?"/>
    <s v="Au cours des deux dernières années, vous êtes vous IMPLIQUÉ SUR UNE BASE RÉGULIÈRE dans les activités suivantes de votre quartier : Dans un comité de citoyens ?"/>
    <s v="Au cours des deux dernières années, vous êtes vous IMPLIQUÉ SUR UNE BASE RÉGULIÈRE dans les activités suivantes de votre quartier : Dans des activités communautaires, d'entraide ou de bénévolat (cuisine communautaire, bazar)"/>
    <s v="Au cours des deux dernières années, vous êtes vous IMPLIQUÉ SUR UNE BASE RÉGULIÈRE dans les activités suivantes de votre quartier : Dans des activités sociales, culturelles ou sportives organisées par les gens de votre quartier ou de votre municipalité ?"/>
    <s v="Au cours des deux dernières années, avez-vous été victime de vol, de vandalisme ou de tout autre crime contre vos biens, chez vous ou dans votre quartier ?"/>
    <s v="Au cours des deux dernières années, avez-vous été victime d'une agression, d'intimidation ou de tout autre acte de violence, chez vous ou dans votre quartier ?"/>
    <s v="Au cours des deux dernières années avez-vous été victime dans votre quartier d'une quelconque forme de discrimination ?"/>
    <s v="À votre avis, le motif de cette discrimination était lié …"/>
    <s v="Autre, précisez :"/>
    <s v="Au cours des deux dernières années, avez-vous subi un accident qui vous a occasionné une blessure pour laquelle vous avez dû consulter un professionnel de la santé ou limiter vos activités ?"/>
    <s v="Combien de fois cela s'est-il produit ?"/>
    <s v="En se référant au dernier événement, était-ce … ?"/>
    <s v="Autre, précisez :"/>
    <s v="Maintenant, comparativement à d'autres personnes de votre âge, dirirez-vous que votre santé est en général …"/>
    <s v="Dans quel quartier habitez-vous ?"/>
    <s v="Combien de personne de moins de 18 ans habitent dans votre foyer ?"/>
    <x v="0"/>
    <s v="Quelle est votre année de naissance ?"/>
    <s v="Êtes-vous propriétaire ou locataire du logement que vous habitez ?"/>
    <s v="Autre, précisez : "/>
    <s v="Habitez-vous dans …"/>
    <s v="Autre, précisez : "/>
    <s v="Quel est votre état civil ?"/>
    <s v="Autre, précisez : "/>
    <s v="Où est situé votre lieu de travail habituel ?"/>
    <s v="Autre, précisez : "/>
    <s v="Quel est le plus haut niveau de scolarité que vous avez complété ?"/>
    <m/>
    <m/>
    <x v="0"/>
    <m/>
    <m/>
    <m/>
  </r>
  <r>
    <x v="1"/>
    <n v="1"/>
    <n v="2"/>
    <n v="1"/>
    <n v="2"/>
    <n v="2"/>
    <m/>
    <n v="1"/>
    <n v="7"/>
    <n v="4"/>
    <n v="8"/>
    <n v="1"/>
    <n v="4"/>
    <n v="8"/>
    <n v="2"/>
    <n v="2"/>
    <n v="1"/>
    <m/>
    <m/>
    <m/>
    <n v="1"/>
    <n v="2"/>
    <n v="1"/>
    <n v="2"/>
    <n v="2"/>
    <n v="1"/>
    <n v="1"/>
    <n v="2"/>
    <n v="1"/>
    <n v="2"/>
    <m/>
    <n v="1"/>
    <n v="4"/>
    <n v="5"/>
    <m/>
    <n v="2"/>
    <n v="4"/>
    <n v="5"/>
    <x v="1"/>
    <n v="1981"/>
    <n v="2"/>
    <m/>
    <n v="7"/>
    <m/>
    <n v="1"/>
    <m/>
    <n v="1"/>
    <m/>
    <n v="4"/>
    <n v="1"/>
    <n v="32"/>
    <x v="1"/>
    <n v="1"/>
    <n v="1"/>
    <n v="1"/>
  </r>
  <r>
    <x v="1"/>
    <n v="1"/>
    <n v="1"/>
    <n v="1"/>
    <n v="1"/>
    <n v="1"/>
    <n v="1"/>
    <n v="2"/>
    <n v="4"/>
    <n v="1"/>
    <n v="1"/>
    <n v="4"/>
    <n v="8"/>
    <n v="1"/>
    <n v="4"/>
    <n v="1"/>
    <n v="2"/>
    <n v="1"/>
    <m/>
    <m/>
    <n v="2"/>
    <n v="1"/>
    <n v="1"/>
    <n v="2"/>
    <n v="2"/>
    <n v="1"/>
    <n v="2"/>
    <n v="1"/>
    <n v="2"/>
    <n v="1"/>
    <m/>
    <n v="2"/>
    <m/>
    <m/>
    <m/>
    <n v="4"/>
    <n v="1"/>
    <n v="2"/>
    <x v="2"/>
    <n v="1970"/>
    <n v="1"/>
    <m/>
    <n v="5"/>
    <m/>
    <n v="2"/>
    <m/>
    <n v="2"/>
    <m/>
    <n v="1"/>
    <n v="1"/>
    <n v="43"/>
    <x v="2"/>
    <n v="2"/>
    <n v="3"/>
    <n v="2"/>
  </r>
  <r>
    <x v="1"/>
    <n v="1"/>
    <n v="1"/>
    <n v="2"/>
    <n v="1"/>
    <n v="1"/>
    <n v="2"/>
    <n v="3"/>
    <n v="1"/>
    <n v="2"/>
    <n v="3"/>
    <n v="2"/>
    <n v="1"/>
    <n v="2"/>
    <n v="3"/>
    <n v="4"/>
    <n v="3"/>
    <n v="3"/>
    <m/>
    <m/>
    <n v="2"/>
    <n v="1"/>
    <n v="2"/>
    <n v="2"/>
    <n v="2"/>
    <n v="2"/>
    <n v="2"/>
    <n v="1"/>
    <n v="3"/>
    <n v="3"/>
    <m/>
    <n v="1"/>
    <n v="2"/>
    <n v="8"/>
    <m/>
    <n v="5"/>
    <n v="4"/>
    <n v="4"/>
    <x v="2"/>
    <n v="1990"/>
    <n v="3"/>
    <m/>
    <n v="4"/>
    <m/>
    <n v="4"/>
    <m/>
    <n v="3"/>
    <m/>
    <n v="2"/>
    <n v="1"/>
    <n v="23"/>
    <x v="1"/>
    <n v="2"/>
    <n v="4"/>
    <n v="2"/>
  </r>
  <r>
    <x v="2"/>
    <n v="1"/>
    <n v="2"/>
    <n v="2"/>
    <n v="1"/>
    <n v="1"/>
    <n v="1"/>
    <n v="4"/>
    <n v="3"/>
    <n v="3"/>
    <n v="2"/>
    <n v="3"/>
    <n v="1"/>
    <n v="3"/>
    <n v="2"/>
    <n v="2"/>
    <n v="4"/>
    <n v="2"/>
    <m/>
    <m/>
    <n v="2"/>
    <n v="1"/>
    <n v="2"/>
    <n v="2"/>
    <n v="1"/>
    <n v="2"/>
    <n v="2"/>
    <n v="2"/>
    <n v="4"/>
    <m/>
    <m/>
    <n v="1"/>
    <n v="2"/>
    <n v="7"/>
    <m/>
    <n v="1"/>
    <n v="2"/>
    <n v="1"/>
    <x v="2"/>
    <n v="1983"/>
    <n v="1"/>
    <m/>
    <n v="1"/>
    <m/>
    <n v="1"/>
    <m/>
    <n v="4"/>
    <m/>
    <n v="3"/>
    <n v="1"/>
    <n v="30"/>
    <x v="1"/>
    <n v="2"/>
    <n v="3"/>
    <n v="2"/>
  </r>
  <r>
    <x v="2"/>
    <n v="2"/>
    <n v="2"/>
    <n v="1"/>
    <n v="2"/>
    <n v="2"/>
    <m/>
    <n v="7"/>
    <n v="3"/>
    <n v="3"/>
    <n v="1"/>
    <n v="2"/>
    <n v="3"/>
    <n v="2"/>
    <n v="1"/>
    <n v="3"/>
    <n v="2"/>
    <n v="4"/>
    <m/>
    <m/>
    <n v="1"/>
    <n v="2"/>
    <n v="2"/>
    <n v="1"/>
    <n v="1"/>
    <n v="2"/>
    <n v="2"/>
    <n v="1"/>
    <n v="1"/>
    <n v="6"/>
    <m/>
    <n v="2"/>
    <m/>
    <m/>
    <m/>
    <n v="3"/>
    <n v="3"/>
    <m/>
    <x v="2"/>
    <n v="1967"/>
    <n v="1"/>
    <m/>
    <n v="2"/>
    <m/>
    <n v="3"/>
    <m/>
    <n v="4"/>
    <m/>
    <n v="2"/>
    <n v="1"/>
    <n v="46"/>
    <x v="2"/>
    <n v="3"/>
    <n v="5"/>
    <n v="3"/>
  </r>
  <r>
    <x v="2"/>
    <n v="2"/>
    <n v="1"/>
    <n v="1"/>
    <n v="2"/>
    <n v="1"/>
    <n v="1"/>
    <n v="4"/>
    <n v="2"/>
    <n v="2"/>
    <n v="2"/>
    <n v="3"/>
    <n v="2"/>
    <n v="4"/>
    <n v="4"/>
    <n v="2"/>
    <n v="1"/>
    <m/>
    <m/>
    <m/>
    <n v="1"/>
    <n v="2"/>
    <n v="1"/>
    <n v="1"/>
    <n v="2"/>
    <n v="1"/>
    <n v="1"/>
    <n v="2"/>
    <n v="4"/>
    <m/>
    <m/>
    <n v="2"/>
    <m/>
    <m/>
    <m/>
    <n v="2"/>
    <n v="2"/>
    <n v="1"/>
    <x v="2"/>
    <n v="1962"/>
    <n v="2"/>
    <m/>
    <n v="3"/>
    <m/>
    <n v="3"/>
    <m/>
    <n v="1"/>
    <m/>
    <n v="1"/>
    <n v="1"/>
    <n v="51"/>
    <x v="2"/>
    <n v="2"/>
    <n v="2"/>
    <n v="2"/>
  </r>
  <r>
    <x v="2"/>
    <n v="2"/>
    <n v="1"/>
    <n v="2"/>
    <n v="2"/>
    <n v="2"/>
    <m/>
    <n v="2"/>
    <n v="1"/>
    <n v="1"/>
    <n v="1"/>
    <n v="3"/>
    <n v="3"/>
    <n v="1"/>
    <n v="8"/>
    <n v="1"/>
    <n v="3"/>
    <n v="2"/>
    <m/>
    <m/>
    <n v="1"/>
    <n v="2"/>
    <n v="1"/>
    <n v="1"/>
    <n v="1"/>
    <n v="1"/>
    <n v="1"/>
    <n v="1"/>
    <n v="1"/>
    <n v="7"/>
    <m/>
    <n v="1"/>
    <n v="2"/>
    <n v="6"/>
    <m/>
    <n v="1"/>
    <n v="3"/>
    <n v="3"/>
    <x v="2"/>
    <n v="1994"/>
    <n v="3"/>
    <m/>
    <n v="3"/>
    <m/>
    <n v="2"/>
    <m/>
    <n v="2"/>
    <m/>
    <n v="4"/>
    <n v="1"/>
    <n v="19"/>
    <x v="1"/>
    <n v="2"/>
    <n v="4"/>
    <n v="2"/>
  </r>
  <r>
    <x v="2"/>
    <n v="2"/>
    <n v="2"/>
    <n v="1"/>
    <n v="2"/>
    <n v="1"/>
    <n v="2"/>
    <n v="3"/>
    <n v="1"/>
    <n v="2"/>
    <n v="3"/>
    <n v="4"/>
    <n v="2"/>
    <n v="3"/>
    <n v="8"/>
    <n v="4"/>
    <n v="2"/>
    <n v="1"/>
    <m/>
    <m/>
    <n v="1"/>
    <n v="1"/>
    <n v="1"/>
    <n v="1"/>
    <n v="1"/>
    <n v="1"/>
    <n v="1"/>
    <n v="2"/>
    <n v="3"/>
    <n v="2"/>
    <m/>
    <n v="2"/>
    <m/>
    <m/>
    <m/>
    <n v="3"/>
    <n v="2"/>
    <n v="2"/>
    <x v="1"/>
    <n v="1983"/>
    <n v="2"/>
    <m/>
    <n v="2"/>
    <m/>
    <n v="1"/>
    <m/>
    <n v="3"/>
    <m/>
    <n v="1"/>
    <n v="1"/>
    <n v="30"/>
    <x v="1"/>
    <n v="2"/>
    <n v="4"/>
    <n v="2"/>
  </r>
  <r>
    <x v="2"/>
    <n v="2"/>
    <n v="1"/>
    <n v="2"/>
    <n v="2"/>
    <n v="2"/>
    <m/>
    <n v="1"/>
    <n v="4"/>
    <n v="3"/>
    <n v="2"/>
    <n v="1"/>
    <n v="3"/>
    <n v="2"/>
    <n v="8"/>
    <n v="2"/>
    <n v="1"/>
    <m/>
    <m/>
    <m/>
    <n v="2"/>
    <n v="1"/>
    <n v="2"/>
    <n v="2"/>
    <n v="1"/>
    <n v="2"/>
    <n v="1"/>
    <n v="1"/>
    <n v="2"/>
    <n v="2"/>
    <m/>
    <n v="1"/>
    <n v="1"/>
    <n v="1"/>
    <m/>
    <n v="8"/>
    <n v="3"/>
    <n v="5"/>
    <x v="1"/>
    <n v="1975"/>
    <n v="3"/>
    <m/>
    <n v="2"/>
    <m/>
    <n v="4"/>
    <m/>
    <n v="2"/>
    <m/>
    <n v="3"/>
    <n v="1"/>
    <n v="38"/>
    <x v="1"/>
    <n v="2"/>
    <n v="2"/>
    <n v="1"/>
  </r>
  <r>
    <x v="1"/>
    <n v="2"/>
    <n v="2"/>
    <n v="2"/>
    <n v="2"/>
    <n v="2"/>
    <m/>
    <n v="2"/>
    <n v="1"/>
    <n v="4"/>
    <n v="2"/>
    <n v="2"/>
    <n v="2"/>
    <n v="1"/>
    <n v="8"/>
    <n v="3"/>
    <n v="3"/>
    <n v="3"/>
    <m/>
    <m/>
    <n v="2"/>
    <n v="2"/>
    <n v="2"/>
    <n v="2"/>
    <n v="2"/>
    <n v="2"/>
    <n v="1"/>
    <n v="1"/>
    <n v="2"/>
    <n v="3"/>
    <m/>
    <n v="1"/>
    <n v="2"/>
    <n v="5"/>
    <m/>
    <n v="2"/>
    <n v="2"/>
    <n v="5"/>
    <x v="1"/>
    <n v="1979"/>
    <n v="3"/>
    <m/>
    <n v="1"/>
    <m/>
    <n v="1"/>
    <m/>
    <n v="1"/>
    <m/>
    <n v="2"/>
    <n v="1"/>
    <n v="34"/>
    <x v="1"/>
    <n v="1"/>
    <n v="1"/>
    <n v="1"/>
  </r>
  <r>
    <x v="1"/>
    <n v="2"/>
    <n v="1"/>
    <n v="1"/>
    <n v="1"/>
    <n v="2"/>
    <m/>
    <n v="3"/>
    <n v="2"/>
    <n v="1"/>
    <n v="2"/>
    <n v="4"/>
    <n v="4"/>
    <n v="4"/>
    <n v="3"/>
    <n v="8"/>
    <n v="1"/>
    <m/>
    <m/>
    <m/>
    <n v="2"/>
    <n v="2"/>
    <n v="2"/>
    <n v="2"/>
    <n v="2"/>
    <n v="2"/>
    <n v="2"/>
    <n v="2"/>
    <n v="3"/>
    <n v="5"/>
    <m/>
    <n v="2"/>
    <m/>
    <m/>
    <m/>
    <n v="1"/>
    <n v="1"/>
    <n v="5"/>
    <x v="1"/>
    <n v="1957"/>
    <n v="3"/>
    <m/>
    <n v="1"/>
    <m/>
    <n v="3"/>
    <m/>
    <n v="4"/>
    <m/>
    <n v="3"/>
    <n v="1"/>
    <n v="56"/>
    <x v="2"/>
    <n v="1"/>
    <n v="1"/>
    <n v="1"/>
  </r>
  <r>
    <x v="1"/>
    <n v="1"/>
    <n v="2"/>
    <n v="2"/>
    <n v="1"/>
    <n v="1"/>
    <n v="2"/>
    <n v="1"/>
    <n v="3"/>
    <n v="7"/>
    <n v="3"/>
    <n v="1"/>
    <n v="2"/>
    <n v="2"/>
    <n v="2"/>
    <n v="2"/>
    <n v="4"/>
    <n v="4"/>
    <m/>
    <m/>
    <n v="1"/>
    <n v="1"/>
    <n v="1"/>
    <n v="2"/>
    <n v="2"/>
    <n v="1"/>
    <n v="2"/>
    <n v="2"/>
    <n v="3"/>
    <n v="98"/>
    <m/>
    <n v="1"/>
    <n v="4"/>
    <n v="4"/>
    <m/>
    <n v="2"/>
    <n v="3"/>
    <m/>
    <x v="2"/>
    <n v="1946"/>
    <n v="2"/>
    <m/>
    <n v="5"/>
    <m/>
    <n v="2"/>
    <m/>
    <n v="2"/>
    <m/>
    <n v="2"/>
    <n v="1"/>
    <n v="67"/>
    <x v="3"/>
    <n v="2"/>
    <n v="4"/>
    <n v="3"/>
  </r>
  <r>
    <x v="2"/>
    <n v="1"/>
    <n v="1"/>
    <n v="1"/>
    <n v="1"/>
    <n v="2"/>
    <m/>
    <n v="2"/>
    <n v="1"/>
    <n v="4"/>
    <n v="3"/>
    <n v="3"/>
    <n v="3"/>
    <n v="3"/>
    <n v="1"/>
    <n v="1"/>
    <n v="1"/>
    <m/>
    <m/>
    <m/>
    <n v="1"/>
    <n v="2"/>
    <n v="1"/>
    <n v="1"/>
    <n v="1"/>
    <n v="1"/>
    <n v="1"/>
    <n v="1"/>
    <n v="2"/>
    <n v="1"/>
    <m/>
    <n v="1"/>
    <n v="2"/>
    <n v="98"/>
    <m/>
    <n v="3"/>
    <n v="2"/>
    <n v="1"/>
    <x v="1"/>
    <n v="1947"/>
    <n v="1"/>
    <m/>
    <n v="6"/>
    <m/>
    <n v="4"/>
    <m/>
    <n v="1"/>
    <m/>
    <n v="2"/>
    <n v="1"/>
    <n v="66"/>
    <x v="3"/>
    <n v="2"/>
    <n v="3"/>
    <n v="2"/>
  </r>
  <r>
    <x v="2"/>
    <n v="1"/>
    <n v="2"/>
    <n v="2"/>
    <n v="1"/>
    <n v="2"/>
    <m/>
    <n v="3"/>
    <n v="7"/>
    <n v="1"/>
    <n v="1"/>
    <n v="2"/>
    <n v="2"/>
    <n v="2"/>
    <n v="3"/>
    <n v="3"/>
    <n v="2"/>
    <n v="3"/>
    <m/>
    <m/>
    <n v="2"/>
    <n v="1"/>
    <n v="1"/>
    <n v="1"/>
    <n v="2"/>
    <n v="2"/>
    <n v="2"/>
    <n v="2"/>
    <n v="4"/>
    <m/>
    <m/>
    <n v="2"/>
    <m/>
    <m/>
    <m/>
    <n v="5"/>
    <n v="4"/>
    <n v="3"/>
    <x v="2"/>
    <n v="1984"/>
    <n v="3"/>
    <m/>
    <n v="4"/>
    <m/>
    <n v="6"/>
    <m/>
    <n v="3"/>
    <m/>
    <n v="1"/>
    <n v="1"/>
    <n v="29"/>
    <x v="1"/>
    <n v="2"/>
    <n v="4"/>
    <n v="2"/>
  </r>
  <r>
    <x v="1"/>
    <n v="1"/>
    <n v="1"/>
    <n v="1"/>
    <n v="2"/>
    <n v="1"/>
    <n v="1"/>
    <n v="4"/>
    <n v="1"/>
    <n v="2"/>
    <n v="1"/>
    <n v="2"/>
    <n v="1"/>
    <n v="1"/>
    <n v="2"/>
    <n v="8"/>
    <n v="3"/>
    <n v="2"/>
    <m/>
    <m/>
    <n v="1"/>
    <n v="2"/>
    <n v="2"/>
    <n v="2"/>
    <n v="2"/>
    <n v="2"/>
    <n v="1"/>
    <n v="1"/>
    <n v="1"/>
    <n v="8"/>
    <m/>
    <n v="2"/>
    <m/>
    <m/>
    <m/>
    <n v="3"/>
    <n v="3"/>
    <n v="1"/>
    <x v="1"/>
    <n v="1989"/>
    <n v="2"/>
    <m/>
    <n v="7"/>
    <m/>
    <n v="4"/>
    <m/>
    <n v="2"/>
    <m/>
    <n v="2"/>
    <n v="1"/>
    <n v="24"/>
    <x v="1"/>
    <n v="2"/>
    <n v="2"/>
    <n v="2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4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7"/>
    <m/>
    <m/>
    <m/>
    <m/>
    <m/>
    <m/>
    <m/>
    <m/>
    <m/>
    <n v="1"/>
    <n v="26"/>
    <x v="1"/>
    <n v="2"/>
    <n v="4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3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1"/>
    <m/>
    <m/>
    <m/>
    <m/>
    <m/>
    <m/>
    <m/>
    <m/>
    <m/>
    <n v="1"/>
    <n v="32"/>
    <x v="1"/>
    <n v="2"/>
    <n v="4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70"/>
    <m/>
    <m/>
    <m/>
    <m/>
    <m/>
    <m/>
    <m/>
    <m/>
    <m/>
    <n v="1"/>
    <n v="43"/>
    <x v="2"/>
    <n v="2"/>
    <n v="4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2"/>
    <n v="4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</pivotCacheRecords>
</file>

<file path=xl/pivotCache/pivotCacheRecords43.xml><?xml version="1.0" encoding="utf-8"?>
<pivotCacheRecords xmlns="http://schemas.openxmlformats.org/spreadsheetml/2006/main" xmlns:r="http://schemas.openxmlformats.org/officeDocument/2006/relationships" count="632">
  <r>
    <x v="0"/>
    <s v="Veuillez répondre à chacun des énoncés suivants. J'ai un système d'alarme que j'active régulièrement pour protéger mon domicile contre le vol."/>
    <s v="Veuillez répondre à chacun des énoncés suivants. Spécialement par mesure de protection, j'ai suivi un cours d'autodéfense. "/>
    <s v="Veuillez répondre à chacun des énoncés suivants. Spécialement par mesure de protection, il y a une arme à feu à mon domicile. "/>
    <s v="Est-ce qu'il y a à votre domicile au moins un détecteur de fumée fonctionnel par étage ? "/>
    <s v="Le bon fonctionnement de cet/ces appareil(s) a-t-il été vérifié, au cours des douze (12) derniers mois ?"/>
    <s v="Veuillez nous dire votre degré de satisfaction à l'égard : du déneigement et du déglaçage des rues et des trottoirs de votre quartier ? "/>
    <s v="Veuillez nous dire votre degré de satisfaction à l'égard :  de la propreté et de l'entretien des parcs et terrains de jeux de votre quartier ?"/>
    <s v="Veuillez nous dire votre degré de satisfaction à l'égard :  de la sécurité des équipements dans les parcs, aires de jeux ou centre récréatif ou sportif de votre quartier ? "/>
    <s v="Votre quartier est-il desservi par un service de police municipal, une régie intermunicipale ou par la Sûreté du Québec ?"/>
    <s v="Quel est votre niveau de satisfaction à l'égard de la présence des policiers dans votre quartier ?"/>
    <s v="Quel est votre niveau de satisfaction à l'égard du travail effectué par les policiers dans votre quartier ?"/>
    <s v="De façon plus spécifique, quel est votre niveau de satisfaction à l'égard du travail effectué par les policiers : auprès des jeunes de votre quartier"/>
    <s v="De façon plus spécifique, quel est votre niveau de satisfaction à l'égard du travail effectué par les policiers : pour assurer la sécurité routière dans votre quartier"/>
    <s v="De façon plus spécifique, quel est votre niveau de satisfaction à l'égard du travail effectué par les policiers : pour régler des problèmes de délinquance ou de désordres qui surviennent dans votre quartier"/>
    <s v="Au cours des deux dernières années, combien de fois avez-vous fait appel au service de police qui dessert votre quartier ?"/>
    <s v="En vous référant à l'événement le plus récent, quel est votre niveau de satisfaction à l'égard de la réponse que vous avez reçue ?"/>
    <s v="Pourquoi ? Peu"/>
    <s v="Pourquoi ? Pas"/>
    <s v="Au cours des deux dernières années, vous êtes vous IMPLIQUÉ SUR UNE BASE RÉGULIÈRE dans les activités suivantes de votre quartier : Dans un comité ou un organisme préoccupé par les problèmes de sécurité de votre quartier ?"/>
    <s v="Au cours des deux dernières années, vous êtes vous IMPLIQUÉ SUR UNE BASE RÉGULIÈRE dans les activités suivantes de votre quartier : Dans des assemblées du conseil municipal ?"/>
    <s v="Au cours des deux dernières années, vous êtes vous IMPLIQUÉ SUR UNE BASE RÉGULIÈRE dans les activités suivantes de votre quartier : Dans un conseil de quartier ou d'arrondissement ?"/>
    <s v="Au cours des deux dernières années, vous êtes vous IMPLIQUÉ SUR UNE BASE RÉGULIÈRE dans les activités suivantes de votre quartier : Dans un comité de citoyens ?"/>
    <s v="Au cours des deux dernières années, vous êtes vous IMPLIQUÉ SUR UNE BASE RÉGULIÈRE dans les activités suivantes de votre quartier : Dans des activités communautaires, d'entraide ou de bénévolat (cuisine communautaire, bazar)"/>
    <s v="Au cours des deux dernières années, vous êtes vous IMPLIQUÉ SUR UNE BASE RÉGULIÈRE dans les activités suivantes de votre quartier : Dans des activités sociales, culturelles ou sportives organisées par les gens de votre quartier ou de votre municipalité ?"/>
    <s v="Au cours des deux dernières années, avez-vous été victime de vol, de vandalisme ou de tout autre crime contre vos biens, chez vous ou dans votre quartier ?"/>
    <s v="Au cours des deux dernières années, avez-vous été victime d'une agression, d'intimidation ou de tout autre acte de violence, chez vous ou dans votre quartier ?"/>
    <s v="Au cours des deux dernières années avez-vous été victime dans votre quartier d'une quelconque forme de discrimination ?"/>
    <s v="À votre avis, le motif de cette discrimination était lié …"/>
    <s v="Autre, précisez :"/>
    <s v="Au cours des deux dernières années, avez-vous subi un accident qui vous a occasionné une blessure pour laquelle vous avez dû consulter un professionnel de la santé ou limiter vos activités ?"/>
    <s v="Combien de fois cela s'est-il produit ?"/>
    <s v="En se référant au dernier événement, était-ce … ?"/>
    <s v="Autre, précisez :"/>
    <s v="Maintenant, comparativement à d'autres personnes de votre âge, dirirez-vous que votre santé est en général …"/>
    <s v="Dans quel quartier habitez-vous ?"/>
    <s v="Combien de personne de moins de 18 ans habitent dans votre foyer ?"/>
    <x v="0"/>
    <s v="Quelle est votre année de naissance ?"/>
    <s v="Êtes-vous propriétaire ou locataire du logement que vous habitez ?"/>
    <s v="Autre, précisez : "/>
    <s v="Habitez-vous dans …"/>
    <s v="Autre, précisez : "/>
    <s v="Quel est votre état civil ?"/>
    <s v="Autre, précisez : "/>
    <s v="Où est situé votre lieu de travail habituel ?"/>
    <s v="Autre, précisez : "/>
    <s v="Quel est le plus haut niveau de scolarité que vous avez complété ?"/>
    <m/>
    <m/>
    <x v="0"/>
    <m/>
    <m/>
    <m/>
  </r>
  <r>
    <x v="1"/>
    <n v="2"/>
    <n v="1"/>
    <n v="2"/>
    <n v="2"/>
    <m/>
    <n v="1"/>
    <n v="7"/>
    <n v="4"/>
    <n v="8"/>
    <n v="1"/>
    <n v="4"/>
    <n v="8"/>
    <n v="2"/>
    <n v="2"/>
    <n v="1"/>
    <m/>
    <m/>
    <m/>
    <n v="1"/>
    <n v="2"/>
    <n v="1"/>
    <n v="2"/>
    <n v="2"/>
    <n v="1"/>
    <n v="1"/>
    <n v="2"/>
    <n v="1"/>
    <n v="2"/>
    <m/>
    <n v="1"/>
    <n v="4"/>
    <n v="5"/>
    <m/>
    <n v="2"/>
    <n v="4"/>
    <n v="5"/>
    <x v="1"/>
    <n v="1981"/>
    <n v="2"/>
    <m/>
    <n v="7"/>
    <m/>
    <n v="1"/>
    <m/>
    <n v="1"/>
    <m/>
    <n v="4"/>
    <n v="1"/>
    <n v="32"/>
    <x v="1"/>
    <n v="1"/>
    <n v="1"/>
    <n v="1"/>
  </r>
  <r>
    <x v="1"/>
    <n v="1"/>
    <n v="1"/>
    <n v="1"/>
    <n v="1"/>
    <n v="1"/>
    <n v="2"/>
    <n v="4"/>
    <n v="1"/>
    <n v="1"/>
    <n v="4"/>
    <n v="8"/>
    <n v="1"/>
    <n v="4"/>
    <n v="1"/>
    <n v="2"/>
    <n v="1"/>
    <m/>
    <m/>
    <n v="2"/>
    <n v="1"/>
    <n v="1"/>
    <n v="2"/>
    <n v="2"/>
    <n v="1"/>
    <n v="2"/>
    <n v="1"/>
    <n v="2"/>
    <n v="1"/>
    <m/>
    <n v="2"/>
    <m/>
    <m/>
    <m/>
    <n v="4"/>
    <n v="1"/>
    <n v="2"/>
    <x v="2"/>
    <n v="1970"/>
    <n v="1"/>
    <m/>
    <n v="5"/>
    <m/>
    <n v="2"/>
    <m/>
    <n v="2"/>
    <m/>
    <n v="1"/>
    <n v="1"/>
    <n v="43"/>
    <x v="2"/>
    <n v="2"/>
    <n v="3"/>
    <n v="2"/>
  </r>
  <r>
    <x v="1"/>
    <n v="1"/>
    <n v="2"/>
    <n v="1"/>
    <n v="1"/>
    <n v="2"/>
    <n v="3"/>
    <n v="1"/>
    <n v="2"/>
    <n v="3"/>
    <n v="2"/>
    <n v="1"/>
    <n v="2"/>
    <n v="3"/>
    <n v="4"/>
    <n v="3"/>
    <n v="3"/>
    <m/>
    <m/>
    <n v="2"/>
    <n v="1"/>
    <n v="2"/>
    <n v="2"/>
    <n v="2"/>
    <n v="2"/>
    <n v="2"/>
    <n v="1"/>
    <n v="3"/>
    <n v="3"/>
    <m/>
    <n v="1"/>
    <n v="2"/>
    <n v="8"/>
    <m/>
    <n v="5"/>
    <n v="4"/>
    <n v="4"/>
    <x v="2"/>
    <n v="1990"/>
    <n v="3"/>
    <m/>
    <n v="4"/>
    <m/>
    <n v="4"/>
    <m/>
    <n v="3"/>
    <m/>
    <n v="2"/>
    <n v="1"/>
    <n v="23"/>
    <x v="1"/>
    <n v="2"/>
    <n v="4"/>
    <n v="2"/>
  </r>
  <r>
    <x v="1"/>
    <n v="2"/>
    <n v="2"/>
    <n v="1"/>
    <n v="1"/>
    <n v="1"/>
    <n v="4"/>
    <n v="3"/>
    <n v="3"/>
    <n v="2"/>
    <n v="3"/>
    <n v="1"/>
    <n v="3"/>
    <n v="2"/>
    <n v="2"/>
    <n v="4"/>
    <n v="2"/>
    <m/>
    <m/>
    <n v="2"/>
    <n v="1"/>
    <n v="2"/>
    <n v="2"/>
    <n v="1"/>
    <n v="2"/>
    <n v="2"/>
    <n v="2"/>
    <n v="4"/>
    <m/>
    <m/>
    <n v="1"/>
    <n v="2"/>
    <n v="7"/>
    <m/>
    <n v="1"/>
    <n v="2"/>
    <n v="1"/>
    <x v="2"/>
    <n v="1983"/>
    <n v="1"/>
    <m/>
    <n v="1"/>
    <m/>
    <n v="1"/>
    <m/>
    <n v="4"/>
    <m/>
    <n v="3"/>
    <n v="1"/>
    <n v="30"/>
    <x v="1"/>
    <n v="2"/>
    <n v="3"/>
    <n v="2"/>
  </r>
  <r>
    <x v="2"/>
    <n v="2"/>
    <n v="1"/>
    <n v="2"/>
    <n v="2"/>
    <m/>
    <n v="7"/>
    <n v="3"/>
    <n v="3"/>
    <n v="1"/>
    <n v="2"/>
    <n v="3"/>
    <n v="2"/>
    <n v="1"/>
    <n v="3"/>
    <n v="2"/>
    <n v="4"/>
    <m/>
    <m/>
    <n v="1"/>
    <n v="2"/>
    <n v="2"/>
    <n v="1"/>
    <n v="1"/>
    <n v="2"/>
    <n v="2"/>
    <n v="1"/>
    <n v="1"/>
    <n v="6"/>
    <m/>
    <n v="2"/>
    <m/>
    <m/>
    <m/>
    <n v="3"/>
    <n v="3"/>
    <m/>
    <x v="2"/>
    <n v="1967"/>
    <n v="1"/>
    <m/>
    <n v="2"/>
    <m/>
    <n v="3"/>
    <m/>
    <n v="4"/>
    <m/>
    <n v="2"/>
    <n v="1"/>
    <n v="46"/>
    <x v="2"/>
    <n v="3"/>
    <n v="5"/>
    <n v="3"/>
  </r>
  <r>
    <x v="2"/>
    <n v="1"/>
    <n v="1"/>
    <n v="2"/>
    <n v="1"/>
    <n v="1"/>
    <n v="4"/>
    <n v="2"/>
    <n v="2"/>
    <n v="2"/>
    <n v="3"/>
    <n v="2"/>
    <n v="4"/>
    <n v="4"/>
    <n v="2"/>
    <n v="1"/>
    <m/>
    <m/>
    <m/>
    <n v="1"/>
    <n v="2"/>
    <n v="1"/>
    <n v="1"/>
    <n v="2"/>
    <n v="1"/>
    <n v="1"/>
    <n v="2"/>
    <n v="4"/>
    <m/>
    <m/>
    <n v="2"/>
    <m/>
    <m/>
    <m/>
    <n v="2"/>
    <n v="2"/>
    <n v="1"/>
    <x v="2"/>
    <n v="1962"/>
    <n v="2"/>
    <m/>
    <n v="3"/>
    <m/>
    <n v="3"/>
    <m/>
    <n v="1"/>
    <m/>
    <n v="1"/>
    <n v="1"/>
    <n v="51"/>
    <x v="2"/>
    <n v="2"/>
    <n v="2"/>
    <n v="2"/>
  </r>
  <r>
    <x v="2"/>
    <n v="1"/>
    <n v="2"/>
    <n v="2"/>
    <n v="2"/>
    <m/>
    <n v="2"/>
    <n v="1"/>
    <n v="1"/>
    <n v="1"/>
    <n v="3"/>
    <n v="3"/>
    <n v="1"/>
    <n v="8"/>
    <n v="1"/>
    <n v="3"/>
    <n v="2"/>
    <m/>
    <m/>
    <n v="1"/>
    <n v="2"/>
    <n v="1"/>
    <n v="1"/>
    <n v="1"/>
    <n v="1"/>
    <n v="1"/>
    <n v="1"/>
    <n v="1"/>
    <n v="7"/>
    <m/>
    <n v="1"/>
    <n v="2"/>
    <n v="6"/>
    <m/>
    <n v="1"/>
    <n v="3"/>
    <n v="3"/>
    <x v="2"/>
    <n v="1994"/>
    <n v="3"/>
    <m/>
    <n v="3"/>
    <m/>
    <n v="2"/>
    <m/>
    <n v="2"/>
    <m/>
    <n v="4"/>
    <n v="1"/>
    <n v="19"/>
    <x v="1"/>
    <n v="2"/>
    <n v="4"/>
    <n v="2"/>
  </r>
  <r>
    <x v="2"/>
    <n v="2"/>
    <n v="1"/>
    <n v="2"/>
    <n v="1"/>
    <n v="2"/>
    <n v="3"/>
    <n v="1"/>
    <n v="2"/>
    <n v="3"/>
    <n v="4"/>
    <n v="2"/>
    <n v="3"/>
    <n v="8"/>
    <n v="4"/>
    <n v="2"/>
    <n v="1"/>
    <m/>
    <m/>
    <n v="1"/>
    <n v="1"/>
    <n v="1"/>
    <n v="1"/>
    <n v="1"/>
    <n v="1"/>
    <n v="1"/>
    <n v="2"/>
    <n v="3"/>
    <n v="2"/>
    <m/>
    <n v="2"/>
    <m/>
    <m/>
    <m/>
    <n v="3"/>
    <n v="2"/>
    <n v="2"/>
    <x v="1"/>
    <n v="1983"/>
    <n v="2"/>
    <m/>
    <n v="2"/>
    <m/>
    <n v="1"/>
    <m/>
    <n v="3"/>
    <m/>
    <n v="1"/>
    <n v="1"/>
    <n v="30"/>
    <x v="1"/>
    <n v="2"/>
    <n v="4"/>
    <n v="2"/>
  </r>
  <r>
    <x v="2"/>
    <n v="1"/>
    <n v="2"/>
    <n v="2"/>
    <n v="2"/>
    <m/>
    <n v="1"/>
    <n v="4"/>
    <n v="3"/>
    <n v="2"/>
    <n v="1"/>
    <n v="3"/>
    <n v="2"/>
    <n v="8"/>
    <n v="2"/>
    <n v="1"/>
    <m/>
    <m/>
    <m/>
    <n v="2"/>
    <n v="1"/>
    <n v="2"/>
    <n v="2"/>
    <n v="1"/>
    <n v="2"/>
    <n v="1"/>
    <n v="1"/>
    <n v="2"/>
    <n v="2"/>
    <m/>
    <n v="1"/>
    <n v="1"/>
    <n v="1"/>
    <m/>
    <n v="8"/>
    <n v="3"/>
    <n v="5"/>
    <x v="1"/>
    <n v="1975"/>
    <n v="3"/>
    <m/>
    <n v="2"/>
    <m/>
    <n v="4"/>
    <m/>
    <n v="2"/>
    <m/>
    <n v="3"/>
    <n v="1"/>
    <n v="38"/>
    <x v="1"/>
    <n v="2"/>
    <n v="2"/>
    <n v="1"/>
  </r>
  <r>
    <x v="2"/>
    <n v="2"/>
    <n v="2"/>
    <n v="2"/>
    <n v="2"/>
    <m/>
    <n v="2"/>
    <n v="1"/>
    <n v="4"/>
    <n v="2"/>
    <n v="2"/>
    <n v="2"/>
    <n v="1"/>
    <n v="8"/>
    <n v="3"/>
    <n v="3"/>
    <n v="3"/>
    <m/>
    <m/>
    <n v="2"/>
    <n v="2"/>
    <n v="2"/>
    <n v="2"/>
    <n v="2"/>
    <n v="2"/>
    <n v="1"/>
    <n v="1"/>
    <n v="2"/>
    <n v="3"/>
    <m/>
    <n v="1"/>
    <n v="2"/>
    <n v="5"/>
    <m/>
    <n v="2"/>
    <n v="2"/>
    <n v="5"/>
    <x v="1"/>
    <n v="1979"/>
    <n v="3"/>
    <m/>
    <n v="1"/>
    <m/>
    <n v="1"/>
    <m/>
    <n v="1"/>
    <m/>
    <n v="2"/>
    <n v="1"/>
    <n v="34"/>
    <x v="1"/>
    <n v="1"/>
    <n v="1"/>
    <n v="1"/>
  </r>
  <r>
    <x v="2"/>
    <n v="1"/>
    <n v="1"/>
    <n v="1"/>
    <n v="2"/>
    <m/>
    <n v="3"/>
    <n v="2"/>
    <n v="1"/>
    <n v="2"/>
    <n v="4"/>
    <n v="4"/>
    <n v="4"/>
    <n v="3"/>
    <n v="8"/>
    <n v="1"/>
    <m/>
    <m/>
    <m/>
    <n v="2"/>
    <n v="2"/>
    <n v="2"/>
    <n v="2"/>
    <n v="2"/>
    <n v="2"/>
    <n v="2"/>
    <n v="2"/>
    <n v="3"/>
    <n v="5"/>
    <m/>
    <n v="2"/>
    <m/>
    <m/>
    <m/>
    <n v="1"/>
    <n v="1"/>
    <n v="5"/>
    <x v="1"/>
    <n v="1957"/>
    <n v="3"/>
    <m/>
    <n v="1"/>
    <m/>
    <n v="3"/>
    <m/>
    <n v="4"/>
    <m/>
    <n v="3"/>
    <n v="1"/>
    <n v="56"/>
    <x v="2"/>
    <n v="1"/>
    <n v="1"/>
    <n v="1"/>
  </r>
  <r>
    <x v="1"/>
    <n v="2"/>
    <n v="2"/>
    <n v="1"/>
    <n v="1"/>
    <n v="2"/>
    <n v="1"/>
    <n v="3"/>
    <n v="7"/>
    <n v="3"/>
    <n v="1"/>
    <n v="2"/>
    <n v="2"/>
    <n v="2"/>
    <n v="2"/>
    <n v="4"/>
    <n v="4"/>
    <m/>
    <m/>
    <n v="1"/>
    <n v="1"/>
    <n v="1"/>
    <n v="2"/>
    <n v="2"/>
    <n v="1"/>
    <n v="2"/>
    <n v="2"/>
    <n v="3"/>
    <n v="98"/>
    <m/>
    <n v="1"/>
    <n v="4"/>
    <n v="4"/>
    <m/>
    <n v="2"/>
    <n v="3"/>
    <m/>
    <x v="2"/>
    <n v="1946"/>
    <n v="2"/>
    <m/>
    <n v="5"/>
    <m/>
    <n v="2"/>
    <m/>
    <n v="2"/>
    <m/>
    <n v="2"/>
    <n v="1"/>
    <n v="67"/>
    <x v="3"/>
    <n v="2"/>
    <n v="4"/>
    <n v="3"/>
  </r>
  <r>
    <x v="1"/>
    <n v="1"/>
    <n v="1"/>
    <n v="1"/>
    <n v="2"/>
    <m/>
    <n v="2"/>
    <n v="1"/>
    <n v="4"/>
    <n v="3"/>
    <n v="3"/>
    <n v="3"/>
    <n v="3"/>
    <n v="1"/>
    <n v="1"/>
    <n v="1"/>
    <m/>
    <m/>
    <m/>
    <n v="1"/>
    <n v="2"/>
    <n v="1"/>
    <n v="1"/>
    <n v="1"/>
    <n v="1"/>
    <n v="1"/>
    <n v="1"/>
    <n v="2"/>
    <n v="1"/>
    <m/>
    <n v="1"/>
    <n v="2"/>
    <n v="98"/>
    <m/>
    <n v="3"/>
    <n v="2"/>
    <n v="1"/>
    <x v="1"/>
    <n v="1947"/>
    <n v="1"/>
    <m/>
    <n v="6"/>
    <m/>
    <n v="4"/>
    <m/>
    <n v="1"/>
    <m/>
    <n v="2"/>
    <n v="1"/>
    <n v="66"/>
    <x v="3"/>
    <n v="2"/>
    <n v="3"/>
    <n v="2"/>
  </r>
  <r>
    <x v="1"/>
    <n v="2"/>
    <n v="2"/>
    <n v="1"/>
    <n v="2"/>
    <m/>
    <n v="3"/>
    <n v="7"/>
    <n v="1"/>
    <n v="1"/>
    <n v="2"/>
    <n v="2"/>
    <n v="2"/>
    <n v="3"/>
    <n v="3"/>
    <n v="2"/>
    <n v="3"/>
    <m/>
    <m/>
    <n v="2"/>
    <n v="1"/>
    <n v="1"/>
    <n v="1"/>
    <n v="2"/>
    <n v="2"/>
    <n v="2"/>
    <n v="2"/>
    <n v="4"/>
    <m/>
    <m/>
    <n v="2"/>
    <m/>
    <m/>
    <m/>
    <n v="5"/>
    <n v="4"/>
    <n v="3"/>
    <x v="2"/>
    <n v="1984"/>
    <n v="3"/>
    <m/>
    <n v="4"/>
    <m/>
    <n v="6"/>
    <m/>
    <n v="3"/>
    <m/>
    <n v="1"/>
    <n v="1"/>
    <n v="29"/>
    <x v="1"/>
    <n v="2"/>
    <n v="4"/>
    <n v="2"/>
  </r>
  <r>
    <x v="1"/>
    <n v="1"/>
    <n v="1"/>
    <n v="2"/>
    <n v="1"/>
    <n v="1"/>
    <n v="4"/>
    <n v="1"/>
    <n v="2"/>
    <n v="1"/>
    <n v="2"/>
    <n v="1"/>
    <n v="1"/>
    <n v="2"/>
    <n v="8"/>
    <n v="3"/>
    <n v="2"/>
    <m/>
    <m/>
    <n v="1"/>
    <n v="2"/>
    <n v="2"/>
    <n v="2"/>
    <n v="2"/>
    <n v="2"/>
    <n v="1"/>
    <n v="1"/>
    <n v="1"/>
    <n v="8"/>
    <m/>
    <n v="2"/>
    <m/>
    <m/>
    <m/>
    <n v="3"/>
    <n v="3"/>
    <n v="1"/>
    <x v="1"/>
    <n v="1989"/>
    <n v="2"/>
    <m/>
    <n v="7"/>
    <m/>
    <n v="4"/>
    <m/>
    <n v="2"/>
    <m/>
    <n v="2"/>
    <n v="1"/>
    <n v="24"/>
    <x v="1"/>
    <n v="2"/>
    <n v="2"/>
    <n v="2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4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7"/>
    <m/>
    <m/>
    <m/>
    <m/>
    <m/>
    <m/>
    <m/>
    <m/>
    <m/>
    <n v="1"/>
    <n v="26"/>
    <x v="1"/>
    <n v="2"/>
    <n v="4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3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1"/>
    <m/>
    <m/>
    <m/>
    <m/>
    <m/>
    <m/>
    <m/>
    <m/>
    <m/>
    <n v="1"/>
    <n v="32"/>
    <x v="1"/>
    <n v="2"/>
    <n v="4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70"/>
    <m/>
    <m/>
    <m/>
    <m/>
    <m/>
    <m/>
    <m/>
    <m/>
    <m/>
    <n v="1"/>
    <n v="43"/>
    <x v="2"/>
    <n v="2"/>
    <n v="4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2"/>
    <n v="4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</pivotCacheRecords>
</file>

<file path=xl/pivotCache/pivotCacheRecords44.xml><?xml version="1.0" encoding="utf-8"?>
<pivotCacheRecords xmlns="http://schemas.openxmlformats.org/spreadsheetml/2006/main" xmlns:r="http://schemas.openxmlformats.org/officeDocument/2006/relationships" count="632">
  <r>
    <x v="0"/>
    <s v="Veuillez répondre à chacun des énoncés suivants. Spécialement par mesure de protection, j'ai suivi un cours d'autodéfense. "/>
    <s v="Veuillez répondre à chacun des énoncés suivants. Spécialement par mesure de protection, il y a une arme à feu à mon domicile. "/>
    <s v="Est-ce qu'il y a à votre domicile au moins un détecteur de fumée fonctionnel par étage ? "/>
    <s v="Le bon fonctionnement de cet/ces appareil(s) a-t-il été vérifié, au cours des douze (12) derniers mois ?"/>
    <s v="Veuillez nous dire votre degré de satisfaction à l'égard : du déneigement et du déglaçage des rues et des trottoirs de votre quartier ? "/>
    <s v="Veuillez nous dire votre degré de satisfaction à l'égard :  de la propreté et de l'entretien des parcs et terrains de jeux de votre quartier ?"/>
    <s v="Veuillez nous dire votre degré de satisfaction à l'égard :  de la sécurité des équipements dans les parcs, aires de jeux ou centre récréatif ou sportif de votre quartier ? "/>
    <s v="Votre quartier est-il desservi par un service de police municipal, une régie intermunicipale ou par la Sûreté du Québec ?"/>
    <s v="Quel est votre niveau de satisfaction à l'égard de la présence des policiers dans votre quartier ?"/>
    <s v="Quel est votre niveau de satisfaction à l'égard du travail effectué par les policiers dans votre quartier ?"/>
    <s v="De façon plus spécifique, quel est votre niveau de satisfaction à l'égard du travail effectué par les policiers : auprès des jeunes de votre quartier"/>
    <s v="De façon plus spécifique, quel est votre niveau de satisfaction à l'égard du travail effectué par les policiers : pour assurer la sécurité routière dans votre quartier"/>
    <s v="De façon plus spécifique, quel est votre niveau de satisfaction à l'égard du travail effectué par les policiers : pour régler des problèmes de délinquance ou de désordres qui surviennent dans votre quartier"/>
    <s v="Au cours des deux dernières années, combien de fois avez-vous fait appel au service de police qui dessert votre quartier ?"/>
    <s v="En vous référant à l'événement le plus récent, quel est votre niveau de satisfaction à l'égard de la réponse que vous avez reçue ?"/>
    <s v="Pourquoi ? Peu"/>
    <s v="Pourquoi ? Pas"/>
    <s v="Au cours des deux dernières années, vous êtes vous IMPLIQUÉ SUR UNE BASE RÉGULIÈRE dans les activités suivantes de votre quartier : Dans un comité ou un organisme préoccupé par les problèmes de sécurité de votre quartier ?"/>
    <s v="Au cours des deux dernières années, vous êtes vous IMPLIQUÉ SUR UNE BASE RÉGULIÈRE dans les activités suivantes de votre quartier : Dans des assemblées du conseil municipal ?"/>
    <s v="Au cours des deux dernières années, vous êtes vous IMPLIQUÉ SUR UNE BASE RÉGULIÈRE dans les activités suivantes de votre quartier : Dans un conseil de quartier ou d'arrondissement ?"/>
    <s v="Au cours des deux dernières années, vous êtes vous IMPLIQUÉ SUR UNE BASE RÉGULIÈRE dans les activités suivantes de votre quartier : Dans un comité de citoyens ?"/>
    <s v="Au cours des deux dernières années, vous êtes vous IMPLIQUÉ SUR UNE BASE RÉGULIÈRE dans les activités suivantes de votre quartier : Dans des activités communautaires, d'entraide ou de bénévolat (cuisine communautaire, bazar)"/>
    <s v="Au cours des deux dernières années, vous êtes vous IMPLIQUÉ SUR UNE BASE RÉGULIÈRE dans les activités suivantes de votre quartier : Dans des activités sociales, culturelles ou sportives organisées par les gens de votre quartier ou de votre municipalité ?"/>
    <s v="Au cours des deux dernières années, avez-vous été victime de vol, de vandalisme ou de tout autre crime contre vos biens, chez vous ou dans votre quartier ?"/>
    <s v="Au cours des deux dernières années, avez-vous été victime d'une agression, d'intimidation ou de tout autre acte de violence, chez vous ou dans votre quartier ?"/>
    <s v="Au cours des deux dernières années avez-vous été victime dans votre quartier d'une quelconque forme de discrimination ?"/>
    <s v="À votre avis, le motif de cette discrimination était lié …"/>
    <s v="Autre, précisez :"/>
    <s v="Au cours des deux dernières années, avez-vous subi un accident qui vous a occasionné une blessure pour laquelle vous avez dû consulter un professionnel de la santé ou limiter vos activités ?"/>
    <s v="Combien de fois cela s'est-il produit ?"/>
    <s v="En se référant au dernier événement, était-ce … ?"/>
    <s v="Autre, précisez :"/>
    <s v="Maintenant, comparativement à d'autres personnes de votre âge, dirirez-vous que votre santé est en général …"/>
    <s v="Dans quel quartier habitez-vous ?"/>
    <s v="Combien de personne de moins de 18 ans habitent dans votre foyer ?"/>
    <x v="0"/>
    <s v="Quelle est votre année de naissance ?"/>
    <s v="Êtes-vous propriétaire ou locataire du logement que vous habitez ?"/>
    <s v="Autre, précisez : "/>
    <s v="Habitez-vous dans …"/>
    <s v="Autre, précisez : "/>
    <s v="Quel est votre état civil ?"/>
    <s v="Autre, précisez : "/>
    <s v="Où est situé votre lieu de travail habituel ?"/>
    <s v="Autre, précisez : "/>
    <s v="Quel est le plus haut niveau de scolarité que vous avez complété ?"/>
    <m/>
    <m/>
    <x v="0"/>
    <m/>
    <m/>
    <m/>
  </r>
  <r>
    <x v="1"/>
    <n v="1"/>
    <n v="2"/>
    <n v="2"/>
    <m/>
    <n v="1"/>
    <n v="7"/>
    <n v="4"/>
    <n v="8"/>
    <n v="1"/>
    <n v="4"/>
    <n v="8"/>
    <n v="2"/>
    <n v="2"/>
    <n v="1"/>
    <m/>
    <m/>
    <m/>
    <n v="1"/>
    <n v="2"/>
    <n v="1"/>
    <n v="2"/>
    <n v="2"/>
    <n v="1"/>
    <n v="1"/>
    <n v="2"/>
    <n v="1"/>
    <n v="2"/>
    <m/>
    <n v="1"/>
    <n v="4"/>
    <n v="5"/>
    <m/>
    <n v="2"/>
    <n v="4"/>
    <n v="5"/>
    <x v="1"/>
    <n v="1981"/>
    <n v="2"/>
    <m/>
    <n v="7"/>
    <m/>
    <n v="1"/>
    <m/>
    <n v="1"/>
    <m/>
    <n v="4"/>
    <n v="1"/>
    <n v="32"/>
    <x v="1"/>
    <n v="1"/>
    <n v="1"/>
    <n v="1"/>
  </r>
  <r>
    <x v="2"/>
    <n v="1"/>
    <n v="1"/>
    <n v="1"/>
    <n v="1"/>
    <n v="2"/>
    <n v="4"/>
    <n v="1"/>
    <n v="1"/>
    <n v="4"/>
    <n v="8"/>
    <n v="1"/>
    <n v="4"/>
    <n v="1"/>
    <n v="2"/>
    <n v="1"/>
    <m/>
    <m/>
    <n v="2"/>
    <n v="1"/>
    <n v="1"/>
    <n v="2"/>
    <n v="2"/>
    <n v="1"/>
    <n v="2"/>
    <n v="1"/>
    <n v="2"/>
    <n v="1"/>
    <m/>
    <n v="2"/>
    <m/>
    <m/>
    <m/>
    <n v="4"/>
    <n v="1"/>
    <n v="2"/>
    <x v="2"/>
    <n v="1970"/>
    <n v="1"/>
    <m/>
    <n v="5"/>
    <m/>
    <n v="2"/>
    <m/>
    <n v="2"/>
    <m/>
    <n v="1"/>
    <n v="1"/>
    <n v="43"/>
    <x v="2"/>
    <n v="2"/>
    <n v="3"/>
    <n v="2"/>
  </r>
  <r>
    <x v="2"/>
    <n v="2"/>
    <n v="1"/>
    <n v="1"/>
    <n v="2"/>
    <n v="3"/>
    <n v="1"/>
    <n v="2"/>
    <n v="3"/>
    <n v="2"/>
    <n v="1"/>
    <n v="2"/>
    <n v="3"/>
    <n v="4"/>
    <n v="3"/>
    <n v="3"/>
    <m/>
    <m/>
    <n v="2"/>
    <n v="1"/>
    <n v="2"/>
    <n v="2"/>
    <n v="2"/>
    <n v="2"/>
    <n v="2"/>
    <n v="1"/>
    <n v="3"/>
    <n v="3"/>
    <m/>
    <n v="1"/>
    <n v="2"/>
    <n v="8"/>
    <m/>
    <n v="5"/>
    <n v="4"/>
    <n v="4"/>
    <x v="2"/>
    <n v="1990"/>
    <n v="3"/>
    <m/>
    <n v="4"/>
    <m/>
    <n v="4"/>
    <m/>
    <n v="3"/>
    <m/>
    <n v="2"/>
    <n v="1"/>
    <n v="23"/>
    <x v="1"/>
    <n v="2"/>
    <n v="4"/>
    <n v="2"/>
  </r>
  <r>
    <x v="1"/>
    <n v="2"/>
    <n v="1"/>
    <n v="1"/>
    <n v="1"/>
    <n v="4"/>
    <n v="3"/>
    <n v="3"/>
    <n v="2"/>
    <n v="3"/>
    <n v="1"/>
    <n v="3"/>
    <n v="2"/>
    <n v="2"/>
    <n v="4"/>
    <n v="2"/>
    <m/>
    <m/>
    <n v="2"/>
    <n v="1"/>
    <n v="2"/>
    <n v="2"/>
    <n v="1"/>
    <n v="2"/>
    <n v="2"/>
    <n v="2"/>
    <n v="4"/>
    <m/>
    <m/>
    <n v="1"/>
    <n v="2"/>
    <n v="7"/>
    <m/>
    <n v="1"/>
    <n v="2"/>
    <n v="1"/>
    <x v="2"/>
    <n v="1983"/>
    <n v="1"/>
    <m/>
    <n v="1"/>
    <m/>
    <n v="1"/>
    <m/>
    <n v="4"/>
    <m/>
    <n v="3"/>
    <n v="1"/>
    <n v="30"/>
    <x v="1"/>
    <n v="2"/>
    <n v="3"/>
    <n v="2"/>
  </r>
  <r>
    <x v="1"/>
    <n v="1"/>
    <n v="2"/>
    <n v="2"/>
    <m/>
    <n v="7"/>
    <n v="3"/>
    <n v="3"/>
    <n v="1"/>
    <n v="2"/>
    <n v="3"/>
    <n v="2"/>
    <n v="1"/>
    <n v="3"/>
    <n v="2"/>
    <n v="4"/>
    <m/>
    <m/>
    <n v="1"/>
    <n v="2"/>
    <n v="2"/>
    <n v="1"/>
    <n v="1"/>
    <n v="2"/>
    <n v="2"/>
    <n v="1"/>
    <n v="1"/>
    <n v="6"/>
    <m/>
    <n v="2"/>
    <m/>
    <m/>
    <m/>
    <n v="3"/>
    <n v="3"/>
    <m/>
    <x v="2"/>
    <n v="1967"/>
    <n v="1"/>
    <m/>
    <n v="2"/>
    <m/>
    <n v="3"/>
    <m/>
    <n v="4"/>
    <m/>
    <n v="2"/>
    <n v="1"/>
    <n v="46"/>
    <x v="2"/>
    <n v="3"/>
    <n v="5"/>
    <n v="3"/>
  </r>
  <r>
    <x v="2"/>
    <n v="1"/>
    <n v="2"/>
    <n v="1"/>
    <n v="1"/>
    <n v="4"/>
    <n v="2"/>
    <n v="2"/>
    <n v="2"/>
    <n v="3"/>
    <n v="2"/>
    <n v="4"/>
    <n v="4"/>
    <n v="2"/>
    <n v="1"/>
    <m/>
    <m/>
    <m/>
    <n v="1"/>
    <n v="2"/>
    <n v="1"/>
    <n v="1"/>
    <n v="2"/>
    <n v="1"/>
    <n v="1"/>
    <n v="2"/>
    <n v="4"/>
    <m/>
    <m/>
    <n v="2"/>
    <m/>
    <m/>
    <m/>
    <n v="2"/>
    <n v="2"/>
    <n v="1"/>
    <x v="2"/>
    <n v="1962"/>
    <n v="2"/>
    <m/>
    <n v="3"/>
    <m/>
    <n v="3"/>
    <m/>
    <n v="1"/>
    <m/>
    <n v="1"/>
    <n v="1"/>
    <n v="51"/>
    <x v="2"/>
    <n v="2"/>
    <n v="2"/>
    <n v="2"/>
  </r>
  <r>
    <x v="2"/>
    <n v="2"/>
    <n v="2"/>
    <n v="2"/>
    <m/>
    <n v="2"/>
    <n v="1"/>
    <n v="1"/>
    <n v="1"/>
    <n v="3"/>
    <n v="3"/>
    <n v="1"/>
    <n v="8"/>
    <n v="1"/>
    <n v="3"/>
    <n v="2"/>
    <m/>
    <m/>
    <n v="1"/>
    <n v="2"/>
    <n v="1"/>
    <n v="1"/>
    <n v="1"/>
    <n v="1"/>
    <n v="1"/>
    <n v="1"/>
    <n v="1"/>
    <n v="7"/>
    <m/>
    <n v="1"/>
    <n v="2"/>
    <n v="6"/>
    <m/>
    <n v="1"/>
    <n v="3"/>
    <n v="3"/>
    <x v="2"/>
    <n v="1994"/>
    <n v="3"/>
    <m/>
    <n v="3"/>
    <m/>
    <n v="2"/>
    <m/>
    <n v="2"/>
    <m/>
    <n v="4"/>
    <n v="1"/>
    <n v="19"/>
    <x v="1"/>
    <n v="2"/>
    <n v="4"/>
    <n v="2"/>
  </r>
  <r>
    <x v="1"/>
    <n v="1"/>
    <n v="2"/>
    <n v="1"/>
    <n v="2"/>
    <n v="3"/>
    <n v="1"/>
    <n v="2"/>
    <n v="3"/>
    <n v="4"/>
    <n v="2"/>
    <n v="3"/>
    <n v="8"/>
    <n v="4"/>
    <n v="2"/>
    <n v="1"/>
    <m/>
    <m/>
    <n v="1"/>
    <n v="1"/>
    <n v="1"/>
    <n v="1"/>
    <n v="1"/>
    <n v="1"/>
    <n v="1"/>
    <n v="2"/>
    <n v="3"/>
    <n v="2"/>
    <m/>
    <n v="2"/>
    <m/>
    <m/>
    <m/>
    <n v="3"/>
    <n v="2"/>
    <n v="2"/>
    <x v="1"/>
    <n v="1983"/>
    <n v="2"/>
    <m/>
    <n v="2"/>
    <m/>
    <n v="1"/>
    <m/>
    <n v="3"/>
    <m/>
    <n v="1"/>
    <n v="1"/>
    <n v="30"/>
    <x v="1"/>
    <n v="2"/>
    <n v="4"/>
    <n v="2"/>
  </r>
  <r>
    <x v="2"/>
    <n v="2"/>
    <n v="2"/>
    <n v="2"/>
    <m/>
    <n v="1"/>
    <n v="4"/>
    <n v="3"/>
    <n v="2"/>
    <n v="1"/>
    <n v="3"/>
    <n v="2"/>
    <n v="8"/>
    <n v="2"/>
    <n v="1"/>
    <m/>
    <m/>
    <m/>
    <n v="2"/>
    <n v="1"/>
    <n v="2"/>
    <n v="2"/>
    <n v="1"/>
    <n v="2"/>
    <n v="1"/>
    <n v="1"/>
    <n v="2"/>
    <n v="2"/>
    <m/>
    <n v="1"/>
    <n v="1"/>
    <n v="1"/>
    <m/>
    <n v="8"/>
    <n v="3"/>
    <n v="5"/>
    <x v="1"/>
    <n v="1975"/>
    <n v="3"/>
    <m/>
    <n v="2"/>
    <m/>
    <n v="4"/>
    <m/>
    <n v="2"/>
    <m/>
    <n v="3"/>
    <n v="1"/>
    <n v="38"/>
    <x v="1"/>
    <n v="2"/>
    <n v="2"/>
    <n v="1"/>
  </r>
  <r>
    <x v="1"/>
    <n v="2"/>
    <n v="2"/>
    <n v="2"/>
    <m/>
    <n v="2"/>
    <n v="1"/>
    <n v="4"/>
    <n v="2"/>
    <n v="2"/>
    <n v="2"/>
    <n v="1"/>
    <n v="8"/>
    <n v="3"/>
    <n v="3"/>
    <n v="3"/>
    <m/>
    <m/>
    <n v="2"/>
    <n v="2"/>
    <n v="2"/>
    <n v="2"/>
    <n v="2"/>
    <n v="2"/>
    <n v="1"/>
    <n v="1"/>
    <n v="2"/>
    <n v="3"/>
    <m/>
    <n v="1"/>
    <n v="2"/>
    <n v="5"/>
    <m/>
    <n v="2"/>
    <n v="2"/>
    <n v="5"/>
    <x v="1"/>
    <n v="1979"/>
    <n v="3"/>
    <m/>
    <n v="1"/>
    <m/>
    <n v="1"/>
    <m/>
    <n v="1"/>
    <m/>
    <n v="2"/>
    <n v="1"/>
    <n v="34"/>
    <x v="1"/>
    <n v="1"/>
    <n v="1"/>
    <n v="1"/>
  </r>
  <r>
    <x v="2"/>
    <n v="1"/>
    <n v="1"/>
    <n v="2"/>
    <m/>
    <n v="3"/>
    <n v="2"/>
    <n v="1"/>
    <n v="2"/>
    <n v="4"/>
    <n v="4"/>
    <n v="4"/>
    <n v="3"/>
    <n v="8"/>
    <n v="1"/>
    <m/>
    <m/>
    <m/>
    <n v="2"/>
    <n v="2"/>
    <n v="2"/>
    <n v="2"/>
    <n v="2"/>
    <n v="2"/>
    <n v="2"/>
    <n v="2"/>
    <n v="3"/>
    <n v="5"/>
    <m/>
    <n v="2"/>
    <m/>
    <m/>
    <m/>
    <n v="1"/>
    <n v="1"/>
    <n v="5"/>
    <x v="1"/>
    <n v="1957"/>
    <n v="3"/>
    <m/>
    <n v="1"/>
    <m/>
    <n v="3"/>
    <m/>
    <n v="4"/>
    <m/>
    <n v="3"/>
    <n v="1"/>
    <n v="56"/>
    <x v="2"/>
    <n v="1"/>
    <n v="1"/>
    <n v="1"/>
  </r>
  <r>
    <x v="1"/>
    <n v="2"/>
    <n v="1"/>
    <n v="1"/>
    <n v="2"/>
    <n v="1"/>
    <n v="3"/>
    <n v="7"/>
    <n v="3"/>
    <n v="1"/>
    <n v="2"/>
    <n v="2"/>
    <n v="2"/>
    <n v="2"/>
    <n v="4"/>
    <n v="4"/>
    <m/>
    <m/>
    <n v="1"/>
    <n v="1"/>
    <n v="1"/>
    <n v="2"/>
    <n v="2"/>
    <n v="1"/>
    <n v="2"/>
    <n v="2"/>
    <n v="3"/>
    <n v="98"/>
    <m/>
    <n v="1"/>
    <n v="4"/>
    <n v="4"/>
    <m/>
    <n v="2"/>
    <n v="3"/>
    <m/>
    <x v="2"/>
    <n v="1946"/>
    <n v="2"/>
    <m/>
    <n v="5"/>
    <m/>
    <n v="2"/>
    <m/>
    <n v="2"/>
    <m/>
    <n v="2"/>
    <n v="1"/>
    <n v="67"/>
    <x v="3"/>
    <n v="2"/>
    <n v="4"/>
    <n v="3"/>
  </r>
  <r>
    <x v="2"/>
    <n v="1"/>
    <n v="1"/>
    <n v="2"/>
    <m/>
    <n v="2"/>
    <n v="1"/>
    <n v="4"/>
    <n v="3"/>
    <n v="3"/>
    <n v="3"/>
    <n v="3"/>
    <n v="1"/>
    <n v="1"/>
    <n v="1"/>
    <m/>
    <m/>
    <m/>
    <n v="1"/>
    <n v="2"/>
    <n v="1"/>
    <n v="1"/>
    <n v="1"/>
    <n v="1"/>
    <n v="1"/>
    <n v="1"/>
    <n v="2"/>
    <n v="1"/>
    <m/>
    <n v="1"/>
    <n v="2"/>
    <n v="98"/>
    <m/>
    <n v="3"/>
    <n v="2"/>
    <n v="1"/>
    <x v="1"/>
    <n v="1947"/>
    <n v="1"/>
    <m/>
    <n v="6"/>
    <m/>
    <n v="4"/>
    <m/>
    <n v="1"/>
    <m/>
    <n v="2"/>
    <n v="1"/>
    <n v="66"/>
    <x v="3"/>
    <n v="2"/>
    <n v="3"/>
    <n v="2"/>
  </r>
  <r>
    <x v="1"/>
    <n v="2"/>
    <n v="1"/>
    <n v="2"/>
    <m/>
    <n v="3"/>
    <n v="7"/>
    <n v="1"/>
    <n v="1"/>
    <n v="2"/>
    <n v="2"/>
    <n v="2"/>
    <n v="3"/>
    <n v="3"/>
    <n v="2"/>
    <n v="3"/>
    <m/>
    <m/>
    <n v="2"/>
    <n v="1"/>
    <n v="1"/>
    <n v="1"/>
    <n v="2"/>
    <n v="2"/>
    <n v="2"/>
    <n v="2"/>
    <n v="4"/>
    <m/>
    <m/>
    <n v="2"/>
    <m/>
    <m/>
    <m/>
    <n v="5"/>
    <n v="4"/>
    <n v="3"/>
    <x v="2"/>
    <n v="1984"/>
    <n v="3"/>
    <m/>
    <n v="4"/>
    <m/>
    <n v="6"/>
    <m/>
    <n v="3"/>
    <m/>
    <n v="1"/>
    <n v="1"/>
    <n v="29"/>
    <x v="1"/>
    <n v="2"/>
    <n v="4"/>
    <n v="2"/>
  </r>
  <r>
    <x v="2"/>
    <n v="1"/>
    <n v="2"/>
    <n v="1"/>
    <n v="1"/>
    <n v="4"/>
    <n v="1"/>
    <n v="2"/>
    <n v="1"/>
    <n v="2"/>
    <n v="1"/>
    <n v="1"/>
    <n v="2"/>
    <n v="8"/>
    <n v="3"/>
    <n v="2"/>
    <m/>
    <m/>
    <n v="1"/>
    <n v="2"/>
    <n v="2"/>
    <n v="2"/>
    <n v="2"/>
    <n v="2"/>
    <n v="1"/>
    <n v="1"/>
    <n v="1"/>
    <n v="8"/>
    <m/>
    <n v="2"/>
    <m/>
    <m/>
    <m/>
    <n v="3"/>
    <n v="3"/>
    <n v="1"/>
    <x v="1"/>
    <n v="1989"/>
    <n v="2"/>
    <m/>
    <n v="7"/>
    <m/>
    <n v="4"/>
    <m/>
    <n v="2"/>
    <m/>
    <n v="2"/>
    <n v="1"/>
    <n v="24"/>
    <x v="1"/>
    <n v="2"/>
    <n v="2"/>
    <n v="2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4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7"/>
    <m/>
    <m/>
    <m/>
    <m/>
    <m/>
    <m/>
    <m/>
    <m/>
    <m/>
    <n v="1"/>
    <n v="26"/>
    <x v="1"/>
    <n v="2"/>
    <n v="4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3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1"/>
    <m/>
    <m/>
    <m/>
    <m/>
    <m/>
    <m/>
    <m/>
    <m/>
    <m/>
    <n v="1"/>
    <n v="32"/>
    <x v="1"/>
    <n v="2"/>
    <n v="4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70"/>
    <m/>
    <m/>
    <m/>
    <m/>
    <m/>
    <m/>
    <m/>
    <m/>
    <m/>
    <n v="1"/>
    <n v="43"/>
    <x v="2"/>
    <n v="2"/>
    <n v="4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2"/>
    <n v="4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</pivotCacheRecords>
</file>

<file path=xl/pivotCache/pivotCacheRecords45.xml><?xml version="1.0" encoding="utf-8"?>
<pivotCacheRecords xmlns="http://schemas.openxmlformats.org/spreadsheetml/2006/main" xmlns:r="http://schemas.openxmlformats.org/officeDocument/2006/relationships" count="632">
  <r>
    <x v="0"/>
    <s v="Veuillez répondre à chacun des énoncés suivants. Spécialement par mesure de protection, il y a une arme à feu à mon domicile. "/>
    <s v="Est-ce qu'il y a à votre domicile au moins un détecteur de fumée fonctionnel par étage ? "/>
    <s v="Le bon fonctionnement de cet/ces appareil(s) a-t-il été vérifié, au cours des douze (12) derniers mois ?"/>
    <s v="Veuillez nous dire votre degré de satisfaction à l'égard : du déneigement et du déglaçage des rues et des trottoirs de votre quartier ? "/>
    <s v="Veuillez nous dire votre degré de satisfaction à l'égard :  de la propreté et de l'entretien des parcs et terrains de jeux de votre quartier ?"/>
    <s v="Veuillez nous dire votre degré de satisfaction à l'égard :  de la sécurité des équipements dans les parcs, aires de jeux ou centre récréatif ou sportif de votre quartier ? "/>
    <s v="Votre quartier est-il desservi par un service de police municipal, une régie intermunicipale ou par la Sûreté du Québec ?"/>
    <s v="Quel est votre niveau de satisfaction à l'égard de la présence des policiers dans votre quartier ?"/>
    <s v="Quel est votre niveau de satisfaction à l'égard du travail effectué par les policiers dans votre quartier ?"/>
    <s v="De façon plus spécifique, quel est votre niveau de satisfaction à l'égard du travail effectué par les policiers : auprès des jeunes de votre quartier"/>
    <s v="De façon plus spécifique, quel est votre niveau de satisfaction à l'égard du travail effectué par les policiers : pour assurer la sécurité routière dans votre quartier"/>
    <s v="De façon plus spécifique, quel est votre niveau de satisfaction à l'égard du travail effectué par les policiers : pour régler des problèmes de délinquance ou de désordres qui surviennent dans votre quartier"/>
    <s v="Au cours des deux dernières années, combien de fois avez-vous fait appel au service de police qui dessert votre quartier ?"/>
    <s v="En vous référant à l'événement le plus récent, quel est votre niveau de satisfaction à l'égard de la réponse que vous avez reçue ?"/>
    <s v="Pourquoi ? Peu"/>
    <s v="Pourquoi ? Pas"/>
    <s v="Au cours des deux dernières années, vous êtes vous IMPLIQUÉ SUR UNE BASE RÉGULIÈRE dans les activités suivantes de votre quartier : Dans un comité ou un organisme préoccupé par les problèmes de sécurité de votre quartier ?"/>
    <s v="Au cours des deux dernières années, vous êtes vous IMPLIQUÉ SUR UNE BASE RÉGULIÈRE dans les activités suivantes de votre quartier : Dans des assemblées du conseil municipal ?"/>
    <s v="Au cours des deux dernières années, vous êtes vous IMPLIQUÉ SUR UNE BASE RÉGULIÈRE dans les activités suivantes de votre quartier : Dans un conseil de quartier ou d'arrondissement ?"/>
    <s v="Au cours des deux dernières années, vous êtes vous IMPLIQUÉ SUR UNE BASE RÉGULIÈRE dans les activités suivantes de votre quartier : Dans un comité de citoyens ?"/>
    <s v="Au cours des deux dernières années, vous êtes vous IMPLIQUÉ SUR UNE BASE RÉGULIÈRE dans les activités suivantes de votre quartier : Dans des activités communautaires, d'entraide ou de bénévolat (cuisine communautaire, bazar)"/>
    <s v="Au cours des deux dernières années, vous êtes vous IMPLIQUÉ SUR UNE BASE RÉGULIÈRE dans les activités suivantes de votre quartier : Dans des activités sociales, culturelles ou sportives organisées par les gens de votre quartier ou de votre municipalité ?"/>
    <s v="Au cours des deux dernières années, avez-vous été victime de vol, de vandalisme ou de tout autre crime contre vos biens, chez vous ou dans votre quartier ?"/>
    <s v="Au cours des deux dernières années, avez-vous été victime d'une agression, d'intimidation ou de tout autre acte de violence, chez vous ou dans votre quartier ?"/>
    <s v="Au cours des deux dernières années avez-vous été victime dans votre quartier d'une quelconque forme de discrimination ?"/>
    <s v="À votre avis, le motif de cette discrimination était lié …"/>
    <s v="Autre, précisez :"/>
    <s v="Au cours des deux dernières années, avez-vous subi un accident qui vous a occasionné une blessure pour laquelle vous avez dû consulter un professionnel de la santé ou limiter vos activités ?"/>
    <s v="Combien de fois cela s'est-il produit ?"/>
    <s v="En se référant au dernier événement, était-ce … ?"/>
    <s v="Autre, précisez :"/>
    <s v="Maintenant, comparativement à d'autres personnes de votre âge, dirirez-vous que votre santé est en général …"/>
    <s v="Dans quel quartier habitez-vous ?"/>
    <s v="Combien de personne de moins de 18 ans habitent dans votre foyer ?"/>
    <x v="0"/>
    <s v="Quelle est votre année de naissance ?"/>
    <s v="Êtes-vous propriétaire ou locataire du logement que vous habitez ?"/>
    <s v="Autre, précisez : "/>
    <s v="Habitez-vous dans …"/>
    <s v="Autre, précisez : "/>
    <s v="Quel est votre état civil ?"/>
    <s v="Autre, précisez : "/>
    <s v="Où est situé votre lieu de travail habituel ?"/>
    <s v="Autre, précisez : "/>
    <s v="Quel est le plus haut niveau de scolarité que vous avez complété ?"/>
    <m/>
    <m/>
    <x v="0"/>
    <m/>
    <m/>
    <m/>
  </r>
  <r>
    <x v="1"/>
    <n v="2"/>
    <n v="2"/>
    <m/>
    <n v="1"/>
    <n v="7"/>
    <n v="4"/>
    <n v="8"/>
    <n v="1"/>
    <n v="4"/>
    <n v="8"/>
    <n v="2"/>
    <n v="2"/>
    <n v="1"/>
    <m/>
    <m/>
    <m/>
    <n v="1"/>
    <n v="2"/>
    <n v="1"/>
    <n v="2"/>
    <n v="2"/>
    <n v="1"/>
    <n v="1"/>
    <n v="2"/>
    <n v="1"/>
    <n v="2"/>
    <m/>
    <n v="1"/>
    <n v="4"/>
    <n v="5"/>
    <m/>
    <n v="2"/>
    <n v="4"/>
    <n v="5"/>
    <x v="1"/>
    <n v="1981"/>
    <n v="2"/>
    <m/>
    <n v="7"/>
    <m/>
    <n v="1"/>
    <m/>
    <n v="1"/>
    <m/>
    <n v="4"/>
    <n v="1"/>
    <n v="32"/>
    <x v="1"/>
    <n v="1"/>
    <n v="1"/>
    <n v="1"/>
  </r>
  <r>
    <x v="1"/>
    <n v="1"/>
    <n v="1"/>
    <n v="1"/>
    <n v="2"/>
    <n v="4"/>
    <n v="1"/>
    <n v="1"/>
    <n v="4"/>
    <n v="8"/>
    <n v="1"/>
    <n v="4"/>
    <n v="1"/>
    <n v="2"/>
    <n v="1"/>
    <m/>
    <m/>
    <n v="2"/>
    <n v="1"/>
    <n v="1"/>
    <n v="2"/>
    <n v="2"/>
    <n v="1"/>
    <n v="2"/>
    <n v="1"/>
    <n v="2"/>
    <n v="1"/>
    <m/>
    <n v="2"/>
    <m/>
    <m/>
    <m/>
    <n v="4"/>
    <n v="1"/>
    <n v="2"/>
    <x v="2"/>
    <n v="1970"/>
    <n v="1"/>
    <m/>
    <n v="5"/>
    <m/>
    <n v="2"/>
    <m/>
    <n v="2"/>
    <m/>
    <n v="1"/>
    <n v="1"/>
    <n v="43"/>
    <x v="2"/>
    <n v="2"/>
    <n v="3"/>
    <n v="2"/>
  </r>
  <r>
    <x v="2"/>
    <n v="1"/>
    <n v="1"/>
    <n v="2"/>
    <n v="3"/>
    <n v="1"/>
    <n v="2"/>
    <n v="3"/>
    <n v="2"/>
    <n v="1"/>
    <n v="2"/>
    <n v="3"/>
    <n v="4"/>
    <n v="3"/>
    <n v="3"/>
    <m/>
    <m/>
    <n v="2"/>
    <n v="1"/>
    <n v="2"/>
    <n v="2"/>
    <n v="2"/>
    <n v="2"/>
    <n v="2"/>
    <n v="1"/>
    <n v="3"/>
    <n v="3"/>
    <m/>
    <n v="1"/>
    <n v="2"/>
    <n v="8"/>
    <m/>
    <n v="5"/>
    <n v="4"/>
    <n v="4"/>
    <x v="2"/>
    <n v="1990"/>
    <n v="3"/>
    <m/>
    <n v="4"/>
    <m/>
    <n v="4"/>
    <m/>
    <n v="3"/>
    <m/>
    <n v="2"/>
    <n v="1"/>
    <n v="23"/>
    <x v="1"/>
    <n v="2"/>
    <n v="4"/>
    <n v="2"/>
  </r>
  <r>
    <x v="2"/>
    <n v="1"/>
    <n v="1"/>
    <n v="1"/>
    <n v="4"/>
    <n v="3"/>
    <n v="3"/>
    <n v="2"/>
    <n v="3"/>
    <n v="1"/>
    <n v="3"/>
    <n v="2"/>
    <n v="2"/>
    <n v="4"/>
    <n v="2"/>
    <m/>
    <m/>
    <n v="2"/>
    <n v="1"/>
    <n v="2"/>
    <n v="2"/>
    <n v="1"/>
    <n v="2"/>
    <n v="2"/>
    <n v="2"/>
    <n v="4"/>
    <m/>
    <m/>
    <n v="1"/>
    <n v="2"/>
    <n v="7"/>
    <m/>
    <n v="1"/>
    <n v="2"/>
    <n v="1"/>
    <x v="2"/>
    <n v="1983"/>
    <n v="1"/>
    <m/>
    <n v="1"/>
    <m/>
    <n v="1"/>
    <m/>
    <n v="4"/>
    <m/>
    <n v="3"/>
    <n v="1"/>
    <n v="30"/>
    <x v="1"/>
    <n v="2"/>
    <n v="3"/>
    <n v="2"/>
  </r>
  <r>
    <x v="1"/>
    <n v="2"/>
    <n v="2"/>
    <m/>
    <n v="7"/>
    <n v="3"/>
    <n v="3"/>
    <n v="1"/>
    <n v="2"/>
    <n v="3"/>
    <n v="2"/>
    <n v="1"/>
    <n v="3"/>
    <n v="2"/>
    <n v="4"/>
    <m/>
    <m/>
    <n v="1"/>
    <n v="2"/>
    <n v="2"/>
    <n v="1"/>
    <n v="1"/>
    <n v="2"/>
    <n v="2"/>
    <n v="1"/>
    <n v="1"/>
    <n v="6"/>
    <m/>
    <n v="2"/>
    <m/>
    <m/>
    <m/>
    <n v="3"/>
    <n v="3"/>
    <m/>
    <x v="2"/>
    <n v="1967"/>
    <n v="1"/>
    <m/>
    <n v="2"/>
    <m/>
    <n v="3"/>
    <m/>
    <n v="4"/>
    <m/>
    <n v="2"/>
    <n v="1"/>
    <n v="46"/>
    <x v="2"/>
    <n v="3"/>
    <n v="5"/>
    <n v="3"/>
  </r>
  <r>
    <x v="1"/>
    <n v="2"/>
    <n v="1"/>
    <n v="1"/>
    <n v="4"/>
    <n v="2"/>
    <n v="2"/>
    <n v="2"/>
    <n v="3"/>
    <n v="2"/>
    <n v="4"/>
    <n v="4"/>
    <n v="2"/>
    <n v="1"/>
    <m/>
    <m/>
    <m/>
    <n v="1"/>
    <n v="2"/>
    <n v="1"/>
    <n v="1"/>
    <n v="2"/>
    <n v="1"/>
    <n v="1"/>
    <n v="2"/>
    <n v="4"/>
    <m/>
    <m/>
    <n v="2"/>
    <m/>
    <m/>
    <m/>
    <n v="2"/>
    <n v="2"/>
    <n v="1"/>
    <x v="2"/>
    <n v="1962"/>
    <n v="2"/>
    <m/>
    <n v="3"/>
    <m/>
    <n v="3"/>
    <m/>
    <n v="1"/>
    <m/>
    <n v="1"/>
    <n v="1"/>
    <n v="51"/>
    <x v="2"/>
    <n v="2"/>
    <n v="2"/>
    <n v="2"/>
  </r>
  <r>
    <x v="2"/>
    <n v="2"/>
    <n v="2"/>
    <m/>
    <n v="2"/>
    <n v="1"/>
    <n v="1"/>
    <n v="1"/>
    <n v="3"/>
    <n v="3"/>
    <n v="1"/>
    <n v="8"/>
    <n v="1"/>
    <n v="3"/>
    <n v="2"/>
    <m/>
    <m/>
    <n v="1"/>
    <n v="2"/>
    <n v="1"/>
    <n v="1"/>
    <n v="1"/>
    <n v="1"/>
    <n v="1"/>
    <n v="1"/>
    <n v="1"/>
    <n v="7"/>
    <m/>
    <n v="1"/>
    <n v="2"/>
    <n v="6"/>
    <m/>
    <n v="1"/>
    <n v="3"/>
    <n v="3"/>
    <x v="2"/>
    <n v="1994"/>
    <n v="3"/>
    <m/>
    <n v="3"/>
    <m/>
    <n v="2"/>
    <m/>
    <n v="2"/>
    <m/>
    <n v="4"/>
    <n v="1"/>
    <n v="19"/>
    <x v="1"/>
    <n v="2"/>
    <n v="4"/>
    <n v="2"/>
  </r>
  <r>
    <x v="1"/>
    <n v="2"/>
    <n v="1"/>
    <n v="2"/>
    <n v="3"/>
    <n v="1"/>
    <n v="2"/>
    <n v="3"/>
    <n v="4"/>
    <n v="2"/>
    <n v="3"/>
    <n v="8"/>
    <n v="4"/>
    <n v="2"/>
    <n v="1"/>
    <m/>
    <m/>
    <n v="1"/>
    <n v="1"/>
    <n v="1"/>
    <n v="1"/>
    <n v="1"/>
    <n v="1"/>
    <n v="1"/>
    <n v="2"/>
    <n v="3"/>
    <n v="2"/>
    <m/>
    <n v="2"/>
    <m/>
    <m/>
    <m/>
    <n v="3"/>
    <n v="2"/>
    <n v="2"/>
    <x v="1"/>
    <n v="1983"/>
    <n v="2"/>
    <m/>
    <n v="2"/>
    <m/>
    <n v="1"/>
    <m/>
    <n v="3"/>
    <m/>
    <n v="1"/>
    <n v="1"/>
    <n v="30"/>
    <x v="1"/>
    <n v="2"/>
    <n v="4"/>
    <n v="2"/>
  </r>
  <r>
    <x v="2"/>
    <n v="2"/>
    <n v="2"/>
    <m/>
    <n v="1"/>
    <n v="4"/>
    <n v="3"/>
    <n v="2"/>
    <n v="1"/>
    <n v="3"/>
    <n v="2"/>
    <n v="8"/>
    <n v="2"/>
    <n v="1"/>
    <m/>
    <m/>
    <m/>
    <n v="2"/>
    <n v="1"/>
    <n v="2"/>
    <n v="2"/>
    <n v="1"/>
    <n v="2"/>
    <n v="1"/>
    <n v="1"/>
    <n v="2"/>
    <n v="2"/>
    <m/>
    <n v="1"/>
    <n v="1"/>
    <n v="1"/>
    <m/>
    <n v="8"/>
    <n v="3"/>
    <n v="5"/>
    <x v="1"/>
    <n v="1975"/>
    <n v="3"/>
    <m/>
    <n v="2"/>
    <m/>
    <n v="4"/>
    <m/>
    <n v="2"/>
    <m/>
    <n v="3"/>
    <n v="1"/>
    <n v="38"/>
    <x v="1"/>
    <n v="2"/>
    <n v="2"/>
    <n v="1"/>
  </r>
  <r>
    <x v="2"/>
    <n v="2"/>
    <n v="2"/>
    <m/>
    <n v="2"/>
    <n v="1"/>
    <n v="4"/>
    <n v="2"/>
    <n v="2"/>
    <n v="2"/>
    <n v="1"/>
    <n v="8"/>
    <n v="3"/>
    <n v="3"/>
    <n v="3"/>
    <m/>
    <m/>
    <n v="2"/>
    <n v="2"/>
    <n v="2"/>
    <n v="2"/>
    <n v="2"/>
    <n v="2"/>
    <n v="1"/>
    <n v="1"/>
    <n v="2"/>
    <n v="3"/>
    <m/>
    <n v="1"/>
    <n v="2"/>
    <n v="5"/>
    <m/>
    <n v="2"/>
    <n v="2"/>
    <n v="5"/>
    <x v="1"/>
    <n v="1979"/>
    <n v="3"/>
    <m/>
    <n v="1"/>
    <m/>
    <n v="1"/>
    <m/>
    <n v="1"/>
    <m/>
    <n v="2"/>
    <n v="1"/>
    <n v="34"/>
    <x v="1"/>
    <n v="1"/>
    <n v="1"/>
    <n v="1"/>
  </r>
  <r>
    <x v="1"/>
    <n v="1"/>
    <n v="2"/>
    <m/>
    <n v="3"/>
    <n v="2"/>
    <n v="1"/>
    <n v="2"/>
    <n v="4"/>
    <n v="4"/>
    <n v="4"/>
    <n v="3"/>
    <n v="8"/>
    <n v="1"/>
    <m/>
    <m/>
    <m/>
    <n v="2"/>
    <n v="2"/>
    <n v="2"/>
    <n v="2"/>
    <n v="2"/>
    <n v="2"/>
    <n v="2"/>
    <n v="2"/>
    <n v="3"/>
    <n v="5"/>
    <m/>
    <n v="2"/>
    <m/>
    <m/>
    <m/>
    <n v="1"/>
    <n v="1"/>
    <n v="5"/>
    <x v="1"/>
    <n v="1957"/>
    <n v="3"/>
    <m/>
    <n v="1"/>
    <m/>
    <n v="3"/>
    <m/>
    <n v="4"/>
    <m/>
    <n v="3"/>
    <n v="1"/>
    <n v="56"/>
    <x v="2"/>
    <n v="1"/>
    <n v="1"/>
    <n v="1"/>
  </r>
  <r>
    <x v="2"/>
    <n v="1"/>
    <n v="1"/>
    <n v="2"/>
    <n v="1"/>
    <n v="3"/>
    <n v="7"/>
    <n v="3"/>
    <n v="1"/>
    <n v="2"/>
    <n v="2"/>
    <n v="2"/>
    <n v="2"/>
    <n v="4"/>
    <n v="4"/>
    <m/>
    <m/>
    <n v="1"/>
    <n v="1"/>
    <n v="1"/>
    <n v="2"/>
    <n v="2"/>
    <n v="1"/>
    <n v="2"/>
    <n v="2"/>
    <n v="3"/>
    <n v="98"/>
    <m/>
    <n v="1"/>
    <n v="4"/>
    <n v="4"/>
    <m/>
    <n v="2"/>
    <n v="3"/>
    <m/>
    <x v="2"/>
    <n v="1946"/>
    <n v="2"/>
    <m/>
    <n v="5"/>
    <m/>
    <n v="2"/>
    <m/>
    <n v="2"/>
    <m/>
    <n v="2"/>
    <n v="1"/>
    <n v="67"/>
    <x v="3"/>
    <n v="2"/>
    <n v="4"/>
    <n v="3"/>
  </r>
  <r>
    <x v="1"/>
    <n v="1"/>
    <n v="2"/>
    <m/>
    <n v="2"/>
    <n v="1"/>
    <n v="4"/>
    <n v="3"/>
    <n v="3"/>
    <n v="3"/>
    <n v="3"/>
    <n v="1"/>
    <n v="1"/>
    <n v="1"/>
    <m/>
    <m/>
    <m/>
    <n v="1"/>
    <n v="2"/>
    <n v="1"/>
    <n v="1"/>
    <n v="1"/>
    <n v="1"/>
    <n v="1"/>
    <n v="1"/>
    <n v="2"/>
    <n v="1"/>
    <m/>
    <n v="1"/>
    <n v="2"/>
    <n v="98"/>
    <m/>
    <n v="3"/>
    <n v="2"/>
    <n v="1"/>
    <x v="1"/>
    <n v="1947"/>
    <n v="1"/>
    <m/>
    <n v="6"/>
    <m/>
    <n v="4"/>
    <m/>
    <n v="1"/>
    <m/>
    <n v="2"/>
    <n v="1"/>
    <n v="66"/>
    <x v="3"/>
    <n v="2"/>
    <n v="3"/>
    <n v="2"/>
  </r>
  <r>
    <x v="2"/>
    <n v="1"/>
    <n v="2"/>
    <m/>
    <n v="3"/>
    <n v="7"/>
    <n v="1"/>
    <n v="1"/>
    <n v="2"/>
    <n v="2"/>
    <n v="2"/>
    <n v="3"/>
    <n v="3"/>
    <n v="2"/>
    <n v="3"/>
    <m/>
    <m/>
    <n v="2"/>
    <n v="1"/>
    <n v="1"/>
    <n v="1"/>
    <n v="2"/>
    <n v="2"/>
    <n v="2"/>
    <n v="2"/>
    <n v="4"/>
    <m/>
    <m/>
    <n v="2"/>
    <m/>
    <m/>
    <m/>
    <n v="5"/>
    <n v="4"/>
    <n v="3"/>
    <x v="2"/>
    <n v="1984"/>
    <n v="3"/>
    <m/>
    <n v="4"/>
    <m/>
    <n v="6"/>
    <m/>
    <n v="3"/>
    <m/>
    <n v="1"/>
    <n v="1"/>
    <n v="29"/>
    <x v="1"/>
    <n v="2"/>
    <n v="4"/>
    <n v="2"/>
  </r>
  <r>
    <x v="1"/>
    <n v="2"/>
    <n v="1"/>
    <n v="1"/>
    <n v="4"/>
    <n v="1"/>
    <n v="2"/>
    <n v="1"/>
    <n v="2"/>
    <n v="1"/>
    <n v="1"/>
    <n v="2"/>
    <n v="8"/>
    <n v="3"/>
    <n v="2"/>
    <m/>
    <m/>
    <n v="1"/>
    <n v="2"/>
    <n v="2"/>
    <n v="2"/>
    <n v="2"/>
    <n v="2"/>
    <n v="1"/>
    <n v="1"/>
    <n v="1"/>
    <n v="8"/>
    <m/>
    <n v="2"/>
    <m/>
    <m/>
    <m/>
    <n v="3"/>
    <n v="3"/>
    <n v="1"/>
    <x v="1"/>
    <n v="1989"/>
    <n v="2"/>
    <m/>
    <n v="7"/>
    <m/>
    <n v="4"/>
    <m/>
    <n v="2"/>
    <m/>
    <n v="2"/>
    <n v="1"/>
    <n v="24"/>
    <x v="1"/>
    <n v="2"/>
    <n v="2"/>
    <n v="2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4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7"/>
    <m/>
    <m/>
    <m/>
    <m/>
    <m/>
    <m/>
    <m/>
    <m/>
    <m/>
    <n v="1"/>
    <n v="26"/>
    <x v="1"/>
    <n v="2"/>
    <n v="4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3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1"/>
    <m/>
    <m/>
    <m/>
    <m/>
    <m/>
    <m/>
    <m/>
    <m/>
    <m/>
    <n v="1"/>
    <n v="32"/>
    <x v="1"/>
    <n v="2"/>
    <n v="4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70"/>
    <m/>
    <m/>
    <m/>
    <m/>
    <m/>
    <m/>
    <m/>
    <m/>
    <m/>
    <n v="1"/>
    <n v="43"/>
    <x v="2"/>
    <n v="2"/>
    <n v="4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2"/>
    <n v="4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</pivotCacheRecords>
</file>

<file path=xl/pivotCache/pivotCacheRecords46.xml><?xml version="1.0" encoding="utf-8"?>
<pivotCacheRecords xmlns="http://schemas.openxmlformats.org/spreadsheetml/2006/main" xmlns:r="http://schemas.openxmlformats.org/officeDocument/2006/relationships" count="632">
  <r>
    <x v="0"/>
    <s v="Est-ce qu'il y a à votre domicile au moins un détecteur de fumée fonctionnel par étage ? "/>
    <s v="Le bon fonctionnement de cet/ces appareil(s) a-t-il été vérifié, au cours des douze (12) derniers mois ?"/>
    <s v="Veuillez nous dire votre degré de satisfaction à l'égard : du déneigement et du déglaçage des rues et des trottoirs de votre quartier ? "/>
    <s v="Veuillez nous dire votre degré de satisfaction à l'égard :  de la propreté et de l'entretien des parcs et terrains de jeux de votre quartier ?"/>
    <s v="Veuillez nous dire votre degré de satisfaction à l'égard :  de la sécurité des équipements dans les parcs, aires de jeux ou centre récréatif ou sportif de votre quartier ? "/>
    <s v="Votre quartier est-il desservi par un service de police municipal, une régie intermunicipale ou par la Sûreté du Québec ?"/>
    <s v="Quel est votre niveau de satisfaction à l'égard de la présence des policiers dans votre quartier ?"/>
    <s v="Quel est votre niveau de satisfaction à l'égard du travail effectué par les policiers dans votre quartier ?"/>
    <s v="De façon plus spécifique, quel est votre niveau de satisfaction à l'égard du travail effectué par les policiers : auprès des jeunes de votre quartier"/>
    <s v="De façon plus spécifique, quel est votre niveau de satisfaction à l'égard du travail effectué par les policiers : pour assurer la sécurité routière dans votre quartier"/>
    <s v="De façon plus spécifique, quel est votre niveau de satisfaction à l'égard du travail effectué par les policiers : pour régler des problèmes de délinquance ou de désordres qui surviennent dans votre quartier"/>
    <s v="Au cours des deux dernières années, combien de fois avez-vous fait appel au service de police qui dessert votre quartier ?"/>
    <s v="En vous référant à l'événement le plus récent, quel est votre niveau de satisfaction à l'égard de la réponse que vous avez reçue ?"/>
    <s v="Pourquoi ? Peu"/>
    <s v="Pourquoi ? Pas"/>
    <s v="Au cours des deux dernières années, vous êtes vous IMPLIQUÉ SUR UNE BASE RÉGULIÈRE dans les activités suivantes de votre quartier : Dans un comité ou un organisme préoccupé par les problèmes de sécurité de votre quartier ?"/>
    <s v="Au cours des deux dernières années, vous êtes vous IMPLIQUÉ SUR UNE BASE RÉGULIÈRE dans les activités suivantes de votre quartier : Dans des assemblées du conseil municipal ?"/>
    <s v="Au cours des deux dernières années, vous êtes vous IMPLIQUÉ SUR UNE BASE RÉGULIÈRE dans les activités suivantes de votre quartier : Dans un conseil de quartier ou d'arrondissement ?"/>
    <s v="Au cours des deux dernières années, vous êtes vous IMPLIQUÉ SUR UNE BASE RÉGULIÈRE dans les activités suivantes de votre quartier : Dans un comité de citoyens ?"/>
    <s v="Au cours des deux dernières années, vous êtes vous IMPLIQUÉ SUR UNE BASE RÉGULIÈRE dans les activités suivantes de votre quartier : Dans des activités communautaires, d'entraide ou de bénévolat (cuisine communautaire, bazar)"/>
    <s v="Au cours des deux dernières années, vous êtes vous IMPLIQUÉ SUR UNE BASE RÉGULIÈRE dans les activités suivantes de votre quartier : Dans des activités sociales, culturelles ou sportives organisées par les gens de votre quartier ou de votre municipalité ?"/>
    <s v="Au cours des deux dernières années, avez-vous été victime de vol, de vandalisme ou de tout autre crime contre vos biens, chez vous ou dans votre quartier ?"/>
    <s v="Au cours des deux dernières années, avez-vous été victime d'une agression, d'intimidation ou de tout autre acte de violence, chez vous ou dans votre quartier ?"/>
    <s v="Au cours des deux dernières années avez-vous été victime dans votre quartier d'une quelconque forme de discrimination ?"/>
    <s v="À votre avis, le motif de cette discrimination était lié …"/>
    <s v="Autre, précisez :"/>
    <s v="Au cours des deux dernières années, avez-vous subi un accident qui vous a occasionné une blessure pour laquelle vous avez dû consulter un professionnel de la santé ou limiter vos activités ?"/>
    <s v="Combien de fois cela s'est-il produit ?"/>
    <s v="En se référant au dernier événement, était-ce … ?"/>
    <s v="Autre, précisez :"/>
    <s v="Maintenant, comparativement à d'autres personnes de votre âge, dirirez-vous que votre santé est en général …"/>
    <s v="Dans quel quartier habitez-vous ?"/>
    <s v="Combien de personne de moins de 18 ans habitent dans votre foyer ?"/>
    <x v="0"/>
    <s v="Quelle est votre année de naissance ?"/>
    <s v="Êtes-vous propriétaire ou locataire du logement que vous habitez ?"/>
    <s v="Autre, précisez : "/>
    <s v="Habitez-vous dans …"/>
    <s v="Autre, précisez : "/>
    <s v="Quel est votre état civil ?"/>
    <s v="Autre, précisez : "/>
    <s v="Où est situé votre lieu de travail habituel ?"/>
    <s v="Autre, précisez : "/>
    <s v="Quel est le plus haut niveau de scolarité que vous avez complété ?"/>
    <m/>
    <m/>
    <x v="0"/>
    <m/>
    <m/>
    <m/>
  </r>
  <r>
    <x v="1"/>
    <n v="2"/>
    <m/>
    <n v="1"/>
    <n v="7"/>
    <n v="4"/>
    <n v="8"/>
    <n v="1"/>
    <n v="4"/>
    <n v="8"/>
    <n v="2"/>
    <n v="2"/>
    <n v="1"/>
    <m/>
    <m/>
    <m/>
    <n v="1"/>
    <n v="2"/>
    <n v="1"/>
    <n v="2"/>
    <n v="2"/>
    <n v="1"/>
    <n v="1"/>
    <n v="2"/>
    <n v="1"/>
    <n v="2"/>
    <m/>
    <n v="1"/>
    <n v="4"/>
    <n v="5"/>
    <m/>
    <n v="2"/>
    <n v="4"/>
    <n v="5"/>
    <x v="1"/>
    <n v="1981"/>
    <n v="2"/>
    <m/>
    <n v="7"/>
    <m/>
    <n v="1"/>
    <m/>
    <n v="1"/>
    <m/>
    <n v="4"/>
    <n v="1"/>
    <n v="32"/>
    <x v="1"/>
    <n v="1"/>
    <n v="1"/>
    <n v="1"/>
  </r>
  <r>
    <x v="2"/>
    <n v="1"/>
    <n v="1"/>
    <n v="2"/>
    <n v="4"/>
    <n v="1"/>
    <n v="1"/>
    <n v="4"/>
    <n v="8"/>
    <n v="1"/>
    <n v="4"/>
    <n v="1"/>
    <n v="2"/>
    <n v="1"/>
    <m/>
    <m/>
    <n v="2"/>
    <n v="1"/>
    <n v="1"/>
    <n v="2"/>
    <n v="2"/>
    <n v="1"/>
    <n v="2"/>
    <n v="1"/>
    <n v="2"/>
    <n v="1"/>
    <m/>
    <n v="2"/>
    <m/>
    <m/>
    <m/>
    <n v="4"/>
    <n v="1"/>
    <n v="2"/>
    <x v="2"/>
    <n v="1970"/>
    <n v="1"/>
    <m/>
    <n v="5"/>
    <m/>
    <n v="2"/>
    <m/>
    <n v="2"/>
    <m/>
    <n v="1"/>
    <n v="1"/>
    <n v="43"/>
    <x v="2"/>
    <n v="2"/>
    <n v="3"/>
    <n v="2"/>
  </r>
  <r>
    <x v="2"/>
    <n v="1"/>
    <n v="2"/>
    <n v="3"/>
    <n v="1"/>
    <n v="2"/>
    <n v="3"/>
    <n v="2"/>
    <n v="1"/>
    <n v="2"/>
    <n v="3"/>
    <n v="4"/>
    <n v="3"/>
    <n v="3"/>
    <m/>
    <m/>
    <n v="2"/>
    <n v="1"/>
    <n v="2"/>
    <n v="2"/>
    <n v="2"/>
    <n v="2"/>
    <n v="2"/>
    <n v="1"/>
    <n v="3"/>
    <n v="3"/>
    <m/>
    <n v="1"/>
    <n v="2"/>
    <n v="8"/>
    <m/>
    <n v="5"/>
    <n v="4"/>
    <n v="4"/>
    <x v="2"/>
    <n v="1990"/>
    <n v="3"/>
    <m/>
    <n v="4"/>
    <m/>
    <n v="4"/>
    <m/>
    <n v="3"/>
    <m/>
    <n v="2"/>
    <n v="1"/>
    <n v="23"/>
    <x v="1"/>
    <n v="2"/>
    <n v="4"/>
    <n v="2"/>
  </r>
  <r>
    <x v="2"/>
    <n v="1"/>
    <n v="1"/>
    <n v="4"/>
    <n v="3"/>
    <n v="3"/>
    <n v="2"/>
    <n v="3"/>
    <n v="1"/>
    <n v="3"/>
    <n v="2"/>
    <n v="2"/>
    <n v="4"/>
    <n v="2"/>
    <m/>
    <m/>
    <n v="2"/>
    <n v="1"/>
    <n v="2"/>
    <n v="2"/>
    <n v="1"/>
    <n v="2"/>
    <n v="2"/>
    <n v="2"/>
    <n v="4"/>
    <m/>
    <m/>
    <n v="1"/>
    <n v="2"/>
    <n v="7"/>
    <m/>
    <n v="1"/>
    <n v="2"/>
    <n v="1"/>
    <x v="2"/>
    <n v="1983"/>
    <n v="1"/>
    <m/>
    <n v="1"/>
    <m/>
    <n v="1"/>
    <m/>
    <n v="4"/>
    <m/>
    <n v="3"/>
    <n v="1"/>
    <n v="30"/>
    <x v="1"/>
    <n v="2"/>
    <n v="3"/>
    <n v="2"/>
  </r>
  <r>
    <x v="1"/>
    <n v="2"/>
    <m/>
    <n v="7"/>
    <n v="3"/>
    <n v="3"/>
    <n v="1"/>
    <n v="2"/>
    <n v="3"/>
    <n v="2"/>
    <n v="1"/>
    <n v="3"/>
    <n v="2"/>
    <n v="4"/>
    <m/>
    <m/>
    <n v="1"/>
    <n v="2"/>
    <n v="2"/>
    <n v="1"/>
    <n v="1"/>
    <n v="2"/>
    <n v="2"/>
    <n v="1"/>
    <n v="1"/>
    <n v="6"/>
    <m/>
    <n v="2"/>
    <m/>
    <m/>
    <m/>
    <n v="3"/>
    <n v="3"/>
    <m/>
    <x v="2"/>
    <n v="1967"/>
    <n v="1"/>
    <m/>
    <n v="2"/>
    <m/>
    <n v="3"/>
    <m/>
    <n v="4"/>
    <m/>
    <n v="2"/>
    <n v="1"/>
    <n v="46"/>
    <x v="2"/>
    <n v="3"/>
    <n v="5"/>
    <n v="3"/>
  </r>
  <r>
    <x v="1"/>
    <n v="1"/>
    <n v="1"/>
    <n v="4"/>
    <n v="2"/>
    <n v="2"/>
    <n v="2"/>
    <n v="3"/>
    <n v="2"/>
    <n v="4"/>
    <n v="4"/>
    <n v="2"/>
    <n v="1"/>
    <m/>
    <m/>
    <m/>
    <n v="1"/>
    <n v="2"/>
    <n v="1"/>
    <n v="1"/>
    <n v="2"/>
    <n v="1"/>
    <n v="1"/>
    <n v="2"/>
    <n v="4"/>
    <m/>
    <m/>
    <n v="2"/>
    <m/>
    <m/>
    <m/>
    <n v="2"/>
    <n v="2"/>
    <n v="1"/>
    <x v="2"/>
    <n v="1962"/>
    <n v="2"/>
    <m/>
    <n v="3"/>
    <m/>
    <n v="3"/>
    <m/>
    <n v="1"/>
    <m/>
    <n v="1"/>
    <n v="1"/>
    <n v="51"/>
    <x v="2"/>
    <n v="2"/>
    <n v="2"/>
    <n v="2"/>
  </r>
  <r>
    <x v="1"/>
    <n v="2"/>
    <m/>
    <n v="2"/>
    <n v="1"/>
    <n v="1"/>
    <n v="1"/>
    <n v="3"/>
    <n v="3"/>
    <n v="1"/>
    <n v="8"/>
    <n v="1"/>
    <n v="3"/>
    <n v="2"/>
    <m/>
    <m/>
    <n v="1"/>
    <n v="2"/>
    <n v="1"/>
    <n v="1"/>
    <n v="1"/>
    <n v="1"/>
    <n v="1"/>
    <n v="1"/>
    <n v="1"/>
    <n v="7"/>
    <m/>
    <n v="1"/>
    <n v="2"/>
    <n v="6"/>
    <m/>
    <n v="1"/>
    <n v="3"/>
    <n v="3"/>
    <x v="2"/>
    <n v="1994"/>
    <n v="3"/>
    <m/>
    <n v="3"/>
    <m/>
    <n v="2"/>
    <m/>
    <n v="2"/>
    <m/>
    <n v="4"/>
    <n v="1"/>
    <n v="19"/>
    <x v="1"/>
    <n v="2"/>
    <n v="4"/>
    <n v="2"/>
  </r>
  <r>
    <x v="1"/>
    <n v="1"/>
    <n v="2"/>
    <n v="3"/>
    <n v="1"/>
    <n v="2"/>
    <n v="3"/>
    <n v="4"/>
    <n v="2"/>
    <n v="3"/>
    <n v="8"/>
    <n v="4"/>
    <n v="2"/>
    <n v="1"/>
    <m/>
    <m/>
    <n v="1"/>
    <n v="1"/>
    <n v="1"/>
    <n v="1"/>
    <n v="1"/>
    <n v="1"/>
    <n v="1"/>
    <n v="2"/>
    <n v="3"/>
    <n v="2"/>
    <m/>
    <n v="2"/>
    <m/>
    <m/>
    <m/>
    <n v="3"/>
    <n v="2"/>
    <n v="2"/>
    <x v="1"/>
    <n v="1983"/>
    <n v="2"/>
    <m/>
    <n v="2"/>
    <m/>
    <n v="1"/>
    <m/>
    <n v="3"/>
    <m/>
    <n v="1"/>
    <n v="1"/>
    <n v="30"/>
    <x v="1"/>
    <n v="2"/>
    <n v="4"/>
    <n v="2"/>
  </r>
  <r>
    <x v="1"/>
    <n v="2"/>
    <m/>
    <n v="1"/>
    <n v="4"/>
    <n v="3"/>
    <n v="2"/>
    <n v="1"/>
    <n v="3"/>
    <n v="2"/>
    <n v="8"/>
    <n v="2"/>
    <n v="1"/>
    <m/>
    <m/>
    <m/>
    <n v="2"/>
    <n v="1"/>
    <n v="2"/>
    <n v="2"/>
    <n v="1"/>
    <n v="2"/>
    <n v="1"/>
    <n v="1"/>
    <n v="2"/>
    <n v="2"/>
    <m/>
    <n v="1"/>
    <n v="1"/>
    <n v="1"/>
    <m/>
    <n v="8"/>
    <n v="3"/>
    <n v="5"/>
    <x v="1"/>
    <n v="1975"/>
    <n v="3"/>
    <m/>
    <n v="2"/>
    <m/>
    <n v="4"/>
    <m/>
    <n v="2"/>
    <m/>
    <n v="3"/>
    <n v="1"/>
    <n v="38"/>
    <x v="1"/>
    <n v="2"/>
    <n v="2"/>
    <n v="1"/>
  </r>
  <r>
    <x v="1"/>
    <n v="2"/>
    <m/>
    <n v="2"/>
    <n v="1"/>
    <n v="4"/>
    <n v="2"/>
    <n v="2"/>
    <n v="2"/>
    <n v="1"/>
    <n v="8"/>
    <n v="3"/>
    <n v="3"/>
    <n v="3"/>
    <m/>
    <m/>
    <n v="2"/>
    <n v="2"/>
    <n v="2"/>
    <n v="2"/>
    <n v="2"/>
    <n v="2"/>
    <n v="1"/>
    <n v="1"/>
    <n v="2"/>
    <n v="3"/>
    <m/>
    <n v="1"/>
    <n v="2"/>
    <n v="5"/>
    <m/>
    <n v="2"/>
    <n v="2"/>
    <n v="5"/>
    <x v="1"/>
    <n v="1979"/>
    <n v="3"/>
    <m/>
    <n v="1"/>
    <m/>
    <n v="1"/>
    <m/>
    <n v="1"/>
    <m/>
    <n v="2"/>
    <n v="1"/>
    <n v="34"/>
    <x v="1"/>
    <n v="1"/>
    <n v="1"/>
    <n v="1"/>
  </r>
  <r>
    <x v="2"/>
    <n v="2"/>
    <m/>
    <n v="3"/>
    <n v="2"/>
    <n v="1"/>
    <n v="2"/>
    <n v="4"/>
    <n v="4"/>
    <n v="4"/>
    <n v="3"/>
    <n v="8"/>
    <n v="1"/>
    <m/>
    <m/>
    <m/>
    <n v="2"/>
    <n v="2"/>
    <n v="2"/>
    <n v="2"/>
    <n v="2"/>
    <n v="2"/>
    <n v="2"/>
    <n v="2"/>
    <n v="3"/>
    <n v="5"/>
    <m/>
    <n v="2"/>
    <m/>
    <m/>
    <m/>
    <n v="1"/>
    <n v="1"/>
    <n v="5"/>
    <x v="1"/>
    <n v="1957"/>
    <n v="3"/>
    <m/>
    <n v="1"/>
    <m/>
    <n v="3"/>
    <m/>
    <n v="4"/>
    <m/>
    <n v="3"/>
    <n v="1"/>
    <n v="56"/>
    <x v="2"/>
    <n v="1"/>
    <n v="1"/>
    <n v="1"/>
  </r>
  <r>
    <x v="2"/>
    <n v="1"/>
    <n v="2"/>
    <n v="1"/>
    <n v="3"/>
    <n v="7"/>
    <n v="3"/>
    <n v="1"/>
    <n v="2"/>
    <n v="2"/>
    <n v="2"/>
    <n v="2"/>
    <n v="4"/>
    <n v="4"/>
    <m/>
    <m/>
    <n v="1"/>
    <n v="1"/>
    <n v="1"/>
    <n v="2"/>
    <n v="2"/>
    <n v="1"/>
    <n v="2"/>
    <n v="2"/>
    <n v="3"/>
    <n v="98"/>
    <m/>
    <n v="1"/>
    <n v="4"/>
    <n v="4"/>
    <m/>
    <n v="2"/>
    <n v="3"/>
    <m/>
    <x v="2"/>
    <n v="1946"/>
    <n v="2"/>
    <m/>
    <n v="5"/>
    <m/>
    <n v="2"/>
    <m/>
    <n v="2"/>
    <m/>
    <n v="2"/>
    <n v="1"/>
    <n v="67"/>
    <x v="3"/>
    <n v="2"/>
    <n v="4"/>
    <n v="3"/>
  </r>
  <r>
    <x v="2"/>
    <n v="2"/>
    <m/>
    <n v="2"/>
    <n v="1"/>
    <n v="4"/>
    <n v="3"/>
    <n v="3"/>
    <n v="3"/>
    <n v="3"/>
    <n v="1"/>
    <n v="1"/>
    <n v="1"/>
    <m/>
    <m/>
    <m/>
    <n v="1"/>
    <n v="2"/>
    <n v="1"/>
    <n v="1"/>
    <n v="1"/>
    <n v="1"/>
    <n v="1"/>
    <n v="1"/>
    <n v="2"/>
    <n v="1"/>
    <m/>
    <n v="1"/>
    <n v="2"/>
    <n v="98"/>
    <m/>
    <n v="3"/>
    <n v="2"/>
    <n v="1"/>
    <x v="1"/>
    <n v="1947"/>
    <n v="1"/>
    <m/>
    <n v="6"/>
    <m/>
    <n v="4"/>
    <m/>
    <n v="1"/>
    <m/>
    <n v="2"/>
    <n v="1"/>
    <n v="66"/>
    <x v="3"/>
    <n v="2"/>
    <n v="3"/>
    <n v="2"/>
  </r>
  <r>
    <x v="2"/>
    <n v="2"/>
    <m/>
    <n v="3"/>
    <n v="7"/>
    <n v="1"/>
    <n v="1"/>
    <n v="2"/>
    <n v="2"/>
    <n v="2"/>
    <n v="3"/>
    <n v="3"/>
    <n v="2"/>
    <n v="3"/>
    <m/>
    <m/>
    <n v="2"/>
    <n v="1"/>
    <n v="1"/>
    <n v="1"/>
    <n v="2"/>
    <n v="2"/>
    <n v="2"/>
    <n v="2"/>
    <n v="4"/>
    <m/>
    <m/>
    <n v="2"/>
    <m/>
    <m/>
    <m/>
    <n v="5"/>
    <n v="4"/>
    <n v="3"/>
    <x v="2"/>
    <n v="1984"/>
    <n v="3"/>
    <m/>
    <n v="4"/>
    <m/>
    <n v="6"/>
    <m/>
    <n v="3"/>
    <m/>
    <n v="1"/>
    <n v="1"/>
    <n v="29"/>
    <x v="1"/>
    <n v="2"/>
    <n v="4"/>
    <n v="2"/>
  </r>
  <r>
    <x v="1"/>
    <n v="1"/>
    <n v="1"/>
    <n v="4"/>
    <n v="1"/>
    <n v="2"/>
    <n v="1"/>
    <n v="2"/>
    <n v="1"/>
    <n v="1"/>
    <n v="2"/>
    <n v="8"/>
    <n v="3"/>
    <n v="2"/>
    <m/>
    <m/>
    <n v="1"/>
    <n v="2"/>
    <n v="2"/>
    <n v="2"/>
    <n v="2"/>
    <n v="2"/>
    <n v="1"/>
    <n v="1"/>
    <n v="1"/>
    <n v="8"/>
    <m/>
    <n v="2"/>
    <m/>
    <m/>
    <m/>
    <n v="3"/>
    <n v="3"/>
    <n v="1"/>
    <x v="1"/>
    <n v="1989"/>
    <n v="2"/>
    <m/>
    <n v="7"/>
    <m/>
    <n v="4"/>
    <m/>
    <n v="2"/>
    <m/>
    <n v="2"/>
    <n v="1"/>
    <n v="24"/>
    <x v="1"/>
    <n v="2"/>
    <n v="2"/>
    <n v="2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4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7"/>
    <m/>
    <m/>
    <m/>
    <m/>
    <m/>
    <m/>
    <m/>
    <m/>
    <m/>
    <n v="1"/>
    <n v="26"/>
    <x v="1"/>
    <n v="2"/>
    <n v="4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3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1"/>
    <m/>
    <m/>
    <m/>
    <m/>
    <m/>
    <m/>
    <m/>
    <m/>
    <m/>
    <n v="1"/>
    <n v="32"/>
    <x v="1"/>
    <n v="2"/>
    <n v="4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70"/>
    <m/>
    <m/>
    <m/>
    <m/>
    <m/>
    <m/>
    <m/>
    <m/>
    <m/>
    <n v="1"/>
    <n v="43"/>
    <x v="2"/>
    <n v="2"/>
    <n v="4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2"/>
    <n v="4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</pivotCacheRecords>
</file>

<file path=xl/pivotCache/pivotCacheRecords47.xml><?xml version="1.0" encoding="utf-8"?>
<pivotCacheRecords xmlns="http://schemas.openxmlformats.org/spreadsheetml/2006/main" xmlns:r="http://schemas.openxmlformats.org/officeDocument/2006/relationships" count="632">
  <r>
    <x v="0"/>
    <s v="Le bon fonctionnement de cet/ces appareil(s) a-t-il été vérifié, au cours des douze (12) derniers mois ?"/>
    <s v="Veuillez nous dire votre degré de satisfaction à l'égard : du déneigement et du déglaçage des rues et des trottoirs de votre quartier ? "/>
    <s v="Veuillez nous dire votre degré de satisfaction à l'égard :  de la propreté et de l'entretien des parcs et terrains de jeux de votre quartier ?"/>
    <s v="Veuillez nous dire votre degré de satisfaction à l'égard :  de la sécurité des équipements dans les parcs, aires de jeux ou centre récréatif ou sportif de votre quartier ? "/>
    <s v="Votre quartier est-il desservi par un service de police municipal, une régie intermunicipale ou par la Sûreté du Québec ?"/>
    <s v="Quel est votre niveau de satisfaction à l'égard de la présence des policiers dans votre quartier ?"/>
    <s v="Quel est votre niveau de satisfaction à l'égard du travail effectué par les policiers dans votre quartier ?"/>
    <s v="De façon plus spécifique, quel est votre niveau de satisfaction à l'égard du travail effectué par les policiers : auprès des jeunes de votre quartier"/>
    <s v="De façon plus spécifique, quel est votre niveau de satisfaction à l'égard du travail effectué par les policiers : pour assurer la sécurité routière dans votre quartier"/>
    <s v="De façon plus spécifique, quel est votre niveau de satisfaction à l'égard du travail effectué par les policiers : pour régler des problèmes de délinquance ou de désordres qui surviennent dans votre quartier"/>
    <s v="Au cours des deux dernières années, combien de fois avez-vous fait appel au service de police qui dessert votre quartier ?"/>
    <s v="En vous référant à l'événement le plus récent, quel est votre niveau de satisfaction à l'égard de la réponse que vous avez reçue ?"/>
    <s v="Pourquoi ? Peu"/>
    <s v="Pourquoi ? Pas"/>
    <s v="Au cours des deux dernières années, vous êtes vous IMPLIQUÉ SUR UNE BASE RÉGULIÈRE dans les activités suivantes de votre quartier : Dans un comité ou un organisme préoccupé par les problèmes de sécurité de votre quartier ?"/>
    <s v="Au cours des deux dernières années, vous êtes vous IMPLIQUÉ SUR UNE BASE RÉGULIÈRE dans les activités suivantes de votre quartier : Dans des assemblées du conseil municipal ?"/>
    <s v="Au cours des deux dernières années, vous êtes vous IMPLIQUÉ SUR UNE BASE RÉGULIÈRE dans les activités suivantes de votre quartier : Dans un conseil de quartier ou d'arrondissement ?"/>
    <s v="Au cours des deux dernières années, vous êtes vous IMPLIQUÉ SUR UNE BASE RÉGULIÈRE dans les activités suivantes de votre quartier : Dans un comité de citoyens ?"/>
    <s v="Au cours des deux dernières années, vous êtes vous IMPLIQUÉ SUR UNE BASE RÉGULIÈRE dans les activités suivantes de votre quartier : Dans des activités communautaires, d'entraide ou de bénévolat (cuisine communautaire, bazar)"/>
    <s v="Au cours des deux dernières années, vous êtes vous IMPLIQUÉ SUR UNE BASE RÉGULIÈRE dans les activités suivantes de votre quartier : Dans des activités sociales, culturelles ou sportives organisées par les gens de votre quartier ou de votre municipalité ?"/>
    <s v="Au cours des deux dernières années, avez-vous été victime de vol, de vandalisme ou de tout autre crime contre vos biens, chez vous ou dans votre quartier ?"/>
    <s v="Au cours des deux dernières années, avez-vous été victime d'une agression, d'intimidation ou de tout autre acte de violence, chez vous ou dans votre quartier ?"/>
    <s v="Au cours des deux dernières années avez-vous été victime dans votre quartier d'une quelconque forme de discrimination ?"/>
    <s v="À votre avis, le motif de cette discrimination était lié …"/>
    <s v="Autre, précisez :"/>
    <s v="Au cours des deux dernières années, avez-vous subi un accident qui vous a occasionné une blessure pour laquelle vous avez dû consulter un professionnel de la santé ou limiter vos activités ?"/>
    <s v="Combien de fois cela s'est-il produit ?"/>
    <s v="En se référant au dernier événement, était-ce … ?"/>
    <s v="Autre, précisez :"/>
    <s v="Maintenant, comparativement à d'autres personnes de votre âge, dirirez-vous que votre santé est en général …"/>
    <s v="Dans quel quartier habitez-vous ?"/>
    <s v="Combien de personne de moins de 18 ans habitent dans votre foyer ?"/>
    <x v="0"/>
    <s v="Quelle est votre année de naissance ?"/>
    <s v="Êtes-vous propriétaire ou locataire du logement que vous habitez ?"/>
    <s v="Autre, précisez : "/>
    <s v="Habitez-vous dans …"/>
    <s v="Autre, précisez : "/>
    <s v="Quel est votre état civil ?"/>
    <s v="Autre, précisez : "/>
    <s v="Où est situé votre lieu de travail habituel ?"/>
    <s v="Autre, précisez : "/>
    <s v="Quel est le plus haut niveau de scolarité que vous avez complété ?"/>
    <m/>
    <m/>
    <x v="0"/>
    <m/>
    <m/>
    <m/>
  </r>
  <r>
    <x v="1"/>
    <m/>
    <n v="1"/>
    <n v="7"/>
    <n v="4"/>
    <n v="8"/>
    <n v="1"/>
    <n v="4"/>
    <n v="8"/>
    <n v="2"/>
    <n v="2"/>
    <n v="1"/>
    <m/>
    <m/>
    <m/>
    <n v="1"/>
    <n v="2"/>
    <n v="1"/>
    <n v="2"/>
    <n v="2"/>
    <n v="1"/>
    <n v="1"/>
    <n v="2"/>
    <n v="1"/>
    <n v="2"/>
    <m/>
    <n v="1"/>
    <n v="4"/>
    <n v="5"/>
    <m/>
    <n v="2"/>
    <n v="4"/>
    <n v="5"/>
    <x v="1"/>
    <n v="1981"/>
    <n v="2"/>
    <m/>
    <n v="7"/>
    <m/>
    <n v="1"/>
    <m/>
    <n v="1"/>
    <m/>
    <n v="4"/>
    <n v="1"/>
    <n v="32"/>
    <x v="1"/>
    <n v="1"/>
    <n v="1"/>
    <n v="1"/>
  </r>
  <r>
    <x v="2"/>
    <n v="1"/>
    <n v="2"/>
    <n v="4"/>
    <n v="1"/>
    <n v="1"/>
    <n v="4"/>
    <n v="8"/>
    <n v="1"/>
    <n v="4"/>
    <n v="1"/>
    <n v="2"/>
    <n v="1"/>
    <m/>
    <m/>
    <n v="2"/>
    <n v="1"/>
    <n v="1"/>
    <n v="2"/>
    <n v="2"/>
    <n v="1"/>
    <n v="2"/>
    <n v="1"/>
    <n v="2"/>
    <n v="1"/>
    <m/>
    <n v="2"/>
    <m/>
    <m/>
    <m/>
    <n v="4"/>
    <n v="1"/>
    <n v="2"/>
    <x v="2"/>
    <n v="1970"/>
    <n v="1"/>
    <m/>
    <n v="5"/>
    <m/>
    <n v="2"/>
    <m/>
    <n v="2"/>
    <m/>
    <n v="1"/>
    <n v="1"/>
    <n v="43"/>
    <x v="2"/>
    <n v="2"/>
    <n v="3"/>
    <n v="2"/>
  </r>
  <r>
    <x v="2"/>
    <n v="2"/>
    <n v="3"/>
    <n v="1"/>
    <n v="2"/>
    <n v="3"/>
    <n v="2"/>
    <n v="1"/>
    <n v="2"/>
    <n v="3"/>
    <n v="4"/>
    <n v="3"/>
    <n v="3"/>
    <m/>
    <m/>
    <n v="2"/>
    <n v="1"/>
    <n v="2"/>
    <n v="2"/>
    <n v="2"/>
    <n v="2"/>
    <n v="2"/>
    <n v="1"/>
    <n v="3"/>
    <n v="3"/>
    <m/>
    <n v="1"/>
    <n v="2"/>
    <n v="8"/>
    <m/>
    <n v="5"/>
    <n v="4"/>
    <n v="4"/>
    <x v="2"/>
    <n v="1990"/>
    <n v="3"/>
    <m/>
    <n v="4"/>
    <m/>
    <n v="4"/>
    <m/>
    <n v="3"/>
    <m/>
    <n v="2"/>
    <n v="1"/>
    <n v="23"/>
    <x v="1"/>
    <n v="2"/>
    <n v="4"/>
    <n v="2"/>
  </r>
  <r>
    <x v="2"/>
    <n v="1"/>
    <n v="4"/>
    <n v="3"/>
    <n v="3"/>
    <n v="2"/>
    <n v="3"/>
    <n v="1"/>
    <n v="3"/>
    <n v="2"/>
    <n v="2"/>
    <n v="4"/>
    <n v="2"/>
    <m/>
    <m/>
    <n v="2"/>
    <n v="1"/>
    <n v="2"/>
    <n v="2"/>
    <n v="1"/>
    <n v="2"/>
    <n v="2"/>
    <n v="2"/>
    <n v="4"/>
    <m/>
    <m/>
    <n v="1"/>
    <n v="2"/>
    <n v="7"/>
    <m/>
    <n v="1"/>
    <n v="2"/>
    <n v="1"/>
    <x v="2"/>
    <n v="1983"/>
    <n v="1"/>
    <m/>
    <n v="1"/>
    <m/>
    <n v="1"/>
    <m/>
    <n v="4"/>
    <m/>
    <n v="3"/>
    <n v="1"/>
    <n v="30"/>
    <x v="1"/>
    <n v="2"/>
    <n v="3"/>
    <n v="2"/>
  </r>
  <r>
    <x v="1"/>
    <m/>
    <n v="7"/>
    <n v="3"/>
    <n v="3"/>
    <n v="1"/>
    <n v="2"/>
    <n v="3"/>
    <n v="2"/>
    <n v="1"/>
    <n v="3"/>
    <n v="2"/>
    <n v="4"/>
    <m/>
    <m/>
    <n v="1"/>
    <n v="2"/>
    <n v="2"/>
    <n v="1"/>
    <n v="1"/>
    <n v="2"/>
    <n v="2"/>
    <n v="1"/>
    <n v="1"/>
    <n v="6"/>
    <m/>
    <n v="2"/>
    <m/>
    <m/>
    <m/>
    <n v="3"/>
    <n v="3"/>
    <m/>
    <x v="2"/>
    <n v="1967"/>
    <n v="1"/>
    <m/>
    <n v="2"/>
    <m/>
    <n v="3"/>
    <m/>
    <n v="4"/>
    <m/>
    <n v="2"/>
    <n v="1"/>
    <n v="46"/>
    <x v="2"/>
    <n v="3"/>
    <n v="5"/>
    <n v="3"/>
  </r>
  <r>
    <x v="2"/>
    <n v="1"/>
    <n v="4"/>
    <n v="2"/>
    <n v="2"/>
    <n v="2"/>
    <n v="3"/>
    <n v="2"/>
    <n v="4"/>
    <n v="4"/>
    <n v="2"/>
    <n v="1"/>
    <m/>
    <m/>
    <m/>
    <n v="1"/>
    <n v="2"/>
    <n v="1"/>
    <n v="1"/>
    <n v="2"/>
    <n v="1"/>
    <n v="1"/>
    <n v="2"/>
    <n v="4"/>
    <m/>
    <m/>
    <n v="2"/>
    <m/>
    <m/>
    <m/>
    <n v="2"/>
    <n v="2"/>
    <n v="1"/>
    <x v="2"/>
    <n v="1962"/>
    <n v="2"/>
    <m/>
    <n v="3"/>
    <m/>
    <n v="3"/>
    <m/>
    <n v="1"/>
    <m/>
    <n v="1"/>
    <n v="1"/>
    <n v="51"/>
    <x v="2"/>
    <n v="2"/>
    <n v="2"/>
    <n v="2"/>
  </r>
  <r>
    <x v="1"/>
    <m/>
    <n v="2"/>
    <n v="1"/>
    <n v="1"/>
    <n v="1"/>
    <n v="3"/>
    <n v="3"/>
    <n v="1"/>
    <n v="8"/>
    <n v="1"/>
    <n v="3"/>
    <n v="2"/>
    <m/>
    <m/>
    <n v="1"/>
    <n v="2"/>
    <n v="1"/>
    <n v="1"/>
    <n v="1"/>
    <n v="1"/>
    <n v="1"/>
    <n v="1"/>
    <n v="1"/>
    <n v="7"/>
    <m/>
    <n v="1"/>
    <n v="2"/>
    <n v="6"/>
    <m/>
    <n v="1"/>
    <n v="3"/>
    <n v="3"/>
    <x v="2"/>
    <n v="1994"/>
    <n v="3"/>
    <m/>
    <n v="3"/>
    <m/>
    <n v="2"/>
    <m/>
    <n v="2"/>
    <m/>
    <n v="4"/>
    <n v="1"/>
    <n v="19"/>
    <x v="1"/>
    <n v="2"/>
    <n v="4"/>
    <n v="2"/>
  </r>
  <r>
    <x v="2"/>
    <n v="2"/>
    <n v="3"/>
    <n v="1"/>
    <n v="2"/>
    <n v="3"/>
    <n v="4"/>
    <n v="2"/>
    <n v="3"/>
    <n v="8"/>
    <n v="4"/>
    <n v="2"/>
    <n v="1"/>
    <m/>
    <m/>
    <n v="1"/>
    <n v="1"/>
    <n v="1"/>
    <n v="1"/>
    <n v="1"/>
    <n v="1"/>
    <n v="1"/>
    <n v="2"/>
    <n v="3"/>
    <n v="2"/>
    <m/>
    <n v="2"/>
    <m/>
    <m/>
    <m/>
    <n v="3"/>
    <n v="2"/>
    <n v="2"/>
    <x v="1"/>
    <n v="1983"/>
    <n v="2"/>
    <m/>
    <n v="2"/>
    <m/>
    <n v="1"/>
    <m/>
    <n v="3"/>
    <m/>
    <n v="1"/>
    <n v="1"/>
    <n v="30"/>
    <x v="1"/>
    <n v="2"/>
    <n v="4"/>
    <n v="2"/>
  </r>
  <r>
    <x v="1"/>
    <m/>
    <n v="1"/>
    <n v="4"/>
    <n v="3"/>
    <n v="2"/>
    <n v="1"/>
    <n v="3"/>
    <n v="2"/>
    <n v="8"/>
    <n v="2"/>
    <n v="1"/>
    <m/>
    <m/>
    <m/>
    <n v="2"/>
    <n v="1"/>
    <n v="2"/>
    <n v="2"/>
    <n v="1"/>
    <n v="2"/>
    <n v="1"/>
    <n v="1"/>
    <n v="2"/>
    <n v="2"/>
    <m/>
    <n v="1"/>
    <n v="1"/>
    <n v="1"/>
    <m/>
    <n v="8"/>
    <n v="3"/>
    <n v="5"/>
    <x v="1"/>
    <n v="1975"/>
    <n v="3"/>
    <m/>
    <n v="2"/>
    <m/>
    <n v="4"/>
    <m/>
    <n v="2"/>
    <m/>
    <n v="3"/>
    <n v="1"/>
    <n v="38"/>
    <x v="1"/>
    <n v="2"/>
    <n v="2"/>
    <n v="1"/>
  </r>
  <r>
    <x v="1"/>
    <m/>
    <n v="2"/>
    <n v="1"/>
    <n v="4"/>
    <n v="2"/>
    <n v="2"/>
    <n v="2"/>
    <n v="1"/>
    <n v="8"/>
    <n v="3"/>
    <n v="3"/>
    <n v="3"/>
    <m/>
    <m/>
    <n v="2"/>
    <n v="2"/>
    <n v="2"/>
    <n v="2"/>
    <n v="2"/>
    <n v="2"/>
    <n v="1"/>
    <n v="1"/>
    <n v="2"/>
    <n v="3"/>
    <m/>
    <n v="1"/>
    <n v="2"/>
    <n v="5"/>
    <m/>
    <n v="2"/>
    <n v="2"/>
    <n v="5"/>
    <x v="1"/>
    <n v="1979"/>
    <n v="3"/>
    <m/>
    <n v="1"/>
    <m/>
    <n v="1"/>
    <m/>
    <n v="1"/>
    <m/>
    <n v="2"/>
    <n v="1"/>
    <n v="34"/>
    <x v="1"/>
    <n v="1"/>
    <n v="1"/>
    <n v="1"/>
  </r>
  <r>
    <x v="1"/>
    <m/>
    <n v="3"/>
    <n v="2"/>
    <n v="1"/>
    <n v="2"/>
    <n v="4"/>
    <n v="4"/>
    <n v="4"/>
    <n v="3"/>
    <n v="8"/>
    <n v="1"/>
    <m/>
    <m/>
    <m/>
    <n v="2"/>
    <n v="2"/>
    <n v="2"/>
    <n v="2"/>
    <n v="2"/>
    <n v="2"/>
    <n v="2"/>
    <n v="2"/>
    <n v="3"/>
    <n v="5"/>
    <m/>
    <n v="2"/>
    <m/>
    <m/>
    <m/>
    <n v="1"/>
    <n v="1"/>
    <n v="5"/>
    <x v="1"/>
    <n v="1957"/>
    <n v="3"/>
    <m/>
    <n v="1"/>
    <m/>
    <n v="3"/>
    <m/>
    <n v="4"/>
    <m/>
    <n v="3"/>
    <n v="1"/>
    <n v="56"/>
    <x v="2"/>
    <n v="1"/>
    <n v="1"/>
    <n v="1"/>
  </r>
  <r>
    <x v="2"/>
    <n v="2"/>
    <n v="1"/>
    <n v="3"/>
    <n v="7"/>
    <n v="3"/>
    <n v="1"/>
    <n v="2"/>
    <n v="2"/>
    <n v="2"/>
    <n v="2"/>
    <n v="4"/>
    <n v="4"/>
    <m/>
    <m/>
    <n v="1"/>
    <n v="1"/>
    <n v="1"/>
    <n v="2"/>
    <n v="2"/>
    <n v="1"/>
    <n v="2"/>
    <n v="2"/>
    <n v="3"/>
    <n v="98"/>
    <m/>
    <n v="1"/>
    <n v="4"/>
    <n v="4"/>
    <m/>
    <n v="2"/>
    <n v="3"/>
    <m/>
    <x v="2"/>
    <n v="1946"/>
    <n v="2"/>
    <m/>
    <n v="5"/>
    <m/>
    <n v="2"/>
    <m/>
    <n v="2"/>
    <m/>
    <n v="2"/>
    <n v="1"/>
    <n v="67"/>
    <x v="3"/>
    <n v="2"/>
    <n v="4"/>
    <n v="3"/>
  </r>
  <r>
    <x v="1"/>
    <m/>
    <n v="2"/>
    <n v="1"/>
    <n v="4"/>
    <n v="3"/>
    <n v="3"/>
    <n v="3"/>
    <n v="3"/>
    <n v="1"/>
    <n v="1"/>
    <n v="1"/>
    <m/>
    <m/>
    <m/>
    <n v="1"/>
    <n v="2"/>
    <n v="1"/>
    <n v="1"/>
    <n v="1"/>
    <n v="1"/>
    <n v="1"/>
    <n v="1"/>
    <n v="2"/>
    <n v="1"/>
    <m/>
    <n v="1"/>
    <n v="2"/>
    <n v="98"/>
    <m/>
    <n v="3"/>
    <n v="2"/>
    <n v="1"/>
    <x v="1"/>
    <n v="1947"/>
    <n v="1"/>
    <m/>
    <n v="6"/>
    <m/>
    <n v="4"/>
    <m/>
    <n v="1"/>
    <m/>
    <n v="2"/>
    <n v="1"/>
    <n v="66"/>
    <x v="3"/>
    <n v="2"/>
    <n v="3"/>
    <n v="2"/>
  </r>
  <r>
    <x v="1"/>
    <m/>
    <n v="3"/>
    <n v="7"/>
    <n v="1"/>
    <n v="1"/>
    <n v="2"/>
    <n v="2"/>
    <n v="2"/>
    <n v="3"/>
    <n v="3"/>
    <n v="2"/>
    <n v="3"/>
    <m/>
    <m/>
    <n v="2"/>
    <n v="1"/>
    <n v="1"/>
    <n v="1"/>
    <n v="2"/>
    <n v="2"/>
    <n v="2"/>
    <n v="2"/>
    <n v="4"/>
    <m/>
    <m/>
    <n v="2"/>
    <m/>
    <m/>
    <m/>
    <n v="5"/>
    <n v="4"/>
    <n v="3"/>
    <x v="2"/>
    <n v="1984"/>
    <n v="3"/>
    <m/>
    <n v="4"/>
    <m/>
    <n v="6"/>
    <m/>
    <n v="3"/>
    <m/>
    <n v="1"/>
    <n v="1"/>
    <n v="29"/>
    <x v="1"/>
    <n v="2"/>
    <n v="4"/>
    <n v="2"/>
  </r>
  <r>
    <x v="2"/>
    <n v="1"/>
    <n v="4"/>
    <n v="1"/>
    <n v="2"/>
    <n v="1"/>
    <n v="2"/>
    <n v="1"/>
    <n v="1"/>
    <n v="2"/>
    <n v="8"/>
    <n v="3"/>
    <n v="2"/>
    <m/>
    <m/>
    <n v="1"/>
    <n v="2"/>
    <n v="2"/>
    <n v="2"/>
    <n v="2"/>
    <n v="2"/>
    <n v="1"/>
    <n v="1"/>
    <n v="1"/>
    <n v="8"/>
    <m/>
    <n v="2"/>
    <m/>
    <m/>
    <m/>
    <n v="3"/>
    <n v="3"/>
    <n v="1"/>
    <x v="1"/>
    <n v="1989"/>
    <n v="2"/>
    <m/>
    <n v="7"/>
    <m/>
    <n v="4"/>
    <m/>
    <n v="2"/>
    <m/>
    <n v="2"/>
    <n v="1"/>
    <n v="24"/>
    <x v="1"/>
    <n v="2"/>
    <n v="2"/>
    <n v="2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4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7"/>
    <m/>
    <m/>
    <m/>
    <m/>
    <m/>
    <m/>
    <m/>
    <m/>
    <m/>
    <n v="1"/>
    <n v="26"/>
    <x v="1"/>
    <n v="2"/>
    <n v="4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3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1"/>
    <m/>
    <m/>
    <m/>
    <m/>
    <m/>
    <m/>
    <m/>
    <m/>
    <m/>
    <n v="1"/>
    <n v="32"/>
    <x v="1"/>
    <n v="2"/>
    <n v="4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70"/>
    <m/>
    <m/>
    <m/>
    <m/>
    <m/>
    <m/>
    <m/>
    <m/>
    <m/>
    <n v="1"/>
    <n v="43"/>
    <x v="2"/>
    <n v="2"/>
    <n v="4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2"/>
    <n v="4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</pivotCacheRecords>
</file>

<file path=xl/pivotCache/pivotCacheRecords48.xml><?xml version="1.0" encoding="utf-8"?>
<pivotCacheRecords xmlns="http://schemas.openxmlformats.org/spreadsheetml/2006/main" xmlns:r="http://schemas.openxmlformats.org/officeDocument/2006/relationships" count="632">
  <r>
    <x v="0"/>
    <s v="Veuillez nous dire votre degré de satisfaction à l'égard : du déneigement et du déglaçage des rues et des trottoirs de votre quartier ? "/>
    <s v="Veuillez nous dire votre degré de satisfaction à l'égard :  de la propreté et de l'entretien des parcs et terrains de jeux de votre quartier ?"/>
    <s v="Veuillez nous dire votre degré de satisfaction à l'égard :  de la sécurité des équipements dans les parcs, aires de jeux ou centre récréatif ou sportif de votre quartier ? "/>
    <s v="Votre quartier est-il desservi par un service de police municipal, une régie intermunicipale ou par la Sûreté du Québec ?"/>
    <s v="Quel est votre niveau de satisfaction à l'égard de la présence des policiers dans votre quartier ?"/>
    <s v="Quel est votre niveau de satisfaction à l'égard du travail effectué par les policiers dans votre quartier ?"/>
    <s v="De façon plus spécifique, quel est votre niveau de satisfaction à l'égard du travail effectué par les policiers : auprès des jeunes de votre quartier"/>
    <s v="De façon plus spécifique, quel est votre niveau de satisfaction à l'égard du travail effectué par les policiers : pour assurer la sécurité routière dans votre quartier"/>
    <s v="De façon plus spécifique, quel est votre niveau de satisfaction à l'égard du travail effectué par les policiers : pour régler des problèmes de délinquance ou de désordres qui surviennent dans votre quartier"/>
    <s v="Au cours des deux dernières années, combien de fois avez-vous fait appel au service de police qui dessert votre quartier ?"/>
    <s v="En vous référant à l'événement le plus récent, quel est votre niveau de satisfaction à l'égard de la réponse que vous avez reçue ?"/>
    <s v="Pourquoi ? Peu"/>
    <s v="Pourquoi ? Pas"/>
    <s v="Au cours des deux dernières années, vous êtes vous IMPLIQUÉ SUR UNE BASE RÉGULIÈRE dans les activités suivantes de votre quartier : Dans un comité ou un organisme préoccupé par les problèmes de sécurité de votre quartier ?"/>
    <s v="Au cours des deux dernières années, vous êtes vous IMPLIQUÉ SUR UNE BASE RÉGULIÈRE dans les activités suivantes de votre quartier : Dans des assemblées du conseil municipal ?"/>
    <s v="Au cours des deux dernières années, vous êtes vous IMPLIQUÉ SUR UNE BASE RÉGULIÈRE dans les activités suivantes de votre quartier : Dans un conseil de quartier ou d'arrondissement ?"/>
    <s v="Au cours des deux dernières années, vous êtes vous IMPLIQUÉ SUR UNE BASE RÉGULIÈRE dans les activités suivantes de votre quartier : Dans un comité de citoyens ?"/>
    <s v="Au cours des deux dernières années, vous êtes vous IMPLIQUÉ SUR UNE BASE RÉGULIÈRE dans les activités suivantes de votre quartier : Dans des activités communautaires, d'entraide ou de bénévolat (cuisine communautaire, bazar)"/>
    <s v="Au cours des deux dernières années, vous êtes vous IMPLIQUÉ SUR UNE BASE RÉGULIÈRE dans les activités suivantes de votre quartier : Dans des activités sociales, culturelles ou sportives organisées par les gens de votre quartier ou de votre municipalité ?"/>
    <s v="Au cours des deux dernières années, avez-vous été victime de vol, de vandalisme ou de tout autre crime contre vos biens, chez vous ou dans votre quartier ?"/>
    <s v="Au cours des deux dernières années, avez-vous été victime d'une agression, d'intimidation ou de tout autre acte de violence, chez vous ou dans votre quartier ?"/>
    <s v="Au cours des deux dernières années avez-vous été victime dans votre quartier d'une quelconque forme de discrimination ?"/>
    <s v="À votre avis, le motif de cette discrimination était lié …"/>
    <s v="Autre, précisez :"/>
    <s v="Au cours des deux dernières années, avez-vous subi un accident qui vous a occasionné une blessure pour laquelle vous avez dû consulter un professionnel de la santé ou limiter vos activités ?"/>
    <s v="Combien de fois cela s'est-il produit ?"/>
    <s v="En se référant au dernier événement, était-ce … ?"/>
    <s v="Autre, précisez :"/>
    <s v="Maintenant, comparativement à d'autres personnes de votre âge, dirirez-vous que votre santé est en général …"/>
    <s v="Dans quel quartier habitez-vous ?"/>
    <s v="Combien de personne de moins de 18 ans habitent dans votre foyer ?"/>
    <x v="0"/>
    <s v="Quelle est votre année de naissance ?"/>
    <s v="Êtes-vous propriétaire ou locataire du logement que vous habitez ?"/>
    <s v="Autre, précisez : "/>
    <s v="Habitez-vous dans …"/>
    <s v="Autre, précisez : "/>
    <s v="Quel est votre état civil ?"/>
    <s v="Autre, précisez : "/>
    <s v="Où est situé votre lieu de travail habituel ?"/>
    <s v="Autre, précisez : "/>
    <s v="Quel est le plus haut niveau de scolarité que vous avez complété ?"/>
    <m/>
    <m/>
    <x v="0"/>
    <m/>
    <m/>
    <m/>
  </r>
  <r>
    <x v="1"/>
    <n v="1"/>
    <n v="7"/>
    <n v="4"/>
    <n v="8"/>
    <n v="1"/>
    <n v="4"/>
    <n v="8"/>
    <n v="2"/>
    <n v="2"/>
    <n v="1"/>
    <m/>
    <m/>
    <m/>
    <n v="1"/>
    <n v="2"/>
    <n v="1"/>
    <n v="2"/>
    <n v="2"/>
    <n v="1"/>
    <n v="1"/>
    <n v="2"/>
    <n v="1"/>
    <n v="2"/>
    <m/>
    <n v="1"/>
    <n v="4"/>
    <n v="5"/>
    <m/>
    <n v="2"/>
    <n v="4"/>
    <n v="5"/>
    <x v="1"/>
    <n v="1981"/>
    <n v="2"/>
    <m/>
    <n v="7"/>
    <m/>
    <n v="1"/>
    <m/>
    <n v="1"/>
    <m/>
    <n v="4"/>
    <n v="1"/>
    <n v="32"/>
    <x v="1"/>
    <n v="1"/>
    <n v="1"/>
    <n v="1"/>
  </r>
  <r>
    <x v="2"/>
    <n v="2"/>
    <n v="4"/>
    <n v="1"/>
    <n v="1"/>
    <n v="4"/>
    <n v="8"/>
    <n v="1"/>
    <n v="4"/>
    <n v="1"/>
    <n v="2"/>
    <n v="1"/>
    <m/>
    <m/>
    <n v="2"/>
    <n v="1"/>
    <n v="1"/>
    <n v="2"/>
    <n v="2"/>
    <n v="1"/>
    <n v="2"/>
    <n v="1"/>
    <n v="2"/>
    <n v="1"/>
    <m/>
    <n v="2"/>
    <m/>
    <m/>
    <m/>
    <n v="4"/>
    <n v="1"/>
    <n v="2"/>
    <x v="2"/>
    <n v="1970"/>
    <n v="1"/>
    <m/>
    <n v="5"/>
    <m/>
    <n v="2"/>
    <m/>
    <n v="2"/>
    <m/>
    <n v="1"/>
    <n v="1"/>
    <n v="43"/>
    <x v="2"/>
    <n v="2"/>
    <n v="3"/>
    <n v="2"/>
  </r>
  <r>
    <x v="3"/>
    <n v="3"/>
    <n v="1"/>
    <n v="2"/>
    <n v="3"/>
    <n v="2"/>
    <n v="1"/>
    <n v="2"/>
    <n v="3"/>
    <n v="4"/>
    <n v="3"/>
    <n v="3"/>
    <m/>
    <m/>
    <n v="2"/>
    <n v="1"/>
    <n v="2"/>
    <n v="2"/>
    <n v="2"/>
    <n v="2"/>
    <n v="2"/>
    <n v="1"/>
    <n v="3"/>
    <n v="3"/>
    <m/>
    <n v="1"/>
    <n v="2"/>
    <n v="8"/>
    <m/>
    <n v="5"/>
    <n v="4"/>
    <n v="4"/>
    <x v="2"/>
    <n v="1990"/>
    <n v="3"/>
    <m/>
    <n v="4"/>
    <m/>
    <n v="4"/>
    <m/>
    <n v="3"/>
    <m/>
    <n v="2"/>
    <n v="1"/>
    <n v="23"/>
    <x v="1"/>
    <n v="2"/>
    <n v="4"/>
    <n v="2"/>
  </r>
  <r>
    <x v="2"/>
    <n v="4"/>
    <n v="3"/>
    <n v="3"/>
    <n v="2"/>
    <n v="3"/>
    <n v="1"/>
    <n v="3"/>
    <n v="2"/>
    <n v="2"/>
    <n v="4"/>
    <n v="2"/>
    <m/>
    <m/>
    <n v="2"/>
    <n v="1"/>
    <n v="2"/>
    <n v="2"/>
    <n v="1"/>
    <n v="2"/>
    <n v="2"/>
    <n v="2"/>
    <n v="4"/>
    <m/>
    <m/>
    <n v="1"/>
    <n v="2"/>
    <n v="7"/>
    <m/>
    <n v="1"/>
    <n v="2"/>
    <n v="1"/>
    <x v="2"/>
    <n v="1983"/>
    <n v="1"/>
    <m/>
    <n v="1"/>
    <m/>
    <n v="1"/>
    <m/>
    <n v="4"/>
    <m/>
    <n v="3"/>
    <n v="1"/>
    <n v="30"/>
    <x v="1"/>
    <n v="2"/>
    <n v="3"/>
    <n v="2"/>
  </r>
  <r>
    <x v="1"/>
    <n v="7"/>
    <n v="3"/>
    <n v="3"/>
    <n v="1"/>
    <n v="2"/>
    <n v="3"/>
    <n v="2"/>
    <n v="1"/>
    <n v="3"/>
    <n v="2"/>
    <n v="4"/>
    <m/>
    <m/>
    <n v="1"/>
    <n v="2"/>
    <n v="2"/>
    <n v="1"/>
    <n v="1"/>
    <n v="2"/>
    <n v="2"/>
    <n v="1"/>
    <n v="1"/>
    <n v="6"/>
    <m/>
    <n v="2"/>
    <m/>
    <m/>
    <m/>
    <n v="3"/>
    <n v="3"/>
    <m/>
    <x v="2"/>
    <n v="1967"/>
    <n v="1"/>
    <m/>
    <n v="2"/>
    <m/>
    <n v="3"/>
    <m/>
    <n v="4"/>
    <m/>
    <n v="2"/>
    <n v="1"/>
    <n v="46"/>
    <x v="2"/>
    <n v="3"/>
    <n v="5"/>
    <n v="3"/>
  </r>
  <r>
    <x v="2"/>
    <n v="4"/>
    <n v="2"/>
    <n v="2"/>
    <n v="2"/>
    <n v="3"/>
    <n v="2"/>
    <n v="4"/>
    <n v="4"/>
    <n v="2"/>
    <n v="1"/>
    <m/>
    <m/>
    <m/>
    <n v="1"/>
    <n v="2"/>
    <n v="1"/>
    <n v="1"/>
    <n v="2"/>
    <n v="1"/>
    <n v="1"/>
    <n v="2"/>
    <n v="4"/>
    <m/>
    <m/>
    <n v="2"/>
    <m/>
    <m/>
    <m/>
    <n v="2"/>
    <n v="2"/>
    <n v="1"/>
    <x v="2"/>
    <n v="1962"/>
    <n v="2"/>
    <m/>
    <n v="3"/>
    <m/>
    <n v="3"/>
    <m/>
    <n v="1"/>
    <m/>
    <n v="1"/>
    <n v="1"/>
    <n v="51"/>
    <x v="2"/>
    <n v="2"/>
    <n v="2"/>
    <n v="2"/>
  </r>
  <r>
    <x v="1"/>
    <n v="2"/>
    <n v="1"/>
    <n v="1"/>
    <n v="1"/>
    <n v="3"/>
    <n v="3"/>
    <n v="1"/>
    <n v="8"/>
    <n v="1"/>
    <n v="3"/>
    <n v="2"/>
    <m/>
    <m/>
    <n v="1"/>
    <n v="2"/>
    <n v="1"/>
    <n v="1"/>
    <n v="1"/>
    <n v="1"/>
    <n v="1"/>
    <n v="1"/>
    <n v="1"/>
    <n v="7"/>
    <m/>
    <n v="1"/>
    <n v="2"/>
    <n v="6"/>
    <m/>
    <n v="1"/>
    <n v="3"/>
    <n v="3"/>
    <x v="2"/>
    <n v="1994"/>
    <n v="3"/>
    <m/>
    <n v="3"/>
    <m/>
    <n v="2"/>
    <m/>
    <n v="2"/>
    <m/>
    <n v="4"/>
    <n v="1"/>
    <n v="19"/>
    <x v="1"/>
    <n v="2"/>
    <n v="4"/>
    <n v="2"/>
  </r>
  <r>
    <x v="3"/>
    <n v="3"/>
    <n v="1"/>
    <n v="2"/>
    <n v="3"/>
    <n v="4"/>
    <n v="2"/>
    <n v="3"/>
    <n v="8"/>
    <n v="4"/>
    <n v="2"/>
    <n v="1"/>
    <m/>
    <m/>
    <n v="1"/>
    <n v="1"/>
    <n v="1"/>
    <n v="1"/>
    <n v="1"/>
    <n v="1"/>
    <n v="1"/>
    <n v="2"/>
    <n v="3"/>
    <n v="2"/>
    <m/>
    <n v="2"/>
    <m/>
    <m/>
    <m/>
    <n v="3"/>
    <n v="2"/>
    <n v="2"/>
    <x v="1"/>
    <n v="1983"/>
    <n v="2"/>
    <m/>
    <n v="2"/>
    <m/>
    <n v="1"/>
    <m/>
    <n v="3"/>
    <m/>
    <n v="1"/>
    <n v="1"/>
    <n v="30"/>
    <x v="1"/>
    <n v="2"/>
    <n v="4"/>
    <n v="2"/>
  </r>
  <r>
    <x v="1"/>
    <n v="1"/>
    <n v="4"/>
    <n v="3"/>
    <n v="2"/>
    <n v="1"/>
    <n v="3"/>
    <n v="2"/>
    <n v="8"/>
    <n v="2"/>
    <n v="1"/>
    <m/>
    <m/>
    <m/>
    <n v="2"/>
    <n v="1"/>
    <n v="2"/>
    <n v="2"/>
    <n v="1"/>
    <n v="2"/>
    <n v="1"/>
    <n v="1"/>
    <n v="2"/>
    <n v="2"/>
    <m/>
    <n v="1"/>
    <n v="1"/>
    <n v="1"/>
    <m/>
    <n v="8"/>
    <n v="3"/>
    <n v="5"/>
    <x v="1"/>
    <n v="1975"/>
    <n v="3"/>
    <m/>
    <n v="2"/>
    <m/>
    <n v="4"/>
    <m/>
    <n v="2"/>
    <m/>
    <n v="3"/>
    <n v="1"/>
    <n v="38"/>
    <x v="1"/>
    <n v="2"/>
    <n v="2"/>
    <n v="1"/>
  </r>
  <r>
    <x v="1"/>
    <n v="2"/>
    <n v="1"/>
    <n v="4"/>
    <n v="2"/>
    <n v="2"/>
    <n v="2"/>
    <n v="1"/>
    <n v="8"/>
    <n v="3"/>
    <n v="3"/>
    <n v="3"/>
    <m/>
    <m/>
    <n v="2"/>
    <n v="2"/>
    <n v="2"/>
    <n v="2"/>
    <n v="2"/>
    <n v="2"/>
    <n v="1"/>
    <n v="1"/>
    <n v="2"/>
    <n v="3"/>
    <m/>
    <n v="1"/>
    <n v="2"/>
    <n v="5"/>
    <m/>
    <n v="2"/>
    <n v="2"/>
    <n v="5"/>
    <x v="1"/>
    <n v="1979"/>
    <n v="3"/>
    <m/>
    <n v="1"/>
    <m/>
    <n v="1"/>
    <m/>
    <n v="1"/>
    <m/>
    <n v="2"/>
    <n v="1"/>
    <n v="34"/>
    <x v="1"/>
    <n v="1"/>
    <n v="1"/>
    <n v="1"/>
  </r>
  <r>
    <x v="1"/>
    <n v="3"/>
    <n v="2"/>
    <n v="1"/>
    <n v="2"/>
    <n v="4"/>
    <n v="4"/>
    <n v="4"/>
    <n v="3"/>
    <n v="8"/>
    <n v="1"/>
    <m/>
    <m/>
    <m/>
    <n v="2"/>
    <n v="2"/>
    <n v="2"/>
    <n v="2"/>
    <n v="2"/>
    <n v="2"/>
    <n v="2"/>
    <n v="2"/>
    <n v="3"/>
    <n v="5"/>
    <m/>
    <n v="2"/>
    <m/>
    <m/>
    <m/>
    <n v="1"/>
    <n v="1"/>
    <n v="5"/>
    <x v="1"/>
    <n v="1957"/>
    <n v="3"/>
    <m/>
    <n v="1"/>
    <m/>
    <n v="3"/>
    <m/>
    <n v="4"/>
    <m/>
    <n v="3"/>
    <n v="1"/>
    <n v="56"/>
    <x v="2"/>
    <n v="1"/>
    <n v="1"/>
    <n v="1"/>
  </r>
  <r>
    <x v="3"/>
    <n v="1"/>
    <n v="3"/>
    <n v="7"/>
    <n v="3"/>
    <n v="1"/>
    <n v="2"/>
    <n v="2"/>
    <n v="2"/>
    <n v="2"/>
    <n v="4"/>
    <n v="4"/>
    <m/>
    <m/>
    <n v="1"/>
    <n v="1"/>
    <n v="1"/>
    <n v="2"/>
    <n v="2"/>
    <n v="1"/>
    <n v="2"/>
    <n v="2"/>
    <n v="3"/>
    <n v="98"/>
    <m/>
    <n v="1"/>
    <n v="4"/>
    <n v="4"/>
    <m/>
    <n v="2"/>
    <n v="3"/>
    <m/>
    <x v="2"/>
    <n v="1946"/>
    <n v="2"/>
    <m/>
    <n v="5"/>
    <m/>
    <n v="2"/>
    <m/>
    <n v="2"/>
    <m/>
    <n v="2"/>
    <n v="1"/>
    <n v="67"/>
    <x v="3"/>
    <n v="2"/>
    <n v="4"/>
    <n v="3"/>
  </r>
  <r>
    <x v="1"/>
    <n v="2"/>
    <n v="1"/>
    <n v="4"/>
    <n v="3"/>
    <n v="3"/>
    <n v="3"/>
    <n v="3"/>
    <n v="1"/>
    <n v="1"/>
    <n v="1"/>
    <m/>
    <m/>
    <m/>
    <n v="1"/>
    <n v="2"/>
    <n v="1"/>
    <n v="1"/>
    <n v="1"/>
    <n v="1"/>
    <n v="1"/>
    <n v="1"/>
    <n v="2"/>
    <n v="1"/>
    <m/>
    <n v="1"/>
    <n v="2"/>
    <n v="98"/>
    <m/>
    <n v="3"/>
    <n v="2"/>
    <n v="1"/>
    <x v="1"/>
    <n v="1947"/>
    <n v="1"/>
    <m/>
    <n v="6"/>
    <m/>
    <n v="4"/>
    <m/>
    <n v="1"/>
    <m/>
    <n v="2"/>
    <n v="1"/>
    <n v="66"/>
    <x v="3"/>
    <n v="2"/>
    <n v="3"/>
    <n v="2"/>
  </r>
  <r>
    <x v="1"/>
    <n v="3"/>
    <n v="7"/>
    <n v="1"/>
    <n v="1"/>
    <n v="2"/>
    <n v="2"/>
    <n v="2"/>
    <n v="3"/>
    <n v="3"/>
    <n v="2"/>
    <n v="3"/>
    <m/>
    <m/>
    <n v="2"/>
    <n v="1"/>
    <n v="1"/>
    <n v="1"/>
    <n v="2"/>
    <n v="2"/>
    <n v="2"/>
    <n v="2"/>
    <n v="4"/>
    <m/>
    <m/>
    <n v="2"/>
    <m/>
    <m/>
    <m/>
    <n v="5"/>
    <n v="4"/>
    <n v="3"/>
    <x v="2"/>
    <n v="1984"/>
    <n v="3"/>
    <m/>
    <n v="4"/>
    <m/>
    <n v="6"/>
    <m/>
    <n v="3"/>
    <m/>
    <n v="1"/>
    <n v="1"/>
    <n v="29"/>
    <x v="1"/>
    <n v="2"/>
    <n v="4"/>
    <n v="2"/>
  </r>
  <r>
    <x v="2"/>
    <n v="4"/>
    <n v="1"/>
    <n v="2"/>
    <n v="1"/>
    <n v="2"/>
    <n v="1"/>
    <n v="1"/>
    <n v="2"/>
    <n v="8"/>
    <n v="3"/>
    <n v="2"/>
    <m/>
    <m/>
    <n v="1"/>
    <n v="2"/>
    <n v="2"/>
    <n v="2"/>
    <n v="2"/>
    <n v="2"/>
    <n v="1"/>
    <n v="1"/>
    <n v="1"/>
    <n v="8"/>
    <m/>
    <n v="2"/>
    <m/>
    <m/>
    <m/>
    <n v="3"/>
    <n v="3"/>
    <n v="1"/>
    <x v="1"/>
    <n v="1989"/>
    <n v="2"/>
    <m/>
    <n v="7"/>
    <m/>
    <n v="4"/>
    <m/>
    <n v="2"/>
    <m/>
    <n v="2"/>
    <n v="1"/>
    <n v="24"/>
    <x v="1"/>
    <n v="2"/>
    <n v="2"/>
    <n v="2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4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7"/>
    <m/>
    <m/>
    <m/>
    <m/>
    <m/>
    <m/>
    <m/>
    <m/>
    <m/>
    <n v="1"/>
    <n v="26"/>
    <x v="1"/>
    <n v="2"/>
    <n v="4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3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1"/>
    <m/>
    <m/>
    <m/>
    <m/>
    <m/>
    <m/>
    <m/>
    <m/>
    <m/>
    <n v="1"/>
    <n v="32"/>
    <x v="1"/>
    <n v="2"/>
    <n v="4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70"/>
    <m/>
    <m/>
    <m/>
    <m/>
    <m/>
    <m/>
    <m/>
    <m/>
    <m/>
    <n v="1"/>
    <n v="43"/>
    <x v="2"/>
    <n v="2"/>
    <n v="4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2"/>
    <n v="4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</pivotCacheRecords>
</file>

<file path=xl/pivotCache/pivotCacheRecords49.xml><?xml version="1.0" encoding="utf-8"?>
<pivotCacheRecords xmlns="http://schemas.openxmlformats.org/spreadsheetml/2006/main" xmlns:r="http://schemas.openxmlformats.org/officeDocument/2006/relationships" count="632">
  <r>
    <x v="0"/>
    <s v="Veuillez nous dire votre degré de satisfaction à l'égard :  de la propreté et de l'entretien des parcs et terrains de jeux de votre quartier ?"/>
    <s v="Veuillez nous dire votre degré de satisfaction à l'égard :  de la sécurité des équipements dans les parcs, aires de jeux ou centre récréatif ou sportif de votre quartier ? "/>
    <s v="Votre quartier est-il desservi par un service de police municipal, une régie intermunicipale ou par la Sûreté du Québec ?"/>
    <s v="Quel est votre niveau de satisfaction à l'égard de la présence des policiers dans votre quartier ?"/>
    <s v="Quel est votre niveau de satisfaction à l'égard du travail effectué par les policiers dans votre quartier ?"/>
    <s v="De façon plus spécifique, quel est votre niveau de satisfaction à l'égard du travail effectué par les policiers : auprès des jeunes de votre quartier"/>
    <s v="De façon plus spécifique, quel est votre niveau de satisfaction à l'égard du travail effectué par les policiers : pour assurer la sécurité routière dans votre quartier"/>
    <s v="De façon plus spécifique, quel est votre niveau de satisfaction à l'égard du travail effectué par les policiers : pour régler des problèmes de délinquance ou de désordres qui surviennent dans votre quartier"/>
    <s v="Au cours des deux dernières années, combien de fois avez-vous fait appel au service de police qui dessert votre quartier ?"/>
    <s v="En vous référant à l'événement le plus récent, quel est votre niveau de satisfaction à l'égard de la réponse que vous avez reçue ?"/>
    <s v="Pourquoi ? Peu"/>
    <s v="Pourquoi ? Pas"/>
    <s v="Au cours des deux dernières années, vous êtes vous IMPLIQUÉ SUR UNE BASE RÉGULIÈRE dans les activités suivantes de votre quartier : Dans un comité ou un organisme préoccupé par les problèmes de sécurité de votre quartier ?"/>
    <s v="Au cours des deux dernières années, vous êtes vous IMPLIQUÉ SUR UNE BASE RÉGULIÈRE dans les activités suivantes de votre quartier : Dans des assemblées du conseil municipal ?"/>
    <s v="Au cours des deux dernières années, vous êtes vous IMPLIQUÉ SUR UNE BASE RÉGULIÈRE dans les activités suivantes de votre quartier : Dans un conseil de quartier ou d'arrondissement ?"/>
    <s v="Au cours des deux dernières années, vous êtes vous IMPLIQUÉ SUR UNE BASE RÉGULIÈRE dans les activités suivantes de votre quartier : Dans un comité de citoyens ?"/>
    <s v="Au cours des deux dernières années, vous êtes vous IMPLIQUÉ SUR UNE BASE RÉGULIÈRE dans les activités suivantes de votre quartier : Dans des activités communautaires, d'entraide ou de bénévolat (cuisine communautaire, bazar)"/>
    <s v="Au cours des deux dernières années, vous êtes vous IMPLIQUÉ SUR UNE BASE RÉGULIÈRE dans les activités suivantes de votre quartier : Dans des activités sociales, culturelles ou sportives organisées par les gens de votre quartier ou de votre municipalité ?"/>
    <s v="Au cours des deux dernières années, avez-vous été victime de vol, de vandalisme ou de tout autre crime contre vos biens, chez vous ou dans votre quartier ?"/>
    <s v="Au cours des deux dernières années, avez-vous été victime d'une agression, d'intimidation ou de tout autre acte de violence, chez vous ou dans votre quartier ?"/>
    <s v="Au cours des deux dernières années avez-vous été victime dans votre quartier d'une quelconque forme de discrimination ?"/>
    <s v="À votre avis, le motif de cette discrimination était lié …"/>
    <s v="Autre, précisez :"/>
    <s v="Au cours des deux dernières années, avez-vous subi un accident qui vous a occasionné une blessure pour laquelle vous avez dû consulter un professionnel de la santé ou limiter vos activités ?"/>
    <s v="Combien de fois cela s'est-il produit ?"/>
    <s v="En se référant au dernier événement, était-ce … ?"/>
    <s v="Autre, précisez :"/>
    <s v="Maintenant, comparativement à d'autres personnes de votre âge, dirirez-vous que votre santé est en général …"/>
    <s v="Dans quel quartier habitez-vous ?"/>
    <s v="Combien de personne de moins de 18 ans habitent dans votre foyer ?"/>
    <x v="0"/>
    <s v="Quelle est votre année de naissance ?"/>
    <s v="Êtes-vous propriétaire ou locataire du logement que vous habitez ?"/>
    <s v="Autre, précisez : "/>
    <s v="Habitez-vous dans …"/>
    <s v="Autre, précisez : "/>
    <s v="Quel est votre état civil ?"/>
    <s v="Autre, précisez : "/>
    <s v="Où est situé votre lieu de travail habituel ?"/>
    <s v="Autre, précisez : "/>
    <s v="Quel est le plus haut niveau de scolarité que vous avez complété ?"/>
    <m/>
    <m/>
    <x v="0"/>
    <m/>
    <m/>
    <m/>
  </r>
  <r>
    <x v="1"/>
    <n v="7"/>
    <n v="4"/>
    <n v="8"/>
    <n v="1"/>
    <n v="4"/>
    <n v="8"/>
    <n v="2"/>
    <n v="2"/>
    <n v="1"/>
    <m/>
    <m/>
    <m/>
    <n v="1"/>
    <n v="2"/>
    <n v="1"/>
    <n v="2"/>
    <n v="2"/>
    <n v="1"/>
    <n v="1"/>
    <n v="2"/>
    <n v="1"/>
    <n v="2"/>
    <m/>
    <n v="1"/>
    <n v="4"/>
    <n v="5"/>
    <m/>
    <n v="2"/>
    <n v="4"/>
    <n v="5"/>
    <x v="1"/>
    <n v="1981"/>
    <n v="2"/>
    <m/>
    <n v="7"/>
    <m/>
    <n v="1"/>
    <m/>
    <n v="1"/>
    <m/>
    <n v="4"/>
    <n v="1"/>
    <n v="32"/>
    <x v="1"/>
    <n v="1"/>
    <n v="1"/>
    <n v="1"/>
  </r>
  <r>
    <x v="2"/>
    <n v="4"/>
    <n v="1"/>
    <n v="1"/>
    <n v="4"/>
    <n v="8"/>
    <n v="1"/>
    <n v="4"/>
    <n v="1"/>
    <n v="2"/>
    <n v="1"/>
    <m/>
    <m/>
    <n v="2"/>
    <n v="1"/>
    <n v="1"/>
    <n v="2"/>
    <n v="2"/>
    <n v="1"/>
    <n v="2"/>
    <n v="1"/>
    <n v="2"/>
    <n v="1"/>
    <m/>
    <n v="2"/>
    <m/>
    <m/>
    <m/>
    <n v="4"/>
    <n v="1"/>
    <n v="2"/>
    <x v="2"/>
    <n v="1970"/>
    <n v="1"/>
    <m/>
    <n v="5"/>
    <m/>
    <n v="2"/>
    <m/>
    <n v="2"/>
    <m/>
    <n v="1"/>
    <n v="1"/>
    <n v="43"/>
    <x v="2"/>
    <n v="2"/>
    <n v="3"/>
    <n v="2"/>
  </r>
  <r>
    <x v="3"/>
    <n v="1"/>
    <n v="2"/>
    <n v="3"/>
    <n v="2"/>
    <n v="1"/>
    <n v="2"/>
    <n v="3"/>
    <n v="4"/>
    <n v="3"/>
    <n v="3"/>
    <m/>
    <m/>
    <n v="2"/>
    <n v="1"/>
    <n v="2"/>
    <n v="2"/>
    <n v="2"/>
    <n v="2"/>
    <n v="2"/>
    <n v="1"/>
    <n v="3"/>
    <n v="3"/>
    <m/>
    <n v="1"/>
    <n v="2"/>
    <n v="8"/>
    <m/>
    <n v="5"/>
    <n v="4"/>
    <n v="4"/>
    <x v="2"/>
    <n v="1990"/>
    <n v="3"/>
    <m/>
    <n v="4"/>
    <m/>
    <n v="4"/>
    <m/>
    <n v="3"/>
    <m/>
    <n v="2"/>
    <n v="1"/>
    <n v="23"/>
    <x v="1"/>
    <n v="2"/>
    <n v="4"/>
    <n v="2"/>
  </r>
  <r>
    <x v="4"/>
    <n v="3"/>
    <n v="3"/>
    <n v="2"/>
    <n v="3"/>
    <n v="1"/>
    <n v="3"/>
    <n v="2"/>
    <n v="2"/>
    <n v="4"/>
    <n v="2"/>
    <m/>
    <m/>
    <n v="2"/>
    <n v="1"/>
    <n v="2"/>
    <n v="2"/>
    <n v="1"/>
    <n v="2"/>
    <n v="2"/>
    <n v="2"/>
    <n v="4"/>
    <m/>
    <m/>
    <n v="1"/>
    <n v="2"/>
    <n v="7"/>
    <m/>
    <n v="1"/>
    <n v="2"/>
    <n v="1"/>
    <x v="2"/>
    <n v="1983"/>
    <n v="1"/>
    <m/>
    <n v="1"/>
    <m/>
    <n v="1"/>
    <m/>
    <n v="4"/>
    <m/>
    <n v="3"/>
    <n v="1"/>
    <n v="30"/>
    <x v="1"/>
    <n v="2"/>
    <n v="3"/>
    <n v="2"/>
  </r>
  <r>
    <x v="5"/>
    <n v="3"/>
    <n v="3"/>
    <n v="1"/>
    <n v="2"/>
    <n v="3"/>
    <n v="2"/>
    <n v="1"/>
    <n v="3"/>
    <n v="2"/>
    <n v="4"/>
    <m/>
    <m/>
    <n v="1"/>
    <n v="2"/>
    <n v="2"/>
    <n v="1"/>
    <n v="1"/>
    <n v="2"/>
    <n v="2"/>
    <n v="1"/>
    <n v="1"/>
    <n v="6"/>
    <m/>
    <n v="2"/>
    <m/>
    <m/>
    <m/>
    <n v="3"/>
    <n v="3"/>
    <m/>
    <x v="2"/>
    <n v="1967"/>
    <n v="1"/>
    <m/>
    <n v="2"/>
    <m/>
    <n v="3"/>
    <m/>
    <n v="4"/>
    <m/>
    <n v="2"/>
    <n v="1"/>
    <n v="46"/>
    <x v="2"/>
    <n v="3"/>
    <n v="5"/>
    <n v="3"/>
  </r>
  <r>
    <x v="4"/>
    <n v="2"/>
    <n v="2"/>
    <n v="2"/>
    <n v="3"/>
    <n v="2"/>
    <n v="4"/>
    <n v="4"/>
    <n v="2"/>
    <n v="1"/>
    <m/>
    <m/>
    <m/>
    <n v="1"/>
    <n v="2"/>
    <n v="1"/>
    <n v="1"/>
    <n v="2"/>
    <n v="1"/>
    <n v="1"/>
    <n v="2"/>
    <n v="4"/>
    <m/>
    <m/>
    <n v="2"/>
    <m/>
    <m/>
    <m/>
    <n v="2"/>
    <n v="2"/>
    <n v="1"/>
    <x v="2"/>
    <n v="1962"/>
    <n v="2"/>
    <m/>
    <n v="3"/>
    <m/>
    <n v="3"/>
    <m/>
    <n v="1"/>
    <m/>
    <n v="1"/>
    <n v="1"/>
    <n v="51"/>
    <x v="2"/>
    <n v="2"/>
    <n v="2"/>
    <n v="2"/>
  </r>
  <r>
    <x v="2"/>
    <n v="1"/>
    <n v="1"/>
    <n v="1"/>
    <n v="3"/>
    <n v="3"/>
    <n v="1"/>
    <n v="8"/>
    <n v="1"/>
    <n v="3"/>
    <n v="2"/>
    <m/>
    <m/>
    <n v="1"/>
    <n v="2"/>
    <n v="1"/>
    <n v="1"/>
    <n v="1"/>
    <n v="1"/>
    <n v="1"/>
    <n v="1"/>
    <n v="1"/>
    <n v="7"/>
    <m/>
    <n v="1"/>
    <n v="2"/>
    <n v="6"/>
    <m/>
    <n v="1"/>
    <n v="3"/>
    <n v="3"/>
    <x v="2"/>
    <n v="1994"/>
    <n v="3"/>
    <m/>
    <n v="3"/>
    <m/>
    <n v="2"/>
    <m/>
    <n v="2"/>
    <m/>
    <n v="4"/>
    <n v="1"/>
    <n v="19"/>
    <x v="1"/>
    <n v="2"/>
    <n v="4"/>
    <n v="2"/>
  </r>
  <r>
    <x v="3"/>
    <n v="1"/>
    <n v="2"/>
    <n v="3"/>
    <n v="4"/>
    <n v="2"/>
    <n v="3"/>
    <n v="8"/>
    <n v="4"/>
    <n v="2"/>
    <n v="1"/>
    <m/>
    <m/>
    <n v="1"/>
    <n v="1"/>
    <n v="1"/>
    <n v="1"/>
    <n v="1"/>
    <n v="1"/>
    <n v="1"/>
    <n v="2"/>
    <n v="3"/>
    <n v="2"/>
    <m/>
    <n v="2"/>
    <m/>
    <m/>
    <m/>
    <n v="3"/>
    <n v="2"/>
    <n v="2"/>
    <x v="1"/>
    <n v="1983"/>
    <n v="2"/>
    <m/>
    <n v="2"/>
    <m/>
    <n v="1"/>
    <m/>
    <n v="3"/>
    <m/>
    <n v="1"/>
    <n v="1"/>
    <n v="30"/>
    <x v="1"/>
    <n v="2"/>
    <n v="4"/>
    <n v="2"/>
  </r>
  <r>
    <x v="1"/>
    <n v="4"/>
    <n v="3"/>
    <n v="2"/>
    <n v="1"/>
    <n v="3"/>
    <n v="2"/>
    <n v="8"/>
    <n v="2"/>
    <n v="1"/>
    <m/>
    <m/>
    <m/>
    <n v="2"/>
    <n v="1"/>
    <n v="2"/>
    <n v="2"/>
    <n v="1"/>
    <n v="2"/>
    <n v="1"/>
    <n v="1"/>
    <n v="2"/>
    <n v="2"/>
    <m/>
    <n v="1"/>
    <n v="1"/>
    <n v="1"/>
    <m/>
    <n v="8"/>
    <n v="3"/>
    <n v="5"/>
    <x v="1"/>
    <n v="1975"/>
    <n v="3"/>
    <m/>
    <n v="2"/>
    <m/>
    <n v="4"/>
    <m/>
    <n v="2"/>
    <m/>
    <n v="3"/>
    <n v="1"/>
    <n v="38"/>
    <x v="1"/>
    <n v="2"/>
    <n v="2"/>
    <n v="1"/>
  </r>
  <r>
    <x v="2"/>
    <n v="1"/>
    <n v="4"/>
    <n v="2"/>
    <n v="2"/>
    <n v="2"/>
    <n v="1"/>
    <n v="8"/>
    <n v="3"/>
    <n v="3"/>
    <n v="3"/>
    <m/>
    <m/>
    <n v="2"/>
    <n v="2"/>
    <n v="2"/>
    <n v="2"/>
    <n v="2"/>
    <n v="2"/>
    <n v="1"/>
    <n v="1"/>
    <n v="2"/>
    <n v="3"/>
    <m/>
    <n v="1"/>
    <n v="2"/>
    <n v="5"/>
    <m/>
    <n v="2"/>
    <n v="2"/>
    <n v="5"/>
    <x v="1"/>
    <n v="1979"/>
    <n v="3"/>
    <m/>
    <n v="1"/>
    <m/>
    <n v="1"/>
    <m/>
    <n v="1"/>
    <m/>
    <n v="2"/>
    <n v="1"/>
    <n v="34"/>
    <x v="1"/>
    <n v="1"/>
    <n v="1"/>
    <n v="1"/>
  </r>
  <r>
    <x v="3"/>
    <n v="2"/>
    <n v="1"/>
    <n v="2"/>
    <n v="4"/>
    <n v="4"/>
    <n v="4"/>
    <n v="3"/>
    <n v="8"/>
    <n v="1"/>
    <m/>
    <m/>
    <m/>
    <n v="2"/>
    <n v="2"/>
    <n v="2"/>
    <n v="2"/>
    <n v="2"/>
    <n v="2"/>
    <n v="2"/>
    <n v="2"/>
    <n v="3"/>
    <n v="5"/>
    <m/>
    <n v="2"/>
    <m/>
    <m/>
    <m/>
    <n v="1"/>
    <n v="1"/>
    <n v="5"/>
    <x v="1"/>
    <n v="1957"/>
    <n v="3"/>
    <m/>
    <n v="1"/>
    <m/>
    <n v="3"/>
    <m/>
    <n v="4"/>
    <m/>
    <n v="3"/>
    <n v="1"/>
    <n v="56"/>
    <x v="2"/>
    <n v="1"/>
    <n v="1"/>
    <n v="1"/>
  </r>
  <r>
    <x v="1"/>
    <n v="3"/>
    <n v="7"/>
    <n v="3"/>
    <n v="1"/>
    <n v="2"/>
    <n v="2"/>
    <n v="2"/>
    <n v="2"/>
    <n v="4"/>
    <n v="4"/>
    <m/>
    <m/>
    <n v="1"/>
    <n v="1"/>
    <n v="1"/>
    <n v="2"/>
    <n v="2"/>
    <n v="1"/>
    <n v="2"/>
    <n v="2"/>
    <n v="3"/>
    <n v="98"/>
    <m/>
    <n v="1"/>
    <n v="4"/>
    <n v="4"/>
    <m/>
    <n v="2"/>
    <n v="3"/>
    <m/>
    <x v="2"/>
    <n v="1946"/>
    <n v="2"/>
    <m/>
    <n v="5"/>
    <m/>
    <n v="2"/>
    <m/>
    <n v="2"/>
    <m/>
    <n v="2"/>
    <n v="1"/>
    <n v="67"/>
    <x v="3"/>
    <n v="2"/>
    <n v="4"/>
    <n v="3"/>
  </r>
  <r>
    <x v="2"/>
    <n v="1"/>
    <n v="4"/>
    <n v="3"/>
    <n v="3"/>
    <n v="3"/>
    <n v="3"/>
    <n v="1"/>
    <n v="1"/>
    <n v="1"/>
    <m/>
    <m/>
    <m/>
    <n v="1"/>
    <n v="2"/>
    <n v="1"/>
    <n v="1"/>
    <n v="1"/>
    <n v="1"/>
    <n v="1"/>
    <n v="1"/>
    <n v="2"/>
    <n v="1"/>
    <m/>
    <n v="1"/>
    <n v="2"/>
    <n v="98"/>
    <m/>
    <n v="3"/>
    <n v="2"/>
    <n v="1"/>
    <x v="1"/>
    <n v="1947"/>
    <n v="1"/>
    <m/>
    <n v="6"/>
    <m/>
    <n v="4"/>
    <m/>
    <n v="1"/>
    <m/>
    <n v="2"/>
    <n v="1"/>
    <n v="66"/>
    <x v="3"/>
    <n v="2"/>
    <n v="3"/>
    <n v="2"/>
  </r>
  <r>
    <x v="3"/>
    <n v="7"/>
    <n v="1"/>
    <n v="1"/>
    <n v="2"/>
    <n v="2"/>
    <n v="2"/>
    <n v="3"/>
    <n v="3"/>
    <n v="2"/>
    <n v="3"/>
    <m/>
    <m/>
    <n v="2"/>
    <n v="1"/>
    <n v="1"/>
    <n v="1"/>
    <n v="2"/>
    <n v="2"/>
    <n v="2"/>
    <n v="2"/>
    <n v="4"/>
    <m/>
    <m/>
    <n v="2"/>
    <m/>
    <m/>
    <m/>
    <n v="5"/>
    <n v="4"/>
    <n v="3"/>
    <x v="2"/>
    <n v="1984"/>
    <n v="3"/>
    <m/>
    <n v="4"/>
    <m/>
    <n v="6"/>
    <m/>
    <n v="3"/>
    <m/>
    <n v="1"/>
    <n v="1"/>
    <n v="29"/>
    <x v="1"/>
    <n v="2"/>
    <n v="4"/>
    <n v="2"/>
  </r>
  <r>
    <x v="4"/>
    <n v="1"/>
    <n v="2"/>
    <n v="1"/>
    <n v="2"/>
    <n v="1"/>
    <n v="1"/>
    <n v="2"/>
    <n v="8"/>
    <n v="3"/>
    <n v="2"/>
    <m/>
    <m/>
    <n v="1"/>
    <n v="2"/>
    <n v="2"/>
    <n v="2"/>
    <n v="2"/>
    <n v="2"/>
    <n v="1"/>
    <n v="1"/>
    <n v="1"/>
    <n v="8"/>
    <m/>
    <n v="2"/>
    <m/>
    <m/>
    <m/>
    <n v="3"/>
    <n v="3"/>
    <n v="1"/>
    <x v="1"/>
    <n v="1989"/>
    <n v="2"/>
    <m/>
    <n v="7"/>
    <m/>
    <n v="4"/>
    <m/>
    <n v="2"/>
    <m/>
    <n v="2"/>
    <n v="1"/>
    <n v="24"/>
    <x v="1"/>
    <n v="2"/>
    <n v="2"/>
    <n v="2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7"/>
    <m/>
    <m/>
    <m/>
    <m/>
    <m/>
    <m/>
    <m/>
    <m/>
    <m/>
    <n v="1"/>
    <n v="26"/>
    <x v="1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3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1"/>
    <m/>
    <m/>
    <m/>
    <m/>
    <m/>
    <m/>
    <m/>
    <m/>
    <m/>
    <n v="1"/>
    <n v="32"/>
    <x v="1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70"/>
    <m/>
    <m/>
    <m/>
    <m/>
    <m/>
    <m/>
    <m/>
    <m/>
    <m/>
    <n v="1"/>
    <n v="43"/>
    <x v="2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608">
  <r>
    <x v="0"/>
    <s v="Au cours des deux dernières années, avez-vous été victime d'une agression, d'intimidation ou de tout autre acte de violence, chez vous ou dans votre quartier ?"/>
    <s v="Au cours des deux dernières années avez-vous été victime dans votre quartier d'une quelconque forme de discrimination ?"/>
    <s v="À votre avis, le motif de cette discrimination était lié …"/>
    <s v="Autre, précisez :"/>
    <s v="Au cours des deux dernières années, avez-vous subi un accident qui vous a occasionné une blessure pour laquelle vous avez dû consulter un professionnel de la santé ou limiter vos activités ?"/>
    <s v="Combien de fois cela s'est-il produit ?"/>
    <s v="En se référant au dernier événement, était-ce … ?"/>
    <s v="Autre, précisez :"/>
    <s v="Maintenant, comparativement à d'autres personnes de votre âge, dirirez-vous que votre santé est en général …"/>
    <s v="Dans quel quartier habitez-vous ?"/>
    <s v="Combien de personne de moins de 18 ans habitent dans votre foyer ?"/>
    <x v="0"/>
    <s v="Quelle est votre année de naissance ?"/>
    <s v="Êtes-vous propriétaire ou locataire du logement que vous habitez ?"/>
    <s v="Autre, précisez : "/>
    <s v="Habitez-vous dans …"/>
    <s v="Autre, précisez : "/>
    <s v="Quel est votre état civil ?"/>
    <s v="Autre, précisez : "/>
    <s v="Où est situé votre lieu de travail habituel ?"/>
    <s v="Autre, précisez : "/>
    <s v="Quel est le plus haut niveau de scolarité que vous avez complété ?"/>
    <m/>
    <m/>
    <x v="0"/>
    <m/>
    <m/>
    <m/>
  </r>
  <r>
    <x v="1"/>
    <n v="2"/>
    <n v="1"/>
    <n v="2"/>
    <m/>
    <n v="1"/>
    <n v="4"/>
    <n v="5"/>
    <m/>
    <n v="2"/>
    <n v="4"/>
    <n v="5"/>
    <x v="1"/>
    <n v="1981"/>
    <n v="2"/>
    <m/>
    <n v="7"/>
    <m/>
    <n v="1"/>
    <m/>
    <n v="1"/>
    <m/>
    <n v="4"/>
    <n v="1"/>
    <n v="32"/>
    <x v="1"/>
    <n v="1"/>
    <n v="1"/>
    <n v="1"/>
  </r>
  <r>
    <x v="2"/>
    <n v="1"/>
    <n v="2"/>
    <n v="1"/>
    <m/>
    <n v="2"/>
    <m/>
    <m/>
    <m/>
    <n v="4"/>
    <n v="1"/>
    <n v="2"/>
    <x v="2"/>
    <n v="1970"/>
    <n v="1"/>
    <m/>
    <n v="5"/>
    <m/>
    <n v="2"/>
    <m/>
    <n v="2"/>
    <m/>
    <n v="1"/>
    <n v="1"/>
    <n v="43"/>
    <x v="2"/>
    <n v="2"/>
    <n v="3"/>
    <n v="2"/>
  </r>
  <r>
    <x v="2"/>
    <n v="1"/>
    <n v="3"/>
    <n v="3"/>
    <m/>
    <n v="1"/>
    <n v="2"/>
    <n v="8"/>
    <m/>
    <n v="5"/>
    <n v="4"/>
    <n v="4"/>
    <x v="2"/>
    <n v="1990"/>
    <n v="3"/>
    <m/>
    <n v="4"/>
    <m/>
    <n v="4"/>
    <m/>
    <n v="3"/>
    <m/>
    <n v="2"/>
    <n v="1"/>
    <n v="23"/>
    <x v="1"/>
    <n v="2"/>
    <n v="4"/>
    <n v="2"/>
  </r>
  <r>
    <x v="2"/>
    <n v="2"/>
    <n v="4"/>
    <m/>
    <m/>
    <n v="1"/>
    <n v="2"/>
    <n v="7"/>
    <m/>
    <n v="1"/>
    <n v="2"/>
    <n v="1"/>
    <x v="2"/>
    <n v="1983"/>
    <n v="1"/>
    <m/>
    <n v="1"/>
    <m/>
    <n v="1"/>
    <m/>
    <n v="4"/>
    <m/>
    <n v="3"/>
    <n v="1"/>
    <n v="30"/>
    <x v="1"/>
    <n v="2"/>
    <n v="3"/>
    <n v="2"/>
  </r>
  <r>
    <x v="2"/>
    <n v="1"/>
    <n v="1"/>
    <n v="6"/>
    <m/>
    <n v="2"/>
    <m/>
    <m/>
    <m/>
    <n v="3"/>
    <n v="3"/>
    <m/>
    <x v="2"/>
    <n v="1967"/>
    <n v="1"/>
    <m/>
    <n v="2"/>
    <m/>
    <n v="3"/>
    <m/>
    <n v="4"/>
    <m/>
    <n v="2"/>
    <n v="1"/>
    <n v="46"/>
    <x v="2"/>
    <n v="3"/>
    <n v="5"/>
    <n v="3"/>
  </r>
  <r>
    <x v="1"/>
    <n v="2"/>
    <n v="4"/>
    <m/>
    <m/>
    <n v="2"/>
    <m/>
    <m/>
    <m/>
    <n v="2"/>
    <n v="2"/>
    <n v="1"/>
    <x v="2"/>
    <n v="1962"/>
    <n v="2"/>
    <m/>
    <n v="3"/>
    <m/>
    <n v="3"/>
    <m/>
    <n v="1"/>
    <m/>
    <n v="1"/>
    <n v="1"/>
    <n v="51"/>
    <x v="2"/>
    <n v="2"/>
    <n v="2"/>
    <n v="2"/>
  </r>
  <r>
    <x v="1"/>
    <n v="1"/>
    <n v="1"/>
    <n v="7"/>
    <m/>
    <n v="1"/>
    <n v="2"/>
    <n v="6"/>
    <m/>
    <n v="1"/>
    <n v="3"/>
    <n v="3"/>
    <x v="2"/>
    <n v="1994"/>
    <n v="3"/>
    <m/>
    <n v="3"/>
    <m/>
    <n v="2"/>
    <m/>
    <n v="2"/>
    <m/>
    <n v="4"/>
    <n v="1"/>
    <n v="19"/>
    <x v="1"/>
    <n v="2"/>
    <n v="4"/>
    <n v="2"/>
  </r>
  <r>
    <x v="1"/>
    <n v="2"/>
    <n v="3"/>
    <n v="2"/>
    <m/>
    <n v="2"/>
    <m/>
    <m/>
    <m/>
    <n v="3"/>
    <n v="2"/>
    <n v="2"/>
    <x v="1"/>
    <n v="1983"/>
    <n v="2"/>
    <m/>
    <n v="2"/>
    <m/>
    <n v="1"/>
    <m/>
    <n v="3"/>
    <m/>
    <n v="1"/>
    <n v="1"/>
    <n v="30"/>
    <x v="1"/>
    <n v="2"/>
    <n v="4"/>
    <n v="2"/>
  </r>
  <r>
    <x v="1"/>
    <n v="1"/>
    <n v="2"/>
    <n v="2"/>
    <m/>
    <n v="1"/>
    <n v="1"/>
    <n v="1"/>
    <m/>
    <n v="8"/>
    <n v="3"/>
    <n v="5"/>
    <x v="1"/>
    <n v="1975"/>
    <n v="3"/>
    <m/>
    <n v="2"/>
    <m/>
    <n v="4"/>
    <m/>
    <n v="2"/>
    <m/>
    <n v="3"/>
    <n v="1"/>
    <n v="38"/>
    <x v="1"/>
    <n v="2"/>
    <n v="2"/>
    <n v="1"/>
  </r>
  <r>
    <x v="1"/>
    <n v="1"/>
    <n v="2"/>
    <n v="3"/>
    <m/>
    <n v="1"/>
    <n v="2"/>
    <n v="5"/>
    <m/>
    <n v="2"/>
    <n v="2"/>
    <n v="5"/>
    <x v="1"/>
    <n v="1979"/>
    <n v="3"/>
    <m/>
    <n v="1"/>
    <m/>
    <n v="1"/>
    <m/>
    <n v="1"/>
    <m/>
    <n v="2"/>
    <n v="1"/>
    <n v="34"/>
    <x v="1"/>
    <n v="1"/>
    <n v="1"/>
    <n v="1"/>
  </r>
  <r>
    <x v="2"/>
    <n v="2"/>
    <n v="3"/>
    <n v="5"/>
    <m/>
    <n v="2"/>
    <m/>
    <m/>
    <m/>
    <n v="1"/>
    <n v="1"/>
    <n v="5"/>
    <x v="1"/>
    <n v="1957"/>
    <n v="3"/>
    <m/>
    <n v="1"/>
    <m/>
    <n v="3"/>
    <m/>
    <n v="4"/>
    <m/>
    <n v="3"/>
    <n v="1"/>
    <n v="56"/>
    <x v="2"/>
    <n v="1"/>
    <n v="1"/>
    <n v="1"/>
  </r>
  <r>
    <x v="2"/>
    <n v="2"/>
    <n v="3"/>
    <n v="98"/>
    <m/>
    <n v="1"/>
    <n v="4"/>
    <n v="4"/>
    <m/>
    <n v="2"/>
    <n v="3"/>
    <m/>
    <x v="2"/>
    <n v="1946"/>
    <n v="2"/>
    <m/>
    <n v="5"/>
    <m/>
    <n v="2"/>
    <m/>
    <n v="2"/>
    <m/>
    <n v="2"/>
    <n v="1"/>
    <n v="67"/>
    <x v="3"/>
    <n v="2"/>
    <n v="4"/>
    <n v="3"/>
  </r>
  <r>
    <x v="1"/>
    <n v="1"/>
    <n v="2"/>
    <n v="1"/>
    <m/>
    <n v="1"/>
    <n v="2"/>
    <n v="98"/>
    <m/>
    <n v="3"/>
    <n v="2"/>
    <n v="1"/>
    <x v="1"/>
    <n v="1947"/>
    <n v="1"/>
    <m/>
    <n v="6"/>
    <m/>
    <n v="4"/>
    <m/>
    <n v="1"/>
    <m/>
    <n v="2"/>
    <n v="1"/>
    <n v="66"/>
    <x v="3"/>
    <n v="2"/>
    <n v="3"/>
    <n v="2"/>
  </r>
  <r>
    <x v="2"/>
    <n v="2"/>
    <n v="4"/>
    <m/>
    <m/>
    <n v="2"/>
    <m/>
    <m/>
    <m/>
    <n v="5"/>
    <n v="4"/>
    <n v="3"/>
    <x v="2"/>
    <n v="1984"/>
    <n v="3"/>
    <m/>
    <n v="4"/>
    <m/>
    <n v="6"/>
    <m/>
    <n v="3"/>
    <m/>
    <n v="1"/>
    <n v="1"/>
    <n v="29"/>
    <x v="1"/>
    <n v="2"/>
    <n v="4"/>
    <n v="2"/>
  </r>
  <r>
    <x v="1"/>
    <n v="1"/>
    <n v="1"/>
    <n v="8"/>
    <m/>
    <n v="2"/>
    <m/>
    <m/>
    <m/>
    <n v="3"/>
    <n v="3"/>
    <n v="1"/>
    <x v="1"/>
    <n v="1989"/>
    <n v="2"/>
    <m/>
    <n v="7"/>
    <m/>
    <n v="4"/>
    <m/>
    <n v="2"/>
    <m/>
    <n v="2"/>
    <n v="1"/>
    <n v="24"/>
    <x v="1"/>
    <n v="2"/>
    <n v="2"/>
    <n v="2"/>
  </r>
  <r>
    <x v="3"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4"/>
    <n v="3"/>
  </r>
  <r>
    <x v="3"/>
    <m/>
    <m/>
    <m/>
    <m/>
    <m/>
    <m/>
    <m/>
    <m/>
    <m/>
    <m/>
    <m/>
    <x v="2"/>
    <n v="1987"/>
    <m/>
    <m/>
    <m/>
    <m/>
    <m/>
    <m/>
    <m/>
    <m/>
    <m/>
    <n v="1"/>
    <n v="26"/>
    <x v="1"/>
    <n v="2"/>
    <n v="4"/>
    <n v="3"/>
  </r>
  <r>
    <x v="3"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3"/>
    <n v="3"/>
  </r>
  <r>
    <x v="3"/>
    <m/>
    <m/>
    <m/>
    <m/>
    <m/>
    <m/>
    <m/>
    <m/>
    <m/>
    <m/>
    <m/>
    <x v="2"/>
    <n v="1981"/>
    <m/>
    <m/>
    <m/>
    <m/>
    <m/>
    <m/>
    <m/>
    <m/>
    <m/>
    <n v="1"/>
    <n v="32"/>
    <x v="1"/>
    <n v="2"/>
    <n v="4"/>
    <n v="3"/>
  </r>
  <r>
    <x v="3"/>
    <m/>
    <m/>
    <m/>
    <m/>
    <m/>
    <m/>
    <m/>
    <m/>
    <m/>
    <m/>
    <m/>
    <x v="2"/>
    <n v="1970"/>
    <m/>
    <m/>
    <m/>
    <m/>
    <m/>
    <m/>
    <m/>
    <m/>
    <m/>
    <n v="1"/>
    <n v="43"/>
    <x v="2"/>
    <n v="2"/>
    <n v="4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2"/>
    <n v="4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x v="3"/>
    <m/>
    <m/>
    <m/>
    <m/>
    <m/>
    <m/>
    <m/>
    <m/>
    <m/>
    <m/>
    <m/>
    <m/>
    <x v="0"/>
    <m/>
    <m/>
    <m/>
  </r>
</pivotCacheRecords>
</file>

<file path=xl/pivotCache/pivotCacheRecords50.xml><?xml version="1.0" encoding="utf-8"?>
<pivotCacheRecords xmlns="http://schemas.openxmlformats.org/spreadsheetml/2006/main" xmlns:r="http://schemas.openxmlformats.org/officeDocument/2006/relationships" count="632">
  <r>
    <x v="0"/>
    <s v="Veuillez nous dire votre degré de satisfaction à l'égard :  de la sécurité des équipements dans les parcs, aires de jeux ou centre récréatif ou sportif de votre quartier ? "/>
    <s v="Votre quartier est-il desservi par un service de police municipal, une régie intermunicipale ou par la Sûreté du Québec ?"/>
    <s v="Quel est votre niveau de satisfaction à l'égard de la présence des policiers dans votre quartier ?"/>
    <s v="Quel est votre niveau de satisfaction à l'égard du travail effectué par les policiers dans votre quartier ?"/>
    <s v="De façon plus spécifique, quel est votre niveau de satisfaction à l'égard du travail effectué par les policiers : auprès des jeunes de votre quartier"/>
    <s v="De façon plus spécifique, quel est votre niveau de satisfaction à l'égard du travail effectué par les policiers : pour assurer la sécurité routière dans votre quartier"/>
    <s v="De façon plus spécifique, quel est votre niveau de satisfaction à l'égard du travail effectué par les policiers : pour régler des problèmes de délinquance ou de désordres qui surviennent dans votre quartier"/>
    <s v="Au cours des deux dernières années, combien de fois avez-vous fait appel au service de police qui dessert votre quartier ?"/>
    <s v="En vous référant à l'événement le plus récent, quel est votre niveau de satisfaction à l'égard de la réponse que vous avez reçue ?"/>
    <s v="Pourquoi ? Peu"/>
    <s v="Pourquoi ? Pas"/>
    <s v="Au cours des deux dernières années, vous êtes vous IMPLIQUÉ SUR UNE BASE RÉGULIÈRE dans les activités suivantes de votre quartier : Dans un comité ou un organisme préoccupé par les problèmes de sécurité de votre quartier ?"/>
    <s v="Au cours des deux dernières années, vous êtes vous IMPLIQUÉ SUR UNE BASE RÉGULIÈRE dans les activités suivantes de votre quartier : Dans des assemblées du conseil municipal ?"/>
    <s v="Au cours des deux dernières années, vous êtes vous IMPLIQUÉ SUR UNE BASE RÉGULIÈRE dans les activités suivantes de votre quartier : Dans un conseil de quartier ou d'arrondissement ?"/>
    <s v="Au cours des deux dernières années, vous êtes vous IMPLIQUÉ SUR UNE BASE RÉGULIÈRE dans les activités suivantes de votre quartier : Dans un comité de citoyens ?"/>
    <s v="Au cours des deux dernières années, vous êtes vous IMPLIQUÉ SUR UNE BASE RÉGULIÈRE dans les activités suivantes de votre quartier : Dans des activités communautaires, d'entraide ou de bénévolat (cuisine communautaire, bazar)"/>
    <s v="Au cours des deux dernières années, vous êtes vous IMPLIQUÉ SUR UNE BASE RÉGULIÈRE dans les activités suivantes de votre quartier : Dans des activités sociales, culturelles ou sportives organisées par les gens de votre quartier ou de votre municipalité ?"/>
    <s v="Au cours des deux dernières années, avez-vous été victime de vol, de vandalisme ou de tout autre crime contre vos biens, chez vous ou dans votre quartier ?"/>
    <s v="Au cours des deux dernières années, avez-vous été victime d'une agression, d'intimidation ou de tout autre acte de violence, chez vous ou dans votre quartier ?"/>
    <s v="Au cours des deux dernières années avez-vous été victime dans votre quartier d'une quelconque forme de discrimination ?"/>
    <s v="À votre avis, le motif de cette discrimination était lié …"/>
    <s v="Autre, précisez :"/>
    <s v="Au cours des deux dernières années, avez-vous subi un accident qui vous a occasionné une blessure pour laquelle vous avez dû consulter un professionnel de la santé ou limiter vos activités ?"/>
    <s v="Combien de fois cela s'est-il produit ?"/>
    <s v="En se référant au dernier événement, était-ce … ?"/>
    <s v="Autre, précisez :"/>
    <s v="Maintenant, comparativement à d'autres personnes de votre âge, dirirez-vous que votre santé est en général …"/>
    <s v="Dans quel quartier habitez-vous ?"/>
    <s v="Combien de personne de moins de 18 ans habitent dans votre foyer ?"/>
    <x v="0"/>
    <s v="Quelle est votre année de naissance ?"/>
    <s v="Êtes-vous propriétaire ou locataire du logement que vous habitez ?"/>
    <s v="Autre, précisez : "/>
    <s v="Habitez-vous dans …"/>
    <s v="Autre, précisez : "/>
    <s v="Quel est votre état civil ?"/>
    <s v="Autre, précisez : "/>
    <s v="Où est situé votre lieu de travail habituel ?"/>
    <s v="Autre, précisez : "/>
    <s v="Quel est le plus haut niveau de scolarité que vous avez complété ?"/>
    <m/>
    <m/>
    <x v="0"/>
    <m/>
    <m/>
    <m/>
  </r>
  <r>
    <x v="1"/>
    <n v="4"/>
    <n v="8"/>
    <n v="1"/>
    <n v="4"/>
    <n v="8"/>
    <n v="2"/>
    <n v="2"/>
    <n v="1"/>
    <m/>
    <m/>
    <m/>
    <n v="1"/>
    <n v="2"/>
    <n v="1"/>
    <n v="2"/>
    <n v="2"/>
    <n v="1"/>
    <n v="1"/>
    <n v="2"/>
    <n v="1"/>
    <n v="2"/>
    <m/>
    <n v="1"/>
    <n v="4"/>
    <n v="5"/>
    <m/>
    <n v="2"/>
    <n v="4"/>
    <n v="5"/>
    <x v="1"/>
    <n v="1981"/>
    <n v="2"/>
    <m/>
    <n v="7"/>
    <m/>
    <n v="1"/>
    <m/>
    <n v="1"/>
    <m/>
    <n v="4"/>
    <n v="1"/>
    <n v="32"/>
    <x v="1"/>
    <n v="1"/>
    <n v="1"/>
    <n v="1"/>
  </r>
  <r>
    <x v="2"/>
    <n v="1"/>
    <n v="1"/>
    <n v="4"/>
    <n v="8"/>
    <n v="1"/>
    <n v="4"/>
    <n v="1"/>
    <n v="2"/>
    <n v="1"/>
    <m/>
    <m/>
    <n v="2"/>
    <n v="1"/>
    <n v="1"/>
    <n v="2"/>
    <n v="2"/>
    <n v="1"/>
    <n v="2"/>
    <n v="1"/>
    <n v="2"/>
    <n v="1"/>
    <m/>
    <n v="2"/>
    <m/>
    <m/>
    <m/>
    <n v="4"/>
    <n v="1"/>
    <n v="2"/>
    <x v="2"/>
    <n v="1970"/>
    <n v="1"/>
    <m/>
    <n v="5"/>
    <m/>
    <n v="2"/>
    <m/>
    <n v="2"/>
    <m/>
    <n v="1"/>
    <n v="1"/>
    <n v="43"/>
    <x v="2"/>
    <n v="2"/>
    <n v="3"/>
    <n v="2"/>
  </r>
  <r>
    <x v="3"/>
    <n v="2"/>
    <n v="3"/>
    <n v="2"/>
    <n v="1"/>
    <n v="2"/>
    <n v="3"/>
    <n v="4"/>
    <n v="3"/>
    <n v="3"/>
    <m/>
    <m/>
    <n v="2"/>
    <n v="1"/>
    <n v="2"/>
    <n v="2"/>
    <n v="2"/>
    <n v="2"/>
    <n v="2"/>
    <n v="1"/>
    <n v="3"/>
    <n v="3"/>
    <m/>
    <n v="1"/>
    <n v="2"/>
    <n v="8"/>
    <m/>
    <n v="5"/>
    <n v="4"/>
    <n v="4"/>
    <x v="2"/>
    <n v="1990"/>
    <n v="3"/>
    <m/>
    <n v="4"/>
    <m/>
    <n v="4"/>
    <m/>
    <n v="3"/>
    <m/>
    <n v="2"/>
    <n v="1"/>
    <n v="23"/>
    <x v="1"/>
    <n v="2"/>
    <n v="4"/>
    <n v="2"/>
  </r>
  <r>
    <x v="4"/>
    <n v="3"/>
    <n v="2"/>
    <n v="3"/>
    <n v="1"/>
    <n v="3"/>
    <n v="2"/>
    <n v="2"/>
    <n v="4"/>
    <n v="2"/>
    <m/>
    <m/>
    <n v="2"/>
    <n v="1"/>
    <n v="2"/>
    <n v="2"/>
    <n v="1"/>
    <n v="2"/>
    <n v="2"/>
    <n v="2"/>
    <n v="4"/>
    <m/>
    <m/>
    <n v="1"/>
    <n v="2"/>
    <n v="7"/>
    <m/>
    <n v="1"/>
    <n v="2"/>
    <n v="1"/>
    <x v="2"/>
    <n v="1983"/>
    <n v="1"/>
    <m/>
    <n v="1"/>
    <m/>
    <n v="1"/>
    <m/>
    <n v="4"/>
    <m/>
    <n v="3"/>
    <n v="1"/>
    <n v="30"/>
    <x v="1"/>
    <n v="2"/>
    <n v="3"/>
    <n v="2"/>
  </r>
  <r>
    <x v="4"/>
    <n v="3"/>
    <n v="1"/>
    <n v="2"/>
    <n v="3"/>
    <n v="2"/>
    <n v="1"/>
    <n v="3"/>
    <n v="2"/>
    <n v="4"/>
    <m/>
    <m/>
    <n v="1"/>
    <n v="2"/>
    <n v="2"/>
    <n v="1"/>
    <n v="1"/>
    <n v="2"/>
    <n v="2"/>
    <n v="1"/>
    <n v="1"/>
    <n v="6"/>
    <m/>
    <n v="2"/>
    <m/>
    <m/>
    <m/>
    <n v="3"/>
    <n v="3"/>
    <m/>
    <x v="2"/>
    <n v="1967"/>
    <n v="1"/>
    <m/>
    <n v="2"/>
    <m/>
    <n v="3"/>
    <m/>
    <n v="4"/>
    <m/>
    <n v="2"/>
    <n v="1"/>
    <n v="46"/>
    <x v="2"/>
    <n v="3"/>
    <n v="5"/>
    <n v="3"/>
  </r>
  <r>
    <x v="5"/>
    <n v="2"/>
    <n v="2"/>
    <n v="3"/>
    <n v="2"/>
    <n v="4"/>
    <n v="4"/>
    <n v="2"/>
    <n v="1"/>
    <m/>
    <m/>
    <m/>
    <n v="1"/>
    <n v="2"/>
    <n v="1"/>
    <n v="1"/>
    <n v="2"/>
    <n v="1"/>
    <n v="1"/>
    <n v="2"/>
    <n v="4"/>
    <m/>
    <m/>
    <n v="2"/>
    <m/>
    <m/>
    <m/>
    <n v="2"/>
    <n v="2"/>
    <n v="1"/>
    <x v="2"/>
    <n v="1962"/>
    <n v="2"/>
    <m/>
    <n v="3"/>
    <m/>
    <n v="3"/>
    <m/>
    <n v="1"/>
    <m/>
    <n v="1"/>
    <n v="1"/>
    <n v="51"/>
    <x v="2"/>
    <n v="2"/>
    <n v="2"/>
    <n v="2"/>
  </r>
  <r>
    <x v="3"/>
    <n v="1"/>
    <n v="1"/>
    <n v="3"/>
    <n v="3"/>
    <n v="1"/>
    <n v="8"/>
    <n v="1"/>
    <n v="3"/>
    <n v="2"/>
    <m/>
    <m/>
    <n v="1"/>
    <n v="2"/>
    <n v="1"/>
    <n v="1"/>
    <n v="1"/>
    <n v="1"/>
    <n v="1"/>
    <n v="1"/>
    <n v="1"/>
    <n v="7"/>
    <m/>
    <n v="1"/>
    <n v="2"/>
    <n v="6"/>
    <m/>
    <n v="1"/>
    <n v="3"/>
    <n v="3"/>
    <x v="2"/>
    <n v="1994"/>
    <n v="3"/>
    <m/>
    <n v="3"/>
    <m/>
    <n v="2"/>
    <m/>
    <n v="2"/>
    <m/>
    <n v="4"/>
    <n v="1"/>
    <n v="19"/>
    <x v="1"/>
    <n v="2"/>
    <n v="4"/>
    <n v="2"/>
  </r>
  <r>
    <x v="3"/>
    <n v="2"/>
    <n v="3"/>
    <n v="4"/>
    <n v="2"/>
    <n v="3"/>
    <n v="8"/>
    <n v="4"/>
    <n v="2"/>
    <n v="1"/>
    <m/>
    <m/>
    <n v="1"/>
    <n v="1"/>
    <n v="1"/>
    <n v="1"/>
    <n v="1"/>
    <n v="1"/>
    <n v="1"/>
    <n v="2"/>
    <n v="3"/>
    <n v="2"/>
    <m/>
    <n v="2"/>
    <m/>
    <m/>
    <m/>
    <n v="3"/>
    <n v="2"/>
    <n v="2"/>
    <x v="1"/>
    <n v="1983"/>
    <n v="2"/>
    <m/>
    <n v="2"/>
    <m/>
    <n v="1"/>
    <m/>
    <n v="3"/>
    <m/>
    <n v="1"/>
    <n v="1"/>
    <n v="30"/>
    <x v="1"/>
    <n v="2"/>
    <n v="4"/>
    <n v="2"/>
  </r>
  <r>
    <x v="2"/>
    <n v="3"/>
    <n v="2"/>
    <n v="1"/>
    <n v="3"/>
    <n v="2"/>
    <n v="8"/>
    <n v="2"/>
    <n v="1"/>
    <m/>
    <m/>
    <m/>
    <n v="2"/>
    <n v="1"/>
    <n v="2"/>
    <n v="2"/>
    <n v="1"/>
    <n v="2"/>
    <n v="1"/>
    <n v="1"/>
    <n v="2"/>
    <n v="2"/>
    <m/>
    <n v="1"/>
    <n v="1"/>
    <n v="1"/>
    <m/>
    <n v="8"/>
    <n v="3"/>
    <n v="5"/>
    <x v="1"/>
    <n v="1975"/>
    <n v="3"/>
    <m/>
    <n v="2"/>
    <m/>
    <n v="4"/>
    <m/>
    <n v="2"/>
    <m/>
    <n v="3"/>
    <n v="1"/>
    <n v="38"/>
    <x v="1"/>
    <n v="2"/>
    <n v="2"/>
    <n v="1"/>
  </r>
  <r>
    <x v="3"/>
    <n v="4"/>
    <n v="2"/>
    <n v="2"/>
    <n v="2"/>
    <n v="1"/>
    <n v="8"/>
    <n v="3"/>
    <n v="3"/>
    <n v="3"/>
    <m/>
    <m/>
    <n v="2"/>
    <n v="2"/>
    <n v="2"/>
    <n v="2"/>
    <n v="2"/>
    <n v="2"/>
    <n v="1"/>
    <n v="1"/>
    <n v="2"/>
    <n v="3"/>
    <m/>
    <n v="1"/>
    <n v="2"/>
    <n v="5"/>
    <m/>
    <n v="2"/>
    <n v="2"/>
    <n v="5"/>
    <x v="1"/>
    <n v="1979"/>
    <n v="3"/>
    <m/>
    <n v="1"/>
    <m/>
    <n v="1"/>
    <m/>
    <n v="1"/>
    <m/>
    <n v="2"/>
    <n v="1"/>
    <n v="34"/>
    <x v="1"/>
    <n v="1"/>
    <n v="1"/>
    <n v="1"/>
  </r>
  <r>
    <x v="5"/>
    <n v="1"/>
    <n v="2"/>
    <n v="4"/>
    <n v="4"/>
    <n v="4"/>
    <n v="3"/>
    <n v="8"/>
    <n v="1"/>
    <m/>
    <m/>
    <m/>
    <n v="2"/>
    <n v="2"/>
    <n v="2"/>
    <n v="2"/>
    <n v="2"/>
    <n v="2"/>
    <n v="2"/>
    <n v="2"/>
    <n v="3"/>
    <n v="5"/>
    <m/>
    <n v="2"/>
    <m/>
    <m/>
    <m/>
    <n v="1"/>
    <n v="1"/>
    <n v="5"/>
    <x v="1"/>
    <n v="1957"/>
    <n v="3"/>
    <m/>
    <n v="1"/>
    <m/>
    <n v="3"/>
    <m/>
    <n v="4"/>
    <m/>
    <n v="3"/>
    <n v="1"/>
    <n v="56"/>
    <x v="2"/>
    <n v="1"/>
    <n v="1"/>
    <n v="1"/>
  </r>
  <r>
    <x v="4"/>
    <n v="7"/>
    <n v="3"/>
    <n v="1"/>
    <n v="2"/>
    <n v="2"/>
    <n v="2"/>
    <n v="2"/>
    <n v="4"/>
    <n v="4"/>
    <m/>
    <m/>
    <n v="1"/>
    <n v="1"/>
    <n v="1"/>
    <n v="2"/>
    <n v="2"/>
    <n v="1"/>
    <n v="2"/>
    <n v="2"/>
    <n v="3"/>
    <n v="98"/>
    <m/>
    <n v="1"/>
    <n v="4"/>
    <n v="4"/>
    <m/>
    <n v="2"/>
    <n v="3"/>
    <m/>
    <x v="2"/>
    <n v="1946"/>
    <n v="2"/>
    <m/>
    <n v="5"/>
    <m/>
    <n v="2"/>
    <m/>
    <n v="2"/>
    <m/>
    <n v="2"/>
    <n v="1"/>
    <n v="67"/>
    <x v="3"/>
    <n v="2"/>
    <n v="4"/>
    <n v="3"/>
  </r>
  <r>
    <x v="3"/>
    <n v="4"/>
    <n v="3"/>
    <n v="3"/>
    <n v="3"/>
    <n v="3"/>
    <n v="1"/>
    <n v="1"/>
    <n v="1"/>
    <m/>
    <m/>
    <m/>
    <n v="1"/>
    <n v="2"/>
    <n v="1"/>
    <n v="1"/>
    <n v="1"/>
    <n v="1"/>
    <n v="1"/>
    <n v="1"/>
    <n v="2"/>
    <n v="1"/>
    <m/>
    <n v="1"/>
    <n v="2"/>
    <n v="98"/>
    <m/>
    <n v="3"/>
    <n v="2"/>
    <n v="1"/>
    <x v="1"/>
    <n v="1947"/>
    <n v="1"/>
    <m/>
    <n v="6"/>
    <m/>
    <n v="4"/>
    <m/>
    <n v="1"/>
    <m/>
    <n v="2"/>
    <n v="1"/>
    <n v="66"/>
    <x v="3"/>
    <n v="2"/>
    <n v="3"/>
    <n v="2"/>
  </r>
  <r>
    <x v="1"/>
    <n v="1"/>
    <n v="1"/>
    <n v="2"/>
    <n v="2"/>
    <n v="2"/>
    <n v="3"/>
    <n v="3"/>
    <n v="2"/>
    <n v="3"/>
    <m/>
    <m/>
    <n v="2"/>
    <n v="1"/>
    <n v="1"/>
    <n v="1"/>
    <n v="2"/>
    <n v="2"/>
    <n v="2"/>
    <n v="2"/>
    <n v="4"/>
    <m/>
    <m/>
    <n v="2"/>
    <m/>
    <m/>
    <m/>
    <n v="5"/>
    <n v="4"/>
    <n v="3"/>
    <x v="2"/>
    <n v="1984"/>
    <n v="3"/>
    <m/>
    <n v="4"/>
    <m/>
    <n v="6"/>
    <m/>
    <n v="3"/>
    <m/>
    <n v="1"/>
    <n v="1"/>
    <n v="29"/>
    <x v="1"/>
    <n v="2"/>
    <n v="4"/>
    <n v="2"/>
  </r>
  <r>
    <x v="3"/>
    <n v="2"/>
    <n v="1"/>
    <n v="2"/>
    <n v="1"/>
    <n v="1"/>
    <n v="2"/>
    <n v="8"/>
    <n v="3"/>
    <n v="2"/>
    <m/>
    <m/>
    <n v="1"/>
    <n v="2"/>
    <n v="2"/>
    <n v="2"/>
    <n v="2"/>
    <n v="2"/>
    <n v="1"/>
    <n v="1"/>
    <n v="1"/>
    <n v="8"/>
    <m/>
    <n v="2"/>
    <m/>
    <m/>
    <m/>
    <n v="3"/>
    <n v="3"/>
    <n v="1"/>
    <x v="1"/>
    <n v="1989"/>
    <n v="2"/>
    <m/>
    <n v="7"/>
    <m/>
    <n v="4"/>
    <m/>
    <n v="2"/>
    <m/>
    <n v="2"/>
    <n v="1"/>
    <n v="24"/>
    <x v="1"/>
    <n v="2"/>
    <n v="2"/>
    <n v="2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7"/>
    <m/>
    <m/>
    <m/>
    <m/>
    <m/>
    <m/>
    <m/>
    <m/>
    <m/>
    <n v="1"/>
    <n v="26"/>
    <x v="1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3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1"/>
    <m/>
    <m/>
    <m/>
    <m/>
    <m/>
    <m/>
    <m/>
    <m/>
    <m/>
    <n v="1"/>
    <n v="32"/>
    <x v="1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70"/>
    <m/>
    <m/>
    <m/>
    <m/>
    <m/>
    <m/>
    <m/>
    <m/>
    <m/>
    <n v="1"/>
    <n v="43"/>
    <x v="2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</pivotCacheRecords>
</file>

<file path=xl/pivotCache/pivotCacheRecords51.xml><?xml version="1.0" encoding="utf-8"?>
<pivotCacheRecords xmlns="http://schemas.openxmlformats.org/spreadsheetml/2006/main" xmlns:r="http://schemas.openxmlformats.org/officeDocument/2006/relationships" count="632">
  <r>
    <x v="0"/>
    <s v="Votre quartier est-il desservi par un service de police municipal, une régie intermunicipale ou par la Sûreté du Québec ?"/>
    <s v="Quel est votre niveau de satisfaction à l'égard de la présence des policiers dans votre quartier ?"/>
    <s v="Quel est votre niveau de satisfaction à l'égard du travail effectué par les policiers dans votre quartier ?"/>
    <s v="De façon plus spécifique, quel est votre niveau de satisfaction à l'égard du travail effectué par les policiers : auprès des jeunes de votre quartier"/>
    <s v="De façon plus spécifique, quel est votre niveau de satisfaction à l'égard du travail effectué par les policiers : pour assurer la sécurité routière dans votre quartier"/>
    <s v="De façon plus spécifique, quel est votre niveau de satisfaction à l'égard du travail effectué par les policiers : pour régler des problèmes de délinquance ou de désordres qui surviennent dans votre quartier"/>
    <s v="Au cours des deux dernières années, combien de fois avez-vous fait appel au service de police qui dessert votre quartier ?"/>
    <s v="En vous référant à l'événement le plus récent, quel est votre niveau de satisfaction à l'égard de la réponse que vous avez reçue ?"/>
    <s v="Pourquoi ? Peu"/>
    <s v="Pourquoi ? Pas"/>
    <s v="Au cours des deux dernières années, vous êtes vous IMPLIQUÉ SUR UNE BASE RÉGULIÈRE dans les activités suivantes de votre quartier : Dans un comité ou un organisme préoccupé par les problèmes de sécurité de votre quartier ?"/>
    <s v="Au cours des deux dernières années, vous êtes vous IMPLIQUÉ SUR UNE BASE RÉGULIÈRE dans les activités suivantes de votre quartier : Dans des assemblées du conseil municipal ?"/>
    <s v="Au cours des deux dernières années, vous êtes vous IMPLIQUÉ SUR UNE BASE RÉGULIÈRE dans les activités suivantes de votre quartier : Dans un conseil de quartier ou d'arrondissement ?"/>
    <s v="Au cours des deux dernières années, vous êtes vous IMPLIQUÉ SUR UNE BASE RÉGULIÈRE dans les activités suivantes de votre quartier : Dans un comité de citoyens ?"/>
    <s v="Au cours des deux dernières années, vous êtes vous IMPLIQUÉ SUR UNE BASE RÉGULIÈRE dans les activités suivantes de votre quartier : Dans des activités communautaires, d'entraide ou de bénévolat (cuisine communautaire, bazar)"/>
    <s v="Au cours des deux dernières années, vous êtes vous IMPLIQUÉ SUR UNE BASE RÉGULIÈRE dans les activités suivantes de votre quartier : Dans des activités sociales, culturelles ou sportives organisées par les gens de votre quartier ou de votre municipalité ?"/>
    <s v="Au cours des deux dernières années, avez-vous été victime de vol, de vandalisme ou de tout autre crime contre vos biens, chez vous ou dans votre quartier ?"/>
    <s v="Au cours des deux dernières années, avez-vous été victime d'une agression, d'intimidation ou de tout autre acte de violence, chez vous ou dans votre quartier ?"/>
    <s v="Au cours des deux dernières années avez-vous été victime dans votre quartier d'une quelconque forme de discrimination ?"/>
    <s v="À votre avis, le motif de cette discrimination était lié …"/>
    <s v="Autre, précisez :"/>
    <s v="Au cours des deux dernières années, avez-vous subi un accident qui vous a occasionné une blessure pour laquelle vous avez dû consulter un professionnel de la santé ou limiter vos activités ?"/>
    <s v="Combien de fois cela s'est-il produit ?"/>
    <s v="En se référant au dernier événement, était-ce … ?"/>
    <s v="Autre, précisez :"/>
    <s v="Maintenant, comparativement à d'autres personnes de votre âge, dirirez-vous que votre santé est en général …"/>
    <s v="Dans quel quartier habitez-vous ?"/>
    <s v="Combien de personne de moins de 18 ans habitent dans votre foyer ?"/>
    <x v="0"/>
    <s v="Quelle est votre année de naissance ?"/>
    <s v="Êtes-vous propriétaire ou locataire du logement que vous habitez ?"/>
    <s v="Autre, précisez : "/>
    <s v="Habitez-vous dans …"/>
    <s v="Autre, précisez : "/>
    <s v="Quel est votre état civil ?"/>
    <s v="Autre, précisez : "/>
    <s v="Où est situé votre lieu de travail habituel ?"/>
    <s v="Autre, précisez : "/>
    <s v="Quel est le plus haut niveau de scolarité que vous avez complété ?"/>
    <m/>
    <m/>
    <x v="0"/>
    <m/>
    <m/>
    <m/>
  </r>
  <r>
    <x v="1"/>
    <n v="8"/>
    <n v="1"/>
    <n v="4"/>
    <n v="8"/>
    <n v="2"/>
    <n v="2"/>
    <n v="1"/>
    <m/>
    <m/>
    <m/>
    <n v="1"/>
    <n v="2"/>
    <n v="1"/>
    <n v="2"/>
    <n v="2"/>
    <n v="1"/>
    <n v="1"/>
    <n v="2"/>
    <n v="1"/>
    <n v="2"/>
    <m/>
    <n v="1"/>
    <n v="4"/>
    <n v="5"/>
    <m/>
    <n v="2"/>
    <n v="4"/>
    <n v="5"/>
    <x v="1"/>
    <n v="1981"/>
    <n v="2"/>
    <m/>
    <n v="7"/>
    <m/>
    <n v="1"/>
    <m/>
    <n v="1"/>
    <m/>
    <n v="4"/>
    <n v="1"/>
    <n v="32"/>
    <x v="1"/>
    <n v="1"/>
    <n v="1"/>
    <n v="1"/>
  </r>
  <r>
    <x v="2"/>
    <n v="1"/>
    <n v="4"/>
    <n v="8"/>
    <n v="1"/>
    <n v="4"/>
    <n v="1"/>
    <n v="2"/>
    <n v="1"/>
    <m/>
    <m/>
    <n v="2"/>
    <n v="1"/>
    <n v="1"/>
    <n v="2"/>
    <n v="2"/>
    <n v="1"/>
    <n v="2"/>
    <n v="1"/>
    <n v="2"/>
    <n v="1"/>
    <m/>
    <n v="2"/>
    <m/>
    <m/>
    <m/>
    <n v="4"/>
    <n v="1"/>
    <n v="2"/>
    <x v="2"/>
    <n v="1970"/>
    <n v="1"/>
    <m/>
    <n v="5"/>
    <m/>
    <n v="2"/>
    <m/>
    <n v="2"/>
    <m/>
    <n v="1"/>
    <n v="1"/>
    <n v="43"/>
    <x v="2"/>
    <n v="2"/>
    <n v="3"/>
    <n v="2"/>
  </r>
  <r>
    <x v="3"/>
    <n v="3"/>
    <n v="2"/>
    <n v="1"/>
    <n v="2"/>
    <n v="3"/>
    <n v="4"/>
    <n v="3"/>
    <n v="3"/>
    <m/>
    <m/>
    <n v="2"/>
    <n v="1"/>
    <n v="2"/>
    <n v="2"/>
    <n v="2"/>
    <n v="2"/>
    <n v="2"/>
    <n v="1"/>
    <n v="3"/>
    <n v="3"/>
    <m/>
    <n v="1"/>
    <n v="2"/>
    <n v="8"/>
    <m/>
    <n v="5"/>
    <n v="4"/>
    <n v="4"/>
    <x v="2"/>
    <n v="1990"/>
    <n v="3"/>
    <m/>
    <n v="4"/>
    <m/>
    <n v="4"/>
    <m/>
    <n v="3"/>
    <m/>
    <n v="2"/>
    <n v="1"/>
    <n v="23"/>
    <x v="1"/>
    <n v="2"/>
    <n v="4"/>
    <n v="2"/>
  </r>
  <r>
    <x v="4"/>
    <n v="2"/>
    <n v="3"/>
    <n v="1"/>
    <n v="3"/>
    <n v="2"/>
    <n v="2"/>
    <n v="4"/>
    <n v="2"/>
    <m/>
    <m/>
    <n v="2"/>
    <n v="1"/>
    <n v="2"/>
    <n v="2"/>
    <n v="1"/>
    <n v="2"/>
    <n v="2"/>
    <n v="2"/>
    <n v="4"/>
    <m/>
    <m/>
    <n v="1"/>
    <n v="2"/>
    <n v="7"/>
    <m/>
    <n v="1"/>
    <n v="2"/>
    <n v="1"/>
    <x v="2"/>
    <n v="1983"/>
    <n v="1"/>
    <m/>
    <n v="1"/>
    <m/>
    <n v="1"/>
    <m/>
    <n v="4"/>
    <m/>
    <n v="3"/>
    <n v="1"/>
    <n v="30"/>
    <x v="1"/>
    <n v="2"/>
    <n v="3"/>
    <n v="2"/>
  </r>
  <r>
    <x v="4"/>
    <n v="1"/>
    <n v="2"/>
    <n v="3"/>
    <n v="2"/>
    <n v="1"/>
    <n v="3"/>
    <n v="2"/>
    <n v="4"/>
    <m/>
    <m/>
    <n v="1"/>
    <n v="2"/>
    <n v="2"/>
    <n v="1"/>
    <n v="1"/>
    <n v="2"/>
    <n v="2"/>
    <n v="1"/>
    <n v="1"/>
    <n v="6"/>
    <m/>
    <n v="2"/>
    <m/>
    <m/>
    <m/>
    <n v="3"/>
    <n v="3"/>
    <m/>
    <x v="2"/>
    <n v="1967"/>
    <n v="1"/>
    <m/>
    <n v="2"/>
    <m/>
    <n v="3"/>
    <m/>
    <n v="4"/>
    <m/>
    <n v="2"/>
    <n v="1"/>
    <n v="46"/>
    <x v="2"/>
    <n v="3"/>
    <n v="5"/>
    <n v="3"/>
  </r>
  <r>
    <x v="3"/>
    <n v="2"/>
    <n v="3"/>
    <n v="2"/>
    <n v="4"/>
    <n v="4"/>
    <n v="2"/>
    <n v="1"/>
    <m/>
    <m/>
    <m/>
    <n v="1"/>
    <n v="2"/>
    <n v="1"/>
    <n v="1"/>
    <n v="2"/>
    <n v="1"/>
    <n v="1"/>
    <n v="2"/>
    <n v="4"/>
    <m/>
    <m/>
    <n v="2"/>
    <m/>
    <m/>
    <m/>
    <n v="2"/>
    <n v="2"/>
    <n v="1"/>
    <x v="2"/>
    <n v="1962"/>
    <n v="2"/>
    <m/>
    <n v="3"/>
    <m/>
    <n v="3"/>
    <m/>
    <n v="1"/>
    <m/>
    <n v="1"/>
    <n v="1"/>
    <n v="51"/>
    <x v="2"/>
    <n v="2"/>
    <n v="2"/>
    <n v="2"/>
  </r>
  <r>
    <x v="2"/>
    <n v="1"/>
    <n v="3"/>
    <n v="3"/>
    <n v="1"/>
    <n v="8"/>
    <n v="1"/>
    <n v="3"/>
    <n v="2"/>
    <m/>
    <m/>
    <n v="1"/>
    <n v="2"/>
    <n v="1"/>
    <n v="1"/>
    <n v="1"/>
    <n v="1"/>
    <n v="1"/>
    <n v="1"/>
    <n v="1"/>
    <n v="7"/>
    <m/>
    <n v="1"/>
    <n v="2"/>
    <n v="6"/>
    <m/>
    <n v="1"/>
    <n v="3"/>
    <n v="3"/>
    <x v="2"/>
    <n v="1994"/>
    <n v="3"/>
    <m/>
    <n v="3"/>
    <m/>
    <n v="2"/>
    <m/>
    <n v="2"/>
    <m/>
    <n v="4"/>
    <n v="1"/>
    <n v="19"/>
    <x v="1"/>
    <n v="2"/>
    <n v="4"/>
    <n v="2"/>
  </r>
  <r>
    <x v="3"/>
    <n v="3"/>
    <n v="4"/>
    <n v="2"/>
    <n v="3"/>
    <n v="8"/>
    <n v="4"/>
    <n v="2"/>
    <n v="1"/>
    <m/>
    <m/>
    <n v="1"/>
    <n v="1"/>
    <n v="1"/>
    <n v="1"/>
    <n v="1"/>
    <n v="1"/>
    <n v="1"/>
    <n v="2"/>
    <n v="3"/>
    <n v="2"/>
    <m/>
    <n v="2"/>
    <m/>
    <m/>
    <m/>
    <n v="3"/>
    <n v="2"/>
    <n v="2"/>
    <x v="1"/>
    <n v="1983"/>
    <n v="2"/>
    <m/>
    <n v="2"/>
    <m/>
    <n v="1"/>
    <m/>
    <n v="3"/>
    <m/>
    <n v="1"/>
    <n v="1"/>
    <n v="30"/>
    <x v="1"/>
    <n v="2"/>
    <n v="4"/>
    <n v="2"/>
  </r>
  <r>
    <x v="4"/>
    <n v="2"/>
    <n v="1"/>
    <n v="3"/>
    <n v="2"/>
    <n v="8"/>
    <n v="2"/>
    <n v="1"/>
    <m/>
    <m/>
    <m/>
    <n v="2"/>
    <n v="1"/>
    <n v="2"/>
    <n v="2"/>
    <n v="1"/>
    <n v="2"/>
    <n v="1"/>
    <n v="1"/>
    <n v="2"/>
    <n v="2"/>
    <m/>
    <n v="1"/>
    <n v="1"/>
    <n v="1"/>
    <m/>
    <n v="8"/>
    <n v="3"/>
    <n v="5"/>
    <x v="1"/>
    <n v="1975"/>
    <n v="3"/>
    <m/>
    <n v="2"/>
    <m/>
    <n v="4"/>
    <m/>
    <n v="2"/>
    <m/>
    <n v="3"/>
    <n v="1"/>
    <n v="38"/>
    <x v="1"/>
    <n v="2"/>
    <n v="2"/>
    <n v="1"/>
  </r>
  <r>
    <x v="1"/>
    <n v="2"/>
    <n v="2"/>
    <n v="2"/>
    <n v="1"/>
    <n v="8"/>
    <n v="3"/>
    <n v="3"/>
    <n v="3"/>
    <m/>
    <m/>
    <n v="2"/>
    <n v="2"/>
    <n v="2"/>
    <n v="2"/>
    <n v="2"/>
    <n v="2"/>
    <n v="1"/>
    <n v="1"/>
    <n v="2"/>
    <n v="3"/>
    <m/>
    <n v="1"/>
    <n v="2"/>
    <n v="5"/>
    <m/>
    <n v="2"/>
    <n v="2"/>
    <n v="5"/>
    <x v="1"/>
    <n v="1979"/>
    <n v="3"/>
    <m/>
    <n v="1"/>
    <m/>
    <n v="1"/>
    <m/>
    <n v="1"/>
    <m/>
    <n v="2"/>
    <n v="1"/>
    <n v="34"/>
    <x v="1"/>
    <n v="1"/>
    <n v="1"/>
    <n v="1"/>
  </r>
  <r>
    <x v="2"/>
    <n v="2"/>
    <n v="4"/>
    <n v="4"/>
    <n v="4"/>
    <n v="3"/>
    <n v="8"/>
    <n v="1"/>
    <m/>
    <m/>
    <m/>
    <n v="2"/>
    <n v="2"/>
    <n v="2"/>
    <n v="2"/>
    <n v="2"/>
    <n v="2"/>
    <n v="2"/>
    <n v="2"/>
    <n v="3"/>
    <n v="5"/>
    <m/>
    <n v="2"/>
    <m/>
    <m/>
    <m/>
    <n v="1"/>
    <n v="1"/>
    <n v="5"/>
    <x v="1"/>
    <n v="1957"/>
    <n v="3"/>
    <m/>
    <n v="1"/>
    <m/>
    <n v="3"/>
    <m/>
    <n v="4"/>
    <m/>
    <n v="3"/>
    <n v="1"/>
    <n v="56"/>
    <x v="2"/>
    <n v="1"/>
    <n v="1"/>
    <n v="1"/>
  </r>
  <r>
    <x v="5"/>
    <n v="3"/>
    <n v="1"/>
    <n v="2"/>
    <n v="2"/>
    <n v="2"/>
    <n v="2"/>
    <n v="4"/>
    <n v="4"/>
    <m/>
    <m/>
    <n v="1"/>
    <n v="1"/>
    <n v="1"/>
    <n v="2"/>
    <n v="2"/>
    <n v="1"/>
    <n v="2"/>
    <n v="2"/>
    <n v="3"/>
    <n v="98"/>
    <m/>
    <n v="1"/>
    <n v="4"/>
    <n v="4"/>
    <m/>
    <n v="2"/>
    <n v="3"/>
    <m/>
    <x v="2"/>
    <n v="1946"/>
    <n v="2"/>
    <m/>
    <n v="5"/>
    <m/>
    <n v="2"/>
    <m/>
    <n v="2"/>
    <m/>
    <n v="2"/>
    <n v="1"/>
    <n v="67"/>
    <x v="3"/>
    <n v="2"/>
    <n v="4"/>
    <n v="3"/>
  </r>
  <r>
    <x v="1"/>
    <n v="3"/>
    <n v="3"/>
    <n v="3"/>
    <n v="3"/>
    <n v="1"/>
    <n v="1"/>
    <n v="1"/>
    <m/>
    <m/>
    <m/>
    <n v="1"/>
    <n v="2"/>
    <n v="1"/>
    <n v="1"/>
    <n v="1"/>
    <n v="1"/>
    <n v="1"/>
    <n v="1"/>
    <n v="2"/>
    <n v="1"/>
    <m/>
    <n v="1"/>
    <n v="2"/>
    <n v="98"/>
    <m/>
    <n v="3"/>
    <n v="2"/>
    <n v="1"/>
    <x v="1"/>
    <n v="1947"/>
    <n v="1"/>
    <m/>
    <n v="6"/>
    <m/>
    <n v="4"/>
    <m/>
    <n v="1"/>
    <m/>
    <n v="2"/>
    <n v="1"/>
    <n v="66"/>
    <x v="3"/>
    <n v="2"/>
    <n v="3"/>
    <n v="2"/>
  </r>
  <r>
    <x v="2"/>
    <n v="1"/>
    <n v="2"/>
    <n v="2"/>
    <n v="2"/>
    <n v="3"/>
    <n v="3"/>
    <n v="2"/>
    <n v="3"/>
    <m/>
    <m/>
    <n v="2"/>
    <n v="1"/>
    <n v="1"/>
    <n v="1"/>
    <n v="2"/>
    <n v="2"/>
    <n v="2"/>
    <n v="2"/>
    <n v="4"/>
    <m/>
    <m/>
    <n v="2"/>
    <m/>
    <m/>
    <m/>
    <n v="5"/>
    <n v="4"/>
    <n v="3"/>
    <x v="2"/>
    <n v="1984"/>
    <n v="3"/>
    <m/>
    <n v="4"/>
    <m/>
    <n v="6"/>
    <m/>
    <n v="3"/>
    <m/>
    <n v="1"/>
    <n v="1"/>
    <n v="29"/>
    <x v="1"/>
    <n v="2"/>
    <n v="4"/>
    <n v="2"/>
  </r>
  <r>
    <x v="3"/>
    <n v="1"/>
    <n v="2"/>
    <n v="1"/>
    <n v="1"/>
    <n v="2"/>
    <n v="8"/>
    <n v="3"/>
    <n v="2"/>
    <m/>
    <m/>
    <n v="1"/>
    <n v="2"/>
    <n v="2"/>
    <n v="2"/>
    <n v="2"/>
    <n v="2"/>
    <n v="1"/>
    <n v="1"/>
    <n v="1"/>
    <n v="8"/>
    <m/>
    <n v="2"/>
    <m/>
    <m/>
    <m/>
    <n v="3"/>
    <n v="3"/>
    <n v="1"/>
    <x v="1"/>
    <n v="1989"/>
    <n v="2"/>
    <m/>
    <n v="7"/>
    <m/>
    <n v="4"/>
    <m/>
    <n v="2"/>
    <m/>
    <n v="2"/>
    <n v="1"/>
    <n v="24"/>
    <x v="1"/>
    <n v="2"/>
    <n v="2"/>
    <n v="2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7"/>
    <m/>
    <m/>
    <m/>
    <m/>
    <m/>
    <m/>
    <m/>
    <m/>
    <m/>
    <n v="1"/>
    <n v="26"/>
    <x v="1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3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81"/>
    <m/>
    <m/>
    <m/>
    <m/>
    <m/>
    <m/>
    <m/>
    <m/>
    <m/>
    <n v="1"/>
    <n v="32"/>
    <x v="1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2"/>
    <n v="1970"/>
    <m/>
    <m/>
    <m/>
    <m/>
    <m/>
    <m/>
    <m/>
    <m/>
    <m/>
    <n v="1"/>
    <n v="43"/>
    <x v="2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</pivotCacheRecords>
</file>

<file path=xl/pivotCache/pivotCacheRecords52.xml><?xml version="1.0" encoding="utf-8"?>
<pivotCacheRecords xmlns="http://schemas.openxmlformats.org/spreadsheetml/2006/main" xmlns:r="http://schemas.openxmlformats.org/officeDocument/2006/relationships" count="632">
  <r>
    <x v="0"/>
    <s v="Quel est votre niveau de satisfaction à l'égard de la présence des policiers dans votre quartier ?"/>
    <s v="Quel est votre niveau de satisfaction à l'égard du travail effectué par les policiers dans votre quartier ?"/>
    <s v="De façon plus spécifique, quel est votre niveau de satisfaction à l'égard du travail effectué par les policiers : auprès des jeunes de votre quartier"/>
    <s v="De façon plus spécifique, quel est votre niveau de satisfaction à l'égard du travail effectué par les policiers : pour assurer la sécurité routière dans votre quartier"/>
    <s v="De façon plus spécifique, quel est votre niveau de satisfaction à l'égard du travail effectué par les policiers : pour régler des problèmes de délinquance ou de désordres qui surviennent dans votre quartier"/>
    <s v="Au cours des deux dernières années, combien de fois avez-vous fait appel au service de police qui dessert votre quartier ?"/>
    <s v="En vous référant à l'événement le plus récent, quel est votre niveau de satisfaction à l'égard de la réponse que vous avez reçue ?"/>
    <s v="Pourquoi ? Peu"/>
    <s v="Pourquoi ? Pas"/>
    <s v="Au cours des deux dernières années, vous êtes vous IMPLIQUÉ SUR UNE BASE RÉGULIÈRE dans les activités suivantes de votre quartier : Dans un comité ou un organisme préoccupé par les problèmes de sécurité de votre quartier ?"/>
    <s v="Au cours des deux dernières années, vous êtes vous IMPLIQUÉ SUR UNE BASE RÉGULIÈRE dans les activités suivantes de votre quartier : Dans des assemblées du conseil municipal ?"/>
    <s v="Au cours des deux dernières années, vous êtes vous IMPLIQUÉ SUR UNE BASE RÉGULIÈRE dans les activités suivantes de votre quartier : Dans un conseil de quartier ou d'arrondissement ?"/>
    <s v="Au cours des deux dernières années, vous êtes vous IMPLIQUÉ SUR UNE BASE RÉGULIÈRE dans les activités suivantes de votre quartier : Dans un comité de citoyens ?"/>
    <s v="Au cours des deux dernières années, vous êtes vous IMPLIQUÉ SUR UNE BASE RÉGULIÈRE dans les activités suivantes de votre quartier : Dans des activités communautaires, d'entraide ou de bénévolat (cuisine communautaire, bazar)"/>
    <s v="Au cours des deux dernières années, vous êtes vous IMPLIQUÉ SUR UNE BASE RÉGULIÈRE dans les activités suivantes de votre quartier : Dans des activités sociales, culturelles ou sportives organisées par les gens de votre quartier ou de votre municipalité ?"/>
    <s v="Au cours des deux dernières années, avez-vous été victime de vol, de vandalisme ou de tout autre crime contre vos biens, chez vous ou dans votre quartier ?"/>
    <s v="Au cours des deux dernières années, avez-vous été victime d'une agression, d'intimidation ou de tout autre acte de violence, chez vous ou dans votre quartier ?"/>
    <s v="Au cours des deux dernières années avez-vous été victime dans votre quartier d'une quelconque forme de discrimination ?"/>
    <s v="À votre avis, le motif de cette discrimination était lié …"/>
    <s v="Autre, précisez :"/>
    <s v="Au cours des deux dernières années, avez-vous subi un accident qui vous a occasionné une blessure pour laquelle vous avez dû consulter un professionnel de la santé ou limiter vos activités ?"/>
    <s v="Combien de fois cela s'est-il produit ?"/>
    <s v="En se référant au dernier événement, était-ce … ?"/>
    <s v="Autre, précisez :"/>
    <s v="Maintenant, comparativement à d'autres personnes de votre âge, dirirez-vous que votre santé est en général …"/>
    <s v="Dans quel quartier habitez-vous ?"/>
    <s v="Combien de personne de moins de 18 ans habitent dans votre foyer ?"/>
    <x v="0"/>
    <s v="Quelle est votre année de naissance ?"/>
    <s v="Êtes-vous propriétaire ou locataire du logement que vous habitez ?"/>
    <s v="Autre, précisez : "/>
    <s v="Habitez-vous dans …"/>
    <s v="Autre, précisez : "/>
    <s v="Quel est votre état civil ?"/>
    <s v="Autre, précisez : "/>
    <s v="Où est situé votre lieu de travail habituel ?"/>
    <s v="Autre, précisez : "/>
    <s v="Quel est le plus haut niveau de scolarité que vous avez complété ?"/>
    <m/>
    <m/>
    <x v="0"/>
    <m/>
    <m/>
    <m/>
  </r>
  <r>
    <x v="1"/>
    <n v="1"/>
    <n v="4"/>
    <n v="8"/>
    <n v="2"/>
    <n v="2"/>
    <n v="1"/>
    <m/>
    <m/>
    <m/>
    <n v="1"/>
    <n v="2"/>
    <n v="1"/>
    <n v="2"/>
    <n v="2"/>
    <n v="1"/>
    <n v="1"/>
    <n v="2"/>
    <n v="1"/>
    <n v="2"/>
    <m/>
    <n v="1"/>
    <n v="4"/>
    <n v="5"/>
    <m/>
    <n v="2"/>
    <n v="4"/>
    <n v="5"/>
    <x v="1"/>
    <n v="1981"/>
    <n v="2"/>
    <m/>
    <n v="7"/>
    <m/>
    <n v="1"/>
    <m/>
    <n v="1"/>
    <m/>
    <n v="4"/>
    <n v="1"/>
    <n v="32"/>
    <x v="1"/>
    <n v="1"/>
    <n v="1"/>
    <n v="1"/>
  </r>
  <r>
    <x v="2"/>
    <n v="4"/>
    <n v="8"/>
    <n v="1"/>
    <n v="4"/>
    <n v="1"/>
    <n v="2"/>
    <n v="1"/>
    <m/>
    <m/>
    <n v="2"/>
    <n v="1"/>
    <n v="1"/>
    <n v="2"/>
    <n v="2"/>
    <n v="1"/>
    <n v="2"/>
    <n v="1"/>
    <n v="2"/>
    <n v="1"/>
    <m/>
    <n v="2"/>
    <m/>
    <m/>
    <m/>
    <n v="4"/>
    <n v="1"/>
    <n v="2"/>
    <x v="2"/>
    <n v="1970"/>
    <n v="1"/>
    <m/>
    <n v="5"/>
    <m/>
    <n v="2"/>
    <m/>
    <n v="2"/>
    <m/>
    <n v="1"/>
    <n v="1"/>
    <n v="43"/>
    <x v="2"/>
    <n v="2"/>
    <n v="3"/>
    <n v="2"/>
  </r>
  <r>
    <x v="3"/>
    <n v="2"/>
    <n v="1"/>
    <n v="2"/>
    <n v="3"/>
    <n v="4"/>
    <n v="3"/>
    <n v="3"/>
    <m/>
    <m/>
    <n v="2"/>
    <n v="1"/>
    <n v="2"/>
    <n v="2"/>
    <n v="2"/>
    <n v="2"/>
    <n v="2"/>
    <n v="1"/>
    <n v="3"/>
    <n v="3"/>
    <m/>
    <n v="1"/>
    <n v="2"/>
    <n v="8"/>
    <m/>
    <n v="5"/>
    <n v="4"/>
    <n v="4"/>
    <x v="2"/>
    <n v="1990"/>
    <n v="3"/>
    <m/>
    <n v="4"/>
    <m/>
    <n v="4"/>
    <m/>
    <n v="3"/>
    <m/>
    <n v="2"/>
    <n v="1"/>
    <n v="23"/>
    <x v="1"/>
    <n v="2"/>
    <n v="4"/>
    <n v="2"/>
  </r>
  <r>
    <x v="4"/>
    <n v="3"/>
    <n v="1"/>
    <n v="3"/>
    <n v="2"/>
    <n v="2"/>
    <n v="4"/>
    <n v="2"/>
    <m/>
    <m/>
    <n v="2"/>
    <n v="1"/>
    <n v="2"/>
    <n v="2"/>
    <n v="1"/>
    <n v="2"/>
    <n v="2"/>
    <n v="2"/>
    <n v="4"/>
    <m/>
    <m/>
    <n v="1"/>
    <n v="2"/>
    <n v="7"/>
    <m/>
    <n v="1"/>
    <n v="2"/>
    <n v="1"/>
    <x v="2"/>
    <n v="1983"/>
    <n v="1"/>
    <m/>
    <n v="1"/>
    <m/>
    <n v="1"/>
    <m/>
    <n v="4"/>
    <m/>
    <n v="3"/>
    <n v="1"/>
    <n v="30"/>
    <x v="1"/>
    <n v="2"/>
    <n v="3"/>
    <n v="2"/>
  </r>
  <r>
    <x v="2"/>
    <n v="2"/>
    <n v="3"/>
    <n v="2"/>
    <n v="1"/>
    <n v="3"/>
    <n v="2"/>
    <n v="4"/>
    <m/>
    <m/>
    <n v="1"/>
    <n v="2"/>
    <n v="2"/>
    <n v="1"/>
    <n v="1"/>
    <n v="2"/>
    <n v="2"/>
    <n v="1"/>
    <n v="1"/>
    <n v="6"/>
    <m/>
    <n v="2"/>
    <m/>
    <m/>
    <m/>
    <n v="3"/>
    <n v="3"/>
    <m/>
    <x v="2"/>
    <n v="1967"/>
    <n v="1"/>
    <m/>
    <n v="2"/>
    <m/>
    <n v="3"/>
    <m/>
    <n v="4"/>
    <m/>
    <n v="2"/>
    <n v="1"/>
    <n v="46"/>
    <x v="2"/>
    <n v="3"/>
    <n v="5"/>
    <n v="3"/>
  </r>
  <r>
    <x v="4"/>
    <n v="3"/>
    <n v="2"/>
    <n v="4"/>
    <n v="4"/>
    <n v="2"/>
    <n v="1"/>
    <m/>
    <m/>
    <m/>
    <n v="1"/>
    <n v="2"/>
    <n v="1"/>
    <n v="1"/>
    <n v="2"/>
    <n v="1"/>
    <n v="1"/>
    <n v="2"/>
    <n v="4"/>
    <m/>
    <m/>
    <n v="2"/>
    <m/>
    <m/>
    <m/>
    <n v="2"/>
    <n v="2"/>
    <n v="1"/>
    <x v="2"/>
    <n v="1962"/>
    <n v="2"/>
    <m/>
    <n v="3"/>
    <m/>
    <n v="3"/>
    <m/>
    <n v="1"/>
    <m/>
    <n v="1"/>
    <n v="1"/>
    <n v="51"/>
    <x v="2"/>
    <n v="2"/>
    <n v="2"/>
    <n v="2"/>
  </r>
  <r>
    <x v="2"/>
    <n v="3"/>
    <n v="3"/>
    <n v="1"/>
    <n v="8"/>
    <n v="1"/>
    <n v="3"/>
    <n v="2"/>
    <m/>
    <m/>
    <n v="1"/>
    <n v="2"/>
    <n v="1"/>
    <n v="1"/>
    <n v="1"/>
    <n v="1"/>
    <n v="1"/>
    <n v="1"/>
    <n v="1"/>
    <n v="7"/>
    <m/>
    <n v="1"/>
    <n v="2"/>
    <n v="6"/>
    <m/>
    <n v="1"/>
    <n v="3"/>
    <n v="3"/>
    <x v="2"/>
    <n v="1994"/>
    <n v="3"/>
    <m/>
    <n v="3"/>
    <m/>
    <n v="2"/>
    <m/>
    <n v="2"/>
    <m/>
    <n v="4"/>
    <n v="1"/>
    <n v="19"/>
    <x v="1"/>
    <n v="2"/>
    <n v="4"/>
    <n v="2"/>
  </r>
  <r>
    <x v="3"/>
    <n v="4"/>
    <n v="2"/>
    <n v="3"/>
    <n v="8"/>
    <n v="4"/>
    <n v="2"/>
    <n v="1"/>
    <m/>
    <m/>
    <n v="1"/>
    <n v="1"/>
    <n v="1"/>
    <n v="1"/>
    <n v="1"/>
    <n v="1"/>
    <n v="1"/>
    <n v="2"/>
    <n v="3"/>
    <n v="2"/>
    <m/>
    <n v="2"/>
    <m/>
    <m/>
    <m/>
    <n v="3"/>
    <n v="2"/>
    <n v="2"/>
    <x v="1"/>
    <n v="1983"/>
    <n v="2"/>
    <m/>
    <n v="2"/>
    <m/>
    <n v="1"/>
    <m/>
    <n v="3"/>
    <m/>
    <n v="1"/>
    <n v="1"/>
    <n v="30"/>
    <x v="1"/>
    <n v="2"/>
    <n v="4"/>
    <n v="2"/>
  </r>
  <r>
    <x v="4"/>
    <n v="1"/>
    <n v="3"/>
    <n v="2"/>
    <n v="8"/>
    <n v="2"/>
    <n v="1"/>
    <m/>
    <m/>
    <m/>
    <n v="2"/>
    <n v="1"/>
    <n v="2"/>
    <n v="2"/>
    <n v="1"/>
    <n v="2"/>
    <n v="1"/>
    <n v="1"/>
    <n v="2"/>
    <n v="2"/>
    <m/>
    <n v="1"/>
    <n v="1"/>
    <n v="1"/>
    <m/>
    <n v="8"/>
    <n v="3"/>
    <n v="5"/>
    <x v="1"/>
    <n v="1975"/>
    <n v="3"/>
    <m/>
    <n v="2"/>
    <m/>
    <n v="4"/>
    <m/>
    <n v="2"/>
    <m/>
    <n v="3"/>
    <n v="1"/>
    <n v="38"/>
    <x v="1"/>
    <n v="2"/>
    <n v="2"/>
    <n v="1"/>
  </r>
  <r>
    <x v="4"/>
    <n v="2"/>
    <n v="2"/>
    <n v="1"/>
    <n v="8"/>
    <n v="3"/>
    <n v="3"/>
    <n v="3"/>
    <m/>
    <m/>
    <n v="2"/>
    <n v="2"/>
    <n v="2"/>
    <n v="2"/>
    <n v="2"/>
    <n v="2"/>
    <n v="1"/>
    <n v="1"/>
    <n v="2"/>
    <n v="3"/>
    <m/>
    <n v="1"/>
    <n v="2"/>
    <n v="5"/>
    <m/>
    <n v="2"/>
    <n v="2"/>
    <n v="5"/>
    <x v="1"/>
    <n v="1979"/>
    <n v="3"/>
    <m/>
    <n v="1"/>
    <m/>
    <n v="1"/>
    <m/>
    <n v="1"/>
    <m/>
    <n v="2"/>
    <n v="1"/>
    <n v="34"/>
    <x v="1"/>
    <n v="1"/>
    <n v="1"/>
    <n v="1"/>
  </r>
  <r>
    <x v="4"/>
    <n v="4"/>
    <n v="4"/>
    <n v="4"/>
    <n v="3"/>
    <n v="8"/>
    <n v="1"/>
    <m/>
    <m/>
    <m/>
    <n v="2"/>
    <n v="2"/>
    <n v="2"/>
    <n v="2"/>
    <n v="2"/>
    <n v="2"/>
    <n v="2"/>
    <n v="2"/>
    <n v="3"/>
    <n v="5"/>
    <m/>
    <n v="2"/>
    <m/>
    <m/>
    <m/>
    <n v="1"/>
    <n v="1"/>
    <n v="5"/>
    <x v="1"/>
    <n v="1957"/>
    <n v="3"/>
    <m/>
    <n v="1"/>
    <m/>
    <n v="3"/>
    <m/>
    <n v="4"/>
    <m/>
    <n v="3"/>
    <n v="1"/>
    <n v="56"/>
    <x v="2"/>
    <n v="1"/>
    <n v="1"/>
    <n v="1"/>
  </r>
  <r>
    <x v="3"/>
    <n v="1"/>
    <n v="2"/>
    <n v="2"/>
    <n v="2"/>
    <n v="2"/>
    <n v="4"/>
    <n v="4"/>
    <m/>
    <m/>
    <n v="1"/>
    <n v="1"/>
    <n v="1"/>
    <n v="2"/>
    <n v="2"/>
    <n v="1"/>
    <n v="2"/>
    <n v="2"/>
    <n v="3"/>
    <n v="98"/>
    <m/>
    <n v="1"/>
    <n v="4"/>
    <n v="4"/>
    <m/>
    <n v="2"/>
    <n v="3"/>
    <m/>
    <x v="2"/>
    <n v="1946"/>
    <n v="2"/>
    <m/>
    <n v="5"/>
    <m/>
    <n v="2"/>
    <m/>
    <n v="2"/>
    <m/>
    <n v="2"/>
    <n v="1"/>
    <n v="67"/>
    <x v="3"/>
    <n v="2"/>
    <n v="4"/>
    <n v="3"/>
  </r>
  <r>
    <x v="3"/>
    <n v="3"/>
    <n v="3"/>
    <n v="3"/>
    <n v="1"/>
    <n v="1"/>
    <n v="1"/>
    <m/>
    <m/>
    <m/>
    <n v="1"/>
    <n v="2"/>
    <n v="1"/>
    <n v="1"/>
    <n v="1"/>
    <n v="1"/>
    <n v="1"/>
    <n v="1"/>
    <n v="2"/>
    <n v="1"/>
    <m/>
    <n v="1"/>
    <n v="2"/>
    <n v="98"/>
    <m/>
    <n v="3"/>
    <n v="2"/>
    <n v="1"/>
    <x v="1"/>
    <n v="1947"/>
    <n v="1"/>
    <m/>
    <n v="6"/>
    <m/>
    <n v="4"/>
    <m/>
    <n v="1"/>
    <m/>
    <n v="2"/>
    <n v="1"/>
    <n v="66"/>
    <x v="3"/>
    <n v="2"/>
    <n v="3"/>
    <n v="2"/>
  </r>
  <r>
    <x v="2"/>
    <n v="2"/>
    <n v="2"/>
    <n v="2"/>
    <n v="3"/>
    <n v="3"/>
    <n v="2"/>
    <n v="3"/>
    <m/>
    <m/>
    <n v="2"/>
    <n v="1"/>
    <n v="1"/>
    <n v="1"/>
    <n v="2"/>
    <n v="2"/>
    <n v="2"/>
    <n v="2"/>
    <n v="4"/>
    <m/>
    <m/>
    <n v="2"/>
    <m/>
    <m/>
    <m/>
    <n v="5"/>
    <n v="4"/>
    <n v="3"/>
    <x v="2"/>
    <n v="1984"/>
    <n v="3"/>
    <m/>
    <n v="4"/>
    <m/>
    <n v="6"/>
    <m/>
    <n v="3"/>
    <m/>
    <n v="1"/>
    <n v="1"/>
    <n v="29"/>
    <x v="1"/>
    <n v="2"/>
    <n v="4"/>
    <n v="2"/>
  </r>
  <r>
    <x v="2"/>
    <n v="2"/>
    <n v="1"/>
    <n v="1"/>
    <n v="2"/>
    <n v="8"/>
    <n v="3"/>
    <n v="2"/>
    <m/>
    <m/>
    <n v="1"/>
    <n v="2"/>
    <n v="2"/>
    <n v="2"/>
    <n v="2"/>
    <n v="2"/>
    <n v="1"/>
    <n v="1"/>
    <n v="1"/>
    <n v="8"/>
    <m/>
    <n v="2"/>
    <m/>
    <m/>
    <m/>
    <n v="3"/>
    <n v="3"/>
    <n v="1"/>
    <x v="1"/>
    <n v="1989"/>
    <n v="2"/>
    <m/>
    <n v="7"/>
    <m/>
    <n v="4"/>
    <m/>
    <n v="2"/>
    <m/>
    <n v="2"/>
    <n v="1"/>
    <n v="24"/>
    <x v="1"/>
    <n v="2"/>
    <n v="2"/>
    <n v="2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2"/>
    <n v="1987"/>
    <m/>
    <m/>
    <m/>
    <m/>
    <m/>
    <m/>
    <m/>
    <m/>
    <m/>
    <n v="1"/>
    <n v="26"/>
    <x v="1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3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2"/>
    <n v="1981"/>
    <m/>
    <m/>
    <m/>
    <m/>
    <m/>
    <m/>
    <m/>
    <m/>
    <m/>
    <n v="1"/>
    <n v="32"/>
    <x v="1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2"/>
    <n v="1970"/>
    <m/>
    <m/>
    <m/>
    <m/>
    <m/>
    <m/>
    <m/>
    <m/>
    <m/>
    <n v="1"/>
    <n v="43"/>
    <x v="2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</pivotCacheRecords>
</file>

<file path=xl/pivotCache/pivotCacheRecords53.xml><?xml version="1.0" encoding="utf-8"?>
<pivotCacheRecords xmlns="http://schemas.openxmlformats.org/spreadsheetml/2006/main" xmlns:r="http://schemas.openxmlformats.org/officeDocument/2006/relationships" count="632">
  <r>
    <x v="0"/>
    <s v="Quel est votre niveau de satisfaction à l'égard du travail effectué par les policiers dans votre quartier ?"/>
    <s v="De façon plus spécifique, quel est votre niveau de satisfaction à l'égard du travail effectué par les policiers : auprès des jeunes de votre quartier"/>
    <s v="De façon plus spécifique, quel est votre niveau de satisfaction à l'égard du travail effectué par les policiers : pour assurer la sécurité routière dans votre quartier"/>
    <s v="De façon plus spécifique, quel est votre niveau de satisfaction à l'égard du travail effectué par les policiers : pour régler des problèmes de délinquance ou de désordres qui surviennent dans votre quartier"/>
    <s v="Au cours des deux dernières années, combien de fois avez-vous fait appel au service de police qui dessert votre quartier ?"/>
    <s v="En vous référant à l'événement le plus récent, quel est votre niveau de satisfaction à l'égard de la réponse que vous avez reçue ?"/>
    <s v="Pourquoi ? Peu"/>
    <s v="Pourquoi ? Pas"/>
    <s v="Au cours des deux dernières années, vous êtes vous IMPLIQUÉ SUR UNE BASE RÉGULIÈRE dans les activités suivantes de votre quartier : Dans un comité ou un organisme préoccupé par les problèmes de sécurité de votre quartier ?"/>
    <s v="Au cours des deux dernières années, vous êtes vous IMPLIQUÉ SUR UNE BASE RÉGULIÈRE dans les activités suivantes de votre quartier : Dans des assemblées du conseil municipal ?"/>
    <s v="Au cours des deux dernières années, vous êtes vous IMPLIQUÉ SUR UNE BASE RÉGULIÈRE dans les activités suivantes de votre quartier : Dans un conseil de quartier ou d'arrondissement ?"/>
    <s v="Au cours des deux dernières années, vous êtes vous IMPLIQUÉ SUR UNE BASE RÉGULIÈRE dans les activités suivantes de votre quartier : Dans un comité de citoyens ?"/>
    <s v="Au cours des deux dernières années, vous êtes vous IMPLIQUÉ SUR UNE BASE RÉGULIÈRE dans les activités suivantes de votre quartier : Dans des activités communautaires, d'entraide ou de bénévolat (cuisine communautaire, bazar)"/>
    <s v="Au cours des deux dernières années, vous êtes vous IMPLIQUÉ SUR UNE BASE RÉGULIÈRE dans les activités suivantes de votre quartier : Dans des activités sociales, culturelles ou sportives organisées par les gens de votre quartier ou de votre municipalité ?"/>
    <s v="Au cours des deux dernières années, avez-vous été victime de vol, de vandalisme ou de tout autre crime contre vos biens, chez vous ou dans votre quartier ?"/>
    <s v="Au cours des deux dernières années, avez-vous été victime d'une agression, d'intimidation ou de tout autre acte de violence, chez vous ou dans votre quartier ?"/>
    <s v="Au cours des deux dernières années avez-vous été victime dans votre quartier d'une quelconque forme de discrimination ?"/>
    <s v="À votre avis, le motif de cette discrimination était lié …"/>
    <s v="Autre, précisez :"/>
    <s v="Au cours des deux dernières années, avez-vous subi un accident qui vous a occasionné une blessure pour laquelle vous avez dû consulter un professionnel de la santé ou limiter vos activités ?"/>
    <s v="Combien de fois cela s'est-il produit ?"/>
    <s v="En se référant au dernier événement, était-ce … ?"/>
    <s v="Autre, précisez :"/>
    <s v="Maintenant, comparativement à d'autres personnes de votre âge, dirirez-vous que votre santé est en général …"/>
    <s v="Dans quel quartier habitez-vous ?"/>
    <s v="Combien de personne de moins de 18 ans habitent dans votre foyer ?"/>
    <x v="0"/>
    <s v="Quelle est votre année de naissance ?"/>
    <s v="Êtes-vous propriétaire ou locataire du logement que vous habitez ?"/>
    <s v="Autre, précisez : "/>
    <s v="Habitez-vous dans …"/>
    <s v="Autre, précisez : "/>
    <s v="Quel est votre état civil ?"/>
    <s v="Autre, précisez : "/>
    <s v="Où est situé votre lieu de travail habituel ?"/>
    <s v="Autre, précisez : "/>
    <s v="Quel est le plus haut niveau de scolarité que vous avez complété ?"/>
    <m/>
    <m/>
    <x v="0"/>
    <m/>
    <m/>
    <m/>
  </r>
  <r>
    <x v="1"/>
    <n v="4"/>
    <n v="8"/>
    <n v="2"/>
    <n v="2"/>
    <n v="1"/>
    <m/>
    <m/>
    <m/>
    <n v="1"/>
    <n v="2"/>
    <n v="1"/>
    <n v="2"/>
    <n v="2"/>
    <n v="1"/>
    <n v="1"/>
    <n v="2"/>
    <n v="1"/>
    <n v="2"/>
    <m/>
    <n v="1"/>
    <n v="4"/>
    <n v="5"/>
    <m/>
    <n v="2"/>
    <n v="4"/>
    <n v="5"/>
    <x v="1"/>
    <n v="1981"/>
    <n v="2"/>
    <m/>
    <n v="7"/>
    <m/>
    <n v="1"/>
    <m/>
    <n v="1"/>
    <m/>
    <n v="4"/>
    <n v="1"/>
    <n v="32"/>
    <x v="1"/>
    <n v="1"/>
    <n v="1"/>
    <n v="1"/>
  </r>
  <r>
    <x v="2"/>
    <n v="8"/>
    <n v="1"/>
    <n v="4"/>
    <n v="1"/>
    <n v="2"/>
    <n v="1"/>
    <m/>
    <m/>
    <n v="2"/>
    <n v="1"/>
    <n v="1"/>
    <n v="2"/>
    <n v="2"/>
    <n v="1"/>
    <n v="2"/>
    <n v="1"/>
    <n v="2"/>
    <n v="1"/>
    <m/>
    <n v="2"/>
    <m/>
    <m/>
    <m/>
    <n v="4"/>
    <n v="1"/>
    <n v="2"/>
    <x v="2"/>
    <n v="1970"/>
    <n v="1"/>
    <m/>
    <n v="5"/>
    <m/>
    <n v="2"/>
    <m/>
    <n v="2"/>
    <m/>
    <n v="1"/>
    <n v="1"/>
    <n v="43"/>
    <x v="2"/>
    <n v="2"/>
    <n v="3"/>
    <n v="2"/>
  </r>
  <r>
    <x v="3"/>
    <n v="1"/>
    <n v="2"/>
    <n v="3"/>
    <n v="4"/>
    <n v="3"/>
    <n v="3"/>
    <m/>
    <m/>
    <n v="2"/>
    <n v="1"/>
    <n v="2"/>
    <n v="2"/>
    <n v="2"/>
    <n v="2"/>
    <n v="2"/>
    <n v="1"/>
    <n v="3"/>
    <n v="3"/>
    <m/>
    <n v="1"/>
    <n v="2"/>
    <n v="8"/>
    <m/>
    <n v="5"/>
    <n v="4"/>
    <n v="4"/>
    <x v="2"/>
    <n v="1990"/>
    <n v="3"/>
    <m/>
    <n v="4"/>
    <m/>
    <n v="4"/>
    <m/>
    <n v="3"/>
    <m/>
    <n v="2"/>
    <n v="1"/>
    <n v="23"/>
    <x v="1"/>
    <n v="2"/>
    <n v="4"/>
    <n v="2"/>
  </r>
  <r>
    <x v="4"/>
    <n v="1"/>
    <n v="3"/>
    <n v="2"/>
    <n v="2"/>
    <n v="4"/>
    <n v="2"/>
    <m/>
    <m/>
    <n v="2"/>
    <n v="1"/>
    <n v="2"/>
    <n v="2"/>
    <n v="1"/>
    <n v="2"/>
    <n v="2"/>
    <n v="2"/>
    <n v="4"/>
    <m/>
    <m/>
    <n v="1"/>
    <n v="2"/>
    <n v="7"/>
    <m/>
    <n v="1"/>
    <n v="2"/>
    <n v="1"/>
    <x v="2"/>
    <n v="1983"/>
    <n v="1"/>
    <m/>
    <n v="1"/>
    <m/>
    <n v="1"/>
    <m/>
    <n v="4"/>
    <m/>
    <n v="3"/>
    <n v="1"/>
    <n v="30"/>
    <x v="1"/>
    <n v="2"/>
    <n v="3"/>
    <n v="2"/>
  </r>
  <r>
    <x v="3"/>
    <n v="3"/>
    <n v="2"/>
    <n v="1"/>
    <n v="3"/>
    <n v="2"/>
    <n v="4"/>
    <m/>
    <m/>
    <n v="1"/>
    <n v="2"/>
    <n v="2"/>
    <n v="1"/>
    <n v="1"/>
    <n v="2"/>
    <n v="2"/>
    <n v="1"/>
    <n v="1"/>
    <n v="6"/>
    <m/>
    <n v="2"/>
    <m/>
    <m/>
    <m/>
    <n v="3"/>
    <n v="3"/>
    <m/>
    <x v="2"/>
    <n v="1967"/>
    <n v="1"/>
    <m/>
    <n v="2"/>
    <m/>
    <n v="3"/>
    <m/>
    <n v="4"/>
    <m/>
    <n v="2"/>
    <n v="1"/>
    <n v="46"/>
    <x v="2"/>
    <n v="3"/>
    <n v="5"/>
    <n v="3"/>
  </r>
  <r>
    <x v="4"/>
    <n v="2"/>
    <n v="4"/>
    <n v="4"/>
    <n v="2"/>
    <n v="1"/>
    <m/>
    <m/>
    <m/>
    <n v="1"/>
    <n v="2"/>
    <n v="1"/>
    <n v="1"/>
    <n v="2"/>
    <n v="1"/>
    <n v="1"/>
    <n v="2"/>
    <n v="4"/>
    <m/>
    <m/>
    <n v="2"/>
    <m/>
    <m/>
    <m/>
    <n v="2"/>
    <n v="2"/>
    <n v="1"/>
    <x v="2"/>
    <n v="1962"/>
    <n v="2"/>
    <m/>
    <n v="3"/>
    <m/>
    <n v="3"/>
    <m/>
    <n v="1"/>
    <m/>
    <n v="1"/>
    <n v="1"/>
    <n v="51"/>
    <x v="2"/>
    <n v="2"/>
    <n v="2"/>
    <n v="2"/>
  </r>
  <r>
    <x v="4"/>
    <n v="3"/>
    <n v="1"/>
    <n v="8"/>
    <n v="1"/>
    <n v="3"/>
    <n v="2"/>
    <m/>
    <m/>
    <n v="1"/>
    <n v="2"/>
    <n v="1"/>
    <n v="1"/>
    <n v="1"/>
    <n v="1"/>
    <n v="1"/>
    <n v="1"/>
    <n v="1"/>
    <n v="7"/>
    <m/>
    <n v="1"/>
    <n v="2"/>
    <n v="6"/>
    <m/>
    <n v="1"/>
    <n v="3"/>
    <n v="3"/>
    <x v="2"/>
    <n v="1994"/>
    <n v="3"/>
    <m/>
    <n v="3"/>
    <m/>
    <n v="2"/>
    <m/>
    <n v="2"/>
    <m/>
    <n v="4"/>
    <n v="1"/>
    <n v="19"/>
    <x v="1"/>
    <n v="2"/>
    <n v="4"/>
    <n v="2"/>
  </r>
  <r>
    <x v="2"/>
    <n v="2"/>
    <n v="3"/>
    <n v="8"/>
    <n v="4"/>
    <n v="2"/>
    <n v="1"/>
    <m/>
    <m/>
    <n v="1"/>
    <n v="1"/>
    <n v="1"/>
    <n v="1"/>
    <n v="1"/>
    <n v="1"/>
    <n v="1"/>
    <n v="2"/>
    <n v="3"/>
    <n v="2"/>
    <m/>
    <n v="2"/>
    <m/>
    <m/>
    <m/>
    <n v="3"/>
    <n v="2"/>
    <n v="2"/>
    <x v="1"/>
    <n v="1983"/>
    <n v="2"/>
    <m/>
    <n v="2"/>
    <m/>
    <n v="1"/>
    <m/>
    <n v="3"/>
    <m/>
    <n v="1"/>
    <n v="1"/>
    <n v="30"/>
    <x v="1"/>
    <n v="2"/>
    <n v="4"/>
    <n v="2"/>
  </r>
  <r>
    <x v="1"/>
    <n v="3"/>
    <n v="2"/>
    <n v="8"/>
    <n v="2"/>
    <n v="1"/>
    <m/>
    <m/>
    <m/>
    <n v="2"/>
    <n v="1"/>
    <n v="2"/>
    <n v="2"/>
    <n v="1"/>
    <n v="2"/>
    <n v="1"/>
    <n v="1"/>
    <n v="2"/>
    <n v="2"/>
    <m/>
    <n v="1"/>
    <n v="1"/>
    <n v="1"/>
    <m/>
    <n v="8"/>
    <n v="3"/>
    <n v="5"/>
    <x v="1"/>
    <n v="1975"/>
    <n v="3"/>
    <m/>
    <n v="2"/>
    <m/>
    <n v="4"/>
    <m/>
    <n v="2"/>
    <m/>
    <n v="3"/>
    <n v="1"/>
    <n v="38"/>
    <x v="1"/>
    <n v="2"/>
    <n v="2"/>
    <n v="1"/>
  </r>
  <r>
    <x v="3"/>
    <n v="2"/>
    <n v="1"/>
    <n v="8"/>
    <n v="3"/>
    <n v="3"/>
    <n v="3"/>
    <m/>
    <m/>
    <n v="2"/>
    <n v="2"/>
    <n v="2"/>
    <n v="2"/>
    <n v="2"/>
    <n v="2"/>
    <n v="1"/>
    <n v="1"/>
    <n v="2"/>
    <n v="3"/>
    <m/>
    <n v="1"/>
    <n v="2"/>
    <n v="5"/>
    <m/>
    <n v="2"/>
    <n v="2"/>
    <n v="5"/>
    <x v="1"/>
    <n v="1979"/>
    <n v="3"/>
    <m/>
    <n v="1"/>
    <m/>
    <n v="1"/>
    <m/>
    <n v="1"/>
    <m/>
    <n v="2"/>
    <n v="1"/>
    <n v="34"/>
    <x v="1"/>
    <n v="1"/>
    <n v="1"/>
    <n v="1"/>
  </r>
  <r>
    <x v="2"/>
    <n v="4"/>
    <n v="4"/>
    <n v="3"/>
    <n v="8"/>
    <n v="1"/>
    <m/>
    <m/>
    <m/>
    <n v="2"/>
    <n v="2"/>
    <n v="2"/>
    <n v="2"/>
    <n v="2"/>
    <n v="2"/>
    <n v="2"/>
    <n v="2"/>
    <n v="3"/>
    <n v="5"/>
    <m/>
    <n v="2"/>
    <m/>
    <m/>
    <m/>
    <n v="1"/>
    <n v="1"/>
    <n v="5"/>
    <x v="1"/>
    <n v="1957"/>
    <n v="3"/>
    <m/>
    <n v="1"/>
    <m/>
    <n v="3"/>
    <m/>
    <n v="4"/>
    <m/>
    <n v="3"/>
    <n v="1"/>
    <n v="56"/>
    <x v="2"/>
    <n v="1"/>
    <n v="1"/>
    <n v="1"/>
  </r>
  <r>
    <x v="1"/>
    <n v="2"/>
    <n v="2"/>
    <n v="2"/>
    <n v="2"/>
    <n v="4"/>
    <n v="4"/>
    <m/>
    <m/>
    <n v="1"/>
    <n v="1"/>
    <n v="1"/>
    <n v="2"/>
    <n v="2"/>
    <n v="1"/>
    <n v="2"/>
    <n v="2"/>
    <n v="3"/>
    <n v="98"/>
    <m/>
    <n v="1"/>
    <n v="4"/>
    <n v="4"/>
    <m/>
    <n v="2"/>
    <n v="3"/>
    <m/>
    <x v="2"/>
    <n v="1946"/>
    <n v="2"/>
    <m/>
    <n v="5"/>
    <m/>
    <n v="2"/>
    <m/>
    <n v="2"/>
    <m/>
    <n v="2"/>
    <n v="1"/>
    <n v="67"/>
    <x v="3"/>
    <n v="2"/>
    <n v="4"/>
    <n v="3"/>
  </r>
  <r>
    <x v="4"/>
    <n v="3"/>
    <n v="3"/>
    <n v="1"/>
    <n v="1"/>
    <n v="1"/>
    <m/>
    <m/>
    <m/>
    <n v="1"/>
    <n v="2"/>
    <n v="1"/>
    <n v="1"/>
    <n v="1"/>
    <n v="1"/>
    <n v="1"/>
    <n v="1"/>
    <n v="2"/>
    <n v="1"/>
    <m/>
    <n v="1"/>
    <n v="2"/>
    <n v="98"/>
    <m/>
    <n v="3"/>
    <n v="2"/>
    <n v="1"/>
    <x v="1"/>
    <n v="1947"/>
    <n v="1"/>
    <m/>
    <n v="6"/>
    <m/>
    <n v="4"/>
    <m/>
    <n v="1"/>
    <m/>
    <n v="2"/>
    <n v="1"/>
    <n v="66"/>
    <x v="3"/>
    <n v="2"/>
    <n v="3"/>
    <n v="2"/>
  </r>
  <r>
    <x v="3"/>
    <n v="2"/>
    <n v="2"/>
    <n v="3"/>
    <n v="3"/>
    <n v="2"/>
    <n v="3"/>
    <m/>
    <m/>
    <n v="2"/>
    <n v="1"/>
    <n v="1"/>
    <n v="1"/>
    <n v="2"/>
    <n v="2"/>
    <n v="2"/>
    <n v="2"/>
    <n v="4"/>
    <m/>
    <m/>
    <n v="2"/>
    <m/>
    <m/>
    <m/>
    <n v="5"/>
    <n v="4"/>
    <n v="3"/>
    <x v="2"/>
    <n v="1984"/>
    <n v="3"/>
    <m/>
    <n v="4"/>
    <m/>
    <n v="6"/>
    <m/>
    <n v="3"/>
    <m/>
    <n v="1"/>
    <n v="1"/>
    <n v="29"/>
    <x v="1"/>
    <n v="2"/>
    <n v="4"/>
    <n v="2"/>
  </r>
  <r>
    <x v="3"/>
    <n v="1"/>
    <n v="1"/>
    <n v="2"/>
    <n v="8"/>
    <n v="3"/>
    <n v="2"/>
    <m/>
    <m/>
    <n v="1"/>
    <n v="2"/>
    <n v="2"/>
    <n v="2"/>
    <n v="2"/>
    <n v="2"/>
    <n v="1"/>
    <n v="1"/>
    <n v="1"/>
    <n v="8"/>
    <m/>
    <n v="2"/>
    <m/>
    <m/>
    <m/>
    <n v="3"/>
    <n v="3"/>
    <n v="1"/>
    <x v="1"/>
    <n v="1989"/>
    <n v="2"/>
    <m/>
    <n v="7"/>
    <m/>
    <n v="4"/>
    <m/>
    <n v="2"/>
    <m/>
    <n v="2"/>
    <n v="1"/>
    <n v="24"/>
    <x v="1"/>
    <n v="2"/>
    <n v="2"/>
    <n v="2"/>
  </r>
  <r>
    <x v="5"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2"/>
    <n v="1987"/>
    <m/>
    <m/>
    <m/>
    <m/>
    <m/>
    <m/>
    <m/>
    <m/>
    <m/>
    <n v="1"/>
    <n v="26"/>
    <x v="1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3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2"/>
    <n v="1981"/>
    <m/>
    <m/>
    <m/>
    <m/>
    <m/>
    <m/>
    <m/>
    <m/>
    <m/>
    <n v="1"/>
    <n v="32"/>
    <x v="1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2"/>
    <n v="1970"/>
    <m/>
    <m/>
    <m/>
    <m/>
    <m/>
    <m/>
    <m/>
    <m/>
    <m/>
    <n v="1"/>
    <n v="43"/>
    <x v="2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2"/>
    <n v="4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</pivotCacheRecords>
</file>

<file path=xl/pivotCache/pivotCacheRecords54.xml><?xml version="1.0" encoding="utf-8"?>
<pivotCacheRecords xmlns="http://schemas.openxmlformats.org/spreadsheetml/2006/main" xmlns:r="http://schemas.openxmlformats.org/officeDocument/2006/relationships" count="632">
  <r>
    <x v="0"/>
    <s v="De façon plus spécifique, quel est votre niveau de satisfaction à l'égard du travail effectué par les policiers : auprès des jeunes de votre quartier"/>
    <s v="De façon plus spécifique, quel est votre niveau de satisfaction à l'égard du travail effectué par les policiers : pour assurer la sécurité routière dans votre quartier"/>
    <s v="De façon plus spécifique, quel est votre niveau de satisfaction à l'égard du travail effectué par les policiers : pour régler des problèmes de délinquance ou de désordres qui surviennent dans votre quartier"/>
    <s v="Au cours des deux dernières années, combien de fois avez-vous fait appel au service de police qui dessert votre quartier ?"/>
    <s v="En vous référant à l'événement le plus récent, quel est votre niveau de satisfaction à l'égard de la réponse que vous avez reçue ?"/>
    <s v="Pourquoi ? Peu"/>
    <s v="Pourquoi ? Pas"/>
    <s v="Au cours des deux dernières années, vous êtes vous IMPLIQUÉ SUR UNE BASE RÉGULIÈRE dans les activités suivantes de votre quartier : Dans un comité ou un organisme préoccupé par les problèmes de sécurité de votre quartier ?"/>
    <s v="Au cours des deux dernières années, vous êtes vous IMPLIQUÉ SUR UNE BASE RÉGULIÈRE dans les activités suivantes de votre quartier : Dans des assemblées du conseil municipal ?"/>
    <s v="Au cours des deux dernières années, vous êtes vous IMPLIQUÉ SUR UNE BASE RÉGULIÈRE dans les activités suivantes de votre quartier : Dans un conseil de quartier ou d'arrondissement ?"/>
    <s v="Au cours des deux dernières années, vous êtes vous IMPLIQUÉ SUR UNE BASE RÉGULIÈRE dans les activités suivantes de votre quartier : Dans un comité de citoyens ?"/>
    <s v="Au cours des deux dernières années, vous êtes vous IMPLIQUÉ SUR UNE BASE RÉGULIÈRE dans les activités suivantes de votre quartier : Dans des activités communautaires, d'entraide ou de bénévolat (cuisine communautaire, bazar)"/>
    <s v="Au cours des deux dernières années, vous êtes vous IMPLIQUÉ SUR UNE BASE RÉGULIÈRE dans les activités suivantes de votre quartier : Dans des activités sociales, culturelles ou sportives organisées par les gens de votre quartier ou de votre municipalité ?"/>
    <s v="Au cours des deux dernières années, avez-vous été victime de vol, de vandalisme ou de tout autre crime contre vos biens, chez vous ou dans votre quartier ?"/>
    <s v="Au cours des deux dernières années, avez-vous été victime d'une agression, d'intimidation ou de tout autre acte de violence, chez vous ou dans votre quartier ?"/>
    <s v="Au cours des deux dernières années avez-vous été victime dans votre quartier d'une quelconque forme de discrimination ?"/>
    <s v="À votre avis, le motif de cette discrimination était lié …"/>
    <s v="Autre, précisez :"/>
    <s v="Au cours des deux dernières années, avez-vous subi un accident qui vous a occasionné une blessure pour laquelle vous avez dû consulter un professionnel de la santé ou limiter vos activités ?"/>
    <s v="Combien de fois cela s'est-il produit ?"/>
    <s v="En se référant au dernier événement, était-ce … ?"/>
    <s v="Autre, précisez :"/>
    <s v="Maintenant, comparativement à d'autres personnes de votre âge, dirirez-vous que votre santé est en général …"/>
    <s v="Dans quel quartier habitez-vous ?"/>
    <s v="Combien de personne de moins de 18 ans habitent dans votre foyer ?"/>
    <x v="0"/>
    <s v="Quelle est votre année de naissance ?"/>
    <s v="Êtes-vous propriétaire ou locataire du logement que vous habitez ?"/>
    <s v="Autre, précisez : "/>
    <s v="Habitez-vous dans …"/>
    <s v="Autre, précisez : "/>
    <s v="Quel est votre état civil ?"/>
    <s v="Autre, précisez : "/>
    <s v="Où est situé votre lieu de travail habituel ?"/>
    <s v="Autre, précisez : "/>
    <s v="Quel est le plus haut niveau de scolarité que vous avez complété ?"/>
    <m/>
    <m/>
    <x v="0"/>
    <m/>
    <m/>
    <m/>
  </r>
  <r>
    <x v="1"/>
    <n v="8"/>
    <n v="2"/>
    <n v="2"/>
    <n v="1"/>
    <m/>
    <m/>
    <m/>
    <n v="1"/>
    <n v="2"/>
    <n v="1"/>
    <n v="2"/>
    <n v="2"/>
    <n v="1"/>
    <n v="1"/>
    <n v="2"/>
    <n v="1"/>
    <n v="2"/>
    <m/>
    <n v="1"/>
    <n v="4"/>
    <n v="5"/>
    <m/>
    <n v="2"/>
    <n v="4"/>
    <n v="5"/>
    <x v="1"/>
    <n v="1981"/>
    <n v="2"/>
    <m/>
    <n v="7"/>
    <m/>
    <n v="1"/>
    <m/>
    <n v="1"/>
    <m/>
    <n v="4"/>
    <n v="1"/>
    <n v="32"/>
    <x v="1"/>
    <n v="1"/>
    <n v="1"/>
    <n v="1"/>
  </r>
  <r>
    <x v="2"/>
    <n v="1"/>
    <n v="4"/>
    <n v="1"/>
    <n v="2"/>
    <n v="1"/>
    <m/>
    <m/>
    <n v="2"/>
    <n v="1"/>
    <n v="1"/>
    <n v="2"/>
    <n v="2"/>
    <n v="1"/>
    <n v="2"/>
    <n v="1"/>
    <n v="2"/>
    <n v="1"/>
    <m/>
    <n v="2"/>
    <m/>
    <m/>
    <m/>
    <n v="4"/>
    <n v="1"/>
    <n v="2"/>
    <x v="2"/>
    <n v="1970"/>
    <n v="1"/>
    <m/>
    <n v="5"/>
    <m/>
    <n v="2"/>
    <m/>
    <n v="2"/>
    <m/>
    <n v="1"/>
    <n v="1"/>
    <n v="43"/>
    <x v="2"/>
    <n v="2"/>
    <n v="3"/>
    <n v="2"/>
  </r>
  <r>
    <x v="3"/>
    <n v="2"/>
    <n v="3"/>
    <n v="4"/>
    <n v="3"/>
    <n v="3"/>
    <m/>
    <m/>
    <n v="2"/>
    <n v="1"/>
    <n v="2"/>
    <n v="2"/>
    <n v="2"/>
    <n v="2"/>
    <n v="2"/>
    <n v="1"/>
    <n v="3"/>
    <n v="3"/>
    <m/>
    <n v="1"/>
    <n v="2"/>
    <n v="8"/>
    <m/>
    <n v="5"/>
    <n v="4"/>
    <n v="4"/>
    <x v="2"/>
    <n v="1990"/>
    <n v="3"/>
    <m/>
    <n v="4"/>
    <m/>
    <n v="4"/>
    <m/>
    <n v="3"/>
    <m/>
    <n v="2"/>
    <n v="1"/>
    <n v="23"/>
    <x v="1"/>
    <n v="2"/>
    <n v="4"/>
    <n v="2"/>
  </r>
  <r>
    <x v="3"/>
    <n v="3"/>
    <n v="2"/>
    <n v="2"/>
    <n v="4"/>
    <n v="2"/>
    <m/>
    <m/>
    <n v="2"/>
    <n v="1"/>
    <n v="2"/>
    <n v="2"/>
    <n v="1"/>
    <n v="2"/>
    <n v="2"/>
    <n v="2"/>
    <n v="4"/>
    <m/>
    <m/>
    <n v="1"/>
    <n v="2"/>
    <n v="7"/>
    <m/>
    <n v="1"/>
    <n v="2"/>
    <n v="1"/>
    <x v="2"/>
    <n v="1983"/>
    <n v="1"/>
    <m/>
    <n v="1"/>
    <m/>
    <n v="1"/>
    <m/>
    <n v="4"/>
    <m/>
    <n v="3"/>
    <n v="1"/>
    <n v="30"/>
    <x v="1"/>
    <n v="2"/>
    <n v="3"/>
    <n v="2"/>
  </r>
  <r>
    <x v="4"/>
    <n v="2"/>
    <n v="1"/>
    <n v="3"/>
    <n v="2"/>
    <n v="4"/>
    <m/>
    <m/>
    <n v="1"/>
    <n v="2"/>
    <n v="2"/>
    <n v="1"/>
    <n v="1"/>
    <n v="2"/>
    <n v="2"/>
    <n v="1"/>
    <n v="1"/>
    <n v="6"/>
    <m/>
    <n v="2"/>
    <m/>
    <m/>
    <m/>
    <n v="3"/>
    <n v="3"/>
    <m/>
    <x v="2"/>
    <n v="1967"/>
    <n v="1"/>
    <m/>
    <n v="2"/>
    <m/>
    <n v="3"/>
    <m/>
    <n v="4"/>
    <m/>
    <n v="2"/>
    <n v="1"/>
    <n v="46"/>
    <x v="2"/>
    <n v="3"/>
    <n v="5"/>
    <n v="3"/>
  </r>
  <r>
    <x v="5"/>
    <n v="4"/>
    <n v="4"/>
    <n v="2"/>
    <n v="1"/>
    <m/>
    <m/>
    <m/>
    <n v="1"/>
    <n v="2"/>
    <n v="1"/>
    <n v="1"/>
    <n v="2"/>
    <n v="1"/>
    <n v="1"/>
    <n v="2"/>
    <n v="4"/>
    <m/>
    <m/>
    <n v="2"/>
    <m/>
    <m/>
    <m/>
    <n v="2"/>
    <n v="2"/>
    <n v="1"/>
    <x v="2"/>
    <n v="1962"/>
    <n v="2"/>
    <m/>
    <n v="3"/>
    <m/>
    <n v="3"/>
    <m/>
    <n v="1"/>
    <m/>
    <n v="1"/>
    <n v="1"/>
    <n v="51"/>
    <x v="2"/>
    <n v="2"/>
    <n v="2"/>
    <n v="2"/>
  </r>
  <r>
    <x v="4"/>
    <n v="1"/>
    <n v="8"/>
    <n v="1"/>
    <n v="3"/>
    <n v="2"/>
    <m/>
    <m/>
    <n v="1"/>
    <n v="2"/>
    <n v="1"/>
    <n v="1"/>
    <n v="1"/>
    <n v="1"/>
    <n v="1"/>
    <n v="1"/>
    <n v="1"/>
    <n v="7"/>
    <m/>
    <n v="1"/>
    <n v="2"/>
    <n v="6"/>
    <m/>
    <n v="1"/>
    <n v="3"/>
    <n v="3"/>
    <x v="2"/>
    <n v="1994"/>
    <n v="3"/>
    <m/>
    <n v="3"/>
    <m/>
    <n v="2"/>
    <m/>
    <n v="2"/>
    <m/>
    <n v="4"/>
    <n v="1"/>
    <n v="19"/>
    <x v="1"/>
    <n v="2"/>
    <n v="4"/>
    <n v="2"/>
  </r>
  <r>
    <x v="5"/>
    <n v="3"/>
    <n v="8"/>
    <n v="4"/>
    <n v="2"/>
    <n v="1"/>
    <m/>
    <m/>
    <n v="1"/>
    <n v="1"/>
    <n v="1"/>
    <n v="1"/>
    <n v="1"/>
    <n v="1"/>
    <n v="1"/>
    <n v="2"/>
    <n v="3"/>
    <n v="2"/>
    <m/>
    <n v="2"/>
    <m/>
    <m/>
    <m/>
    <n v="3"/>
    <n v="2"/>
    <n v="2"/>
    <x v="1"/>
    <n v="1983"/>
    <n v="2"/>
    <m/>
    <n v="2"/>
    <m/>
    <n v="1"/>
    <m/>
    <n v="3"/>
    <m/>
    <n v="1"/>
    <n v="1"/>
    <n v="30"/>
    <x v="1"/>
    <n v="2"/>
    <n v="4"/>
    <n v="2"/>
  </r>
  <r>
    <x v="4"/>
    <n v="2"/>
    <n v="8"/>
    <n v="2"/>
    <n v="1"/>
    <m/>
    <m/>
    <m/>
    <n v="2"/>
    <n v="1"/>
    <n v="2"/>
    <n v="2"/>
    <n v="1"/>
    <n v="2"/>
    <n v="1"/>
    <n v="1"/>
    <n v="2"/>
    <n v="2"/>
    <m/>
    <n v="1"/>
    <n v="1"/>
    <n v="1"/>
    <m/>
    <n v="8"/>
    <n v="3"/>
    <n v="5"/>
    <x v="1"/>
    <n v="1975"/>
    <n v="3"/>
    <m/>
    <n v="2"/>
    <m/>
    <n v="4"/>
    <m/>
    <n v="2"/>
    <m/>
    <n v="3"/>
    <n v="1"/>
    <n v="38"/>
    <x v="1"/>
    <n v="2"/>
    <n v="2"/>
    <n v="1"/>
  </r>
  <r>
    <x v="5"/>
    <n v="1"/>
    <n v="8"/>
    <n v="3"/>
    <n v="3"/>
    <n v="3"/>
    <m/>
    <m/>
    <n v="2"/>
    <n v="2"/>
    <n v="2"/>
    <n v="2"/>
    <n v="2"/>
    <n v="2"/>
    <n v="1"/>
    <n v="1"/>
    <n v="2"/>
    <n v="3"/>
    <m/>
    <n v="1"/>
    <n v="2"/>
    <n v="5"/>
    <m/>
    <n v="2"/>
    <n v="2"/>
    <n v="5"/>
    <x v="1"/>
    <n v="1979"/>
    <n v="3"/>
    <m/>
    <n v="1"/>
    <m/>
    <n v="1"/>
    <m/>
    <n v="1"/>
    <m/>
    <n v="2"/>
    <n v="1"/>
    <n v="34"/>
    <x v="1"/>
    <n v="1"/>
    <n v="1"/>
    <n v="1"/>
  </r>
  <r>
    <x v="1"/>
    <n v="4"/>
    <n v="3"/>
    <n v="8"/>
    <n v="1"/>
    <m/>
    <m/>
    <m/>
    <n v="2"/>
    <n v="2"/>
    <n v="2"/>
    <n v="2"/>
    <n v="2"/>
    <n v="2"/>
    <n v="2"/>
    <n v="2"/>
    <n v="3"/>
    <n v="5"/>
    <m/>
    <n v="2"/>
    <m/>
    <m/>
    <m/>
    <n v="1"/>
    <n v="1"/>
    <n v="5"/>
    <x v="1"/>
    <n v="1957"/>
    <n v="3"/>
    <m/>
    <n v="1"/>
    <m/>
    <n v="3"/>
    <m/>
    <n v="4"/>
    <m/>
    <n v="3"/>
    <n v="1"/>
    <n v="56"/>
    <x v="2"/>
    <n v="1"/>
    <n v="1"/>
    <n v="1"/>
  </r>
  <r>
    <x v="5"/>
    <n v="2"/>
    <n v="2"/>
    <n v="2"/>
    <n v="4"/>
    <n v="4"/>
    <m/>
    <m/>
    <n v="1"/>
    <n v="1"/>
    <n v="1"/>
    <n v="2"/>
    <n v="2"/>
    <n v="1"/>
    <n v="2"/>
    <n v="2"/>
    <n v="3"/>
    <n v="98"/>
    <m/>
    <n v="1"/>
    <n v="4"/>
    <n v="4"/>
    <m/>
    <n v="2"/>
    <n v="3"/>
    <m/>
    <x v="2"/>
    <n v="1946"/>
    <n v="2"/>
    <m/>
    <n v="5"/>
    <m/>
    <n v="2"/>
    <m/>
    <n v="2"/>
    <m/>
    <n v="2"/>
    <n v="1"/>
    <n v="67"/>
    <x v="3"/>
    <n v="2"/>
    <n v="4"/>
    <n v="3"/>
  </r>
  <r>
    <x v="4"/>
    <n v="3"/>
    <n v="1"/>
    <n v="1"/>
    <n v="1"/>
    <m/>
    <m/>
    <m/>
    <n v="1"/>
    <n v="2"/>
    <n v="1"/>
    <n v="1"/>
    <n v="1"/>
    <n v="1"/>
    <n v="1"/>
    <n v="1"/>
    <n v="2"/>
    <n v="1"/>
    <m/>
    <n v="1"/>
    <n v="2"/>
    <n v="98"/>
    <m/>
    <n v="3"/>
    <n v="2"/>
    <n v="1"/>
    <x v="1"/>
    <n v="1947"/>
    <n v="1"/>
    <m/>
    <n v="6"/>
    <m/>
    <n v="4"/>
    <m/>
    <n v="1"/>
    <m/>
    <n v="2"/>
    <n v="1"/>
    <n v="66"/>
    <x v="3"/>
    <n v="2"/>
    <n v="3"/>
    <n v="2"/>
  </r>
  <r>
    <x v="5"/>
    <n v="2"/>
    <n v="3"/>
    <n v="3"/>
    <n v="2"/>
    <n v="3"/>
    <m/>
    <m/>
    <n v="2"/>
    <n v="1"/>
    <n v="1"/>
    <n v="1"/>
    <n v="2"/>
    <n v="2"/>
    <n v="2"/>
    <n v="2"/>
    <n v="4"/>
    <m/>
    <m/>
    <n v="2"/>
    <m/>
    <m/>
    <m/>
    <n v="5"/>
    <n v="4"/>
    <n v="3"/>
    <x v="2"/>
    <n v="1984"/>
    <n v="3"/>
    <m/>
    <n v="4"/>
    <m/>
    <n v="6"/>
    <m/>
    <n v="3"/>
    <m/>
    <n v="1"/>
    <n v="1"/>
    <n v="29"/>
    <x v="1"/>
    <n v="2"/>
    <n v="4"/>
    <n v="2"/>
  </r>
  <r>
    <x v="3"/>
    <n v="1"/>
    <n v="2"/>
    <n v="8"/>
    <n v="3"/>
    <n v="2"/>
    <m/>
    <m/>
    <n v="1"/>
    <n v="2"/>
    <n v="2"/>
    <n v="2"/>
    <n v="2"/>
    <n v="2"/>
    <n v="1"/>
    <n v="1"/>
    <n v="1"/>
    <n v="8"/>
    <m/>
    <n v="2"/>
    <m/>
    <m/>
    <m/>
    <n v="3"/>
    <n v="3"/>
    <n v="1"/>
    <x v="1"/>
    <n v="1989"/>
    <n v="2"/>
    <m/>
    <n v="7"/>
    <m/>
    <n v="4"/>
    <m/>
    <n v="2"/>
    <m/>
    <n v="2"/>
    <n v="1"/>
    <n v="24"/>
    <x v="1"/>
    <n v="2"/>
    <n v="2"/>
    <n v="2"/>
  </r>
  <r>
    <x v="6"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2"/>
    <n v="1987"/>
    <m/>
    <m/>
    <m/>
    <m/>
    <m/>
    <m/>
    <m/>
    <m/>
    <m/>
    <n v="1"/>
    <n v="26"/>
    <x v="1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3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2"/>
    <n v="1981"/>
    <m/>
    <m/>
    <m/>
    <m/>
    <m/>
    <m/>
    <m/>
    <m/>
    <m/>
    <n v="1"/>
    <n v="32"/>
    <x v="1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2"/>
    <n v="1970"/>
    <m/>
    <m/>
    <m/>
    <m/>
    <m/>
    <m/>
    <m/>
    <m/>
    <m/>
    <n v="1"/>
    <n v="43"/>
    <x v="2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</pivotCacheRecords>
</file>

<file path=xl/pivotCache/pivotCacheRecords55.xml><?xml version="1.0" encoding="utf-8"?>
<pivotCacheRecords xmlns="http://schemas.openxmlformats.org/spreadsheetml/2006/main" xmlns:r="http://schemas.openxmlformats.org/officeDocument/2006/relationships" count="601">
  <r>
    <x v="0"/>
    <s v="De façon plus spécifique, quel est votre niveau de satisfaction à l'égard du travail effectué par les policiers : pour assurer la sécurité routière dans votre quartier"/>
    <s v="De façon plus spécifique, quel est votre niveau de satisfaction à l'égard du travail effectué par les policiers : pour régler des problèmes de délinquance ou de désordres qui surviennent dans votre quartier"/>
    <s v="Au cours des deux dernières années, combien de fois avez-vous fait appel au service de police qui dessert votre quartier ?"/>
    <s v="En vous référant à l'événement le plus récent, quel est votre niveau de satisfaction à l'égard de la réponse que vous avez reçue ?"/>
    <s v="Pourquoi ? Peu"/>
    <s v="Pourquoi ? Pas"/>
    <s v="Au cours des deux dernières années, vous êtes vous IMPLIQUÉ SUR UNE BASE RÉGULIÈRE dans les activités suivantes de votre quartier : Dans un comité ou un organisme préoccupé par les problèmes de sécurité de votre quartier ?"/>
    <s v="Au cours des deux dernières années, vous êtes vous IMPLIQUÉ SUR UNE BASE RÉGULIÈRE dans les activités suivantes de votre quartier : Dans des assemblées du conseil municipal ?"/>
    <s v="Au cours des deux dernières années, vous êtes vous IMPLIQUÉ SUR UNE BASE RÉGULIÈRE dans les activités suivantes de votre quartier : Dans un conseil de quartier ou d'arrondissement ?"/>
    <s v="Au cours des deux dernières années, vous êtes vous IMPLIQUÉ SUR UNE BASE RÉGULIÈRE dans les activités suivantes de votre quartier : Dans un comité de citoyens ?"/>
    <s v="Au cours des deux dernières années, vous êtes vous IMPLIQUÉ SUR UNE BASE RÉGULIÈRE dans les activités suivantes de votre quartier : Dans des activités communautaires, d'entraide ou de bénévolat (cuisine communautaire, bazar)"/>
    <s v="Au cours des deux dernières années, vous êtes vous IMPLIQUÉ SUR UNE BASE RÉGULIÈRE dans les activités suivantes de votre quartier : Dans des activités sociales, culturelles ou sportives organisées par les gens de votre quartier ou de votre municipalité ?"/>
    <s v="Au cours des deux dernières années, avez-vous été victime de vol, de vandalisme ou de tout autre crime contre vos biens, chez vous ou dans votre quartier ?"/>
    <s v="Au cours des deux dernières années, avez-vous été victime d'une agression, d'intimidation ou de tout autre acte de violence, chez vous ou dans votre quartier ?"/>
    <s v="Au cours des deux dernières années avez-vous été victime dans votre quartier d'une quelconque forme de discrimination ?"/>
    <s v="À votre avis, le motif de cette discrimination était lié …"/>
    <s v="Autre, précisez :"/>
    <s v="Au cours des deux dernières années, avez-vous subi un accident qui vous a occasionné une blessure pour laquelle vous avez dû consulter un professionnel de la santé ou limiter vos activités ?"/>
    <s v="Combien de fois cela s'est-il produit ?"/>
    <s v="En se référant au dernier événement, était-ce … ?"/>
    <s v="Autre, précisez :"/>
    <s v="Maintenant, comparativement à d'autres personnes de votre âge, dirirez-vous que votre santé est en général …"/>
    <s v="Dans quel quartier habitez-vous ?"/>
    <s v="Combien de personne de moins de 18 ans habitent dans votre foyer ?"/>
    <x v="0"/>
    <s v="Quelle est votre année de naissance ?"/>
    <s v="Êtes-vous propriétaire ou locataire du logement que vous habitez ?"/>
    <s v="Autre, précisez : "/>
    <s v="Habitez-vous dans …"/>
    <s v="Autre, précisez : "/>
    <s v="Quel est votre état civil ?"/>
    <s v="Autre, précisez : "/>
    <s v="Où est situé votre lieu de travail habituel ?"/>
    <s v="Autre, précisez : "/>
    <s v="Quel est le plus haut niveau de scolarité que vous avez complété ?"/>
    <m/>
    <m/>
    <m/>
    <m/>
    <m/>
    <m/>
  </r>
  <r>
    <x v="1"/>
    <n v="2"/>
    <n v="2"/>
    <n v="1"/>
    <m/>
    <m/>
    <m/>
    <n v="1"/>
    <n v="2"/>
    <n v="1"/>
    <n v="2"/>
    <n v="2"/>
    <n v="1"/>
    <n v="1"/>
    <n v="2"/>
    <n v="1"/>
    <n v="2"/>
    <m/>
    <n v="1"/>
    <n v="4"/>
    <n v="5"/>
    <m/>
    <n v="2"/>
    <n v="4"/>
    <n v="5"/>
    <x v="1"/>
    <n v="1981"/>
    <n v="2"/>
    <m/>
    <n v="7"/>
    <m/>
    <n v="1"/>
    <m/>
    <n v="1"/>
    <m/>
    <n v="4"/>
    <n v="1"/>
    <n v="32"/>
    <n v="1"/>
    <n v="1"/>
    <n v="1"/>
    <n v="1"/>
  </r>
  <r>
    <x v="2"/>
    <n v="4"/>
    <n v="1"/>
    <n v="2"/>
    <n v="1"/>
    <m/>
    <m/>
    <n v="2"/>
    <n v="1"/>
    <n v="1"/>
    <n v="2"/>
    <n v="2"/>
    <n v="1"/>
    <n v="2"/>
    <n v="1"/>
    <n v="2"/>
    <n v="1"/>
    <m/>
    <n v="2"/>
    <m/>
    <m/>
    <m/>
    <n v="4"/>
    <n v="1"/>
    <n v="2"/>
    <x v="2"/>
    <n v="1970"/>
    <n v="1"/>
    <m/>
    <n v="5"/>
    <m/>
    <n v="2"/>
    <m/>
    <n v="2"/>
    <m/>
    <n v="1"/>
    <n v="1"/>
    <n v="43"/>
    <n v="2"/>
    <n v="2"/>
    <n v="3"/>
    <n v="2"/>
  </r>
  <r>
    <x v="3"/>
    <n v="3"/>
    <n v="4"/>
    <n v="3"/>
    <n v="3"/>
    <m/>
    <m/>
    <n v="2"/>
    <n v="1"/>
    <n v="2"/>
    <n v="2"/>
    <n v="2"/>
    <n v="2"/>
    <n v="2"/>
    <n v="1"/>
    <n v="3"/>
    <n v="3"/>
    <m/>
    <n v="1"/>
    <n v="2"/>
    <n v="8"/>
    <m/>
    <n v="5"/>
    <n v="4"/>
    <n v="4"/>
    <x v="2"/>
    <n v="1990"/>
    <n v="3"/>
    <m/>
    <n v="4"/>
    <m/>
    <n v="4"/>
    <m/>
    <n v="3"/>
    <m/>
    <n v="2"/>
    <n v="1"/>
    <n v="23"/>
    <n v="1"/>
    <n v="2"/>
    <n v="4"/>
    <n v="2"/>
  </r>
  <r>
    <x v="4"/>
    <n v="2"/>
    <n v="2"/>
    <n v="4"/>
    <n v="2"/>
    <m/>
    <m/>
    <n v="2"/>
    <n v="1"/>
    <n v="2"/>
    <n v="2"/>
    <n v="1"/>
    <n v="2"/>
    <n v="2"/>
    <n v="2"/>
    <n v="4"/>
    <m/>
    <m/>
    <n v="1"/>
    <n v="2"/>
    <n v="7"/>
    <m/>
    <n v="1"/>
    <n v="2"/>
    <n v="1"/>
    <x v="2"/>
    <n v="1983"/>
    <n v="1"/>
    <m/>
    <n v="1"/>
    <m/>
    <n v="1"/>
    <m/>
    <n v="4"/>
    <m/>
    <n v="3"/>
    <n v="1"/>
    <n v="30"/>
    <n v="1"/>
    <n v="2"/>
    <n v="3"/>
    <n v="2"/>
  </r>
  <r>
    <x v="3"/>
    <n v="1"/>
    <n v="3"/>
    <n v="2"/>
    <n v="4"/>
    <m/>
    <m/>
    <n v="1"/>
    <n v="2"/>
    <n v="2"/>
    <n v="1"/>
    <n v="1"/>
    <n v="2"/>
    <n v="2"/>
    <n v="1"/>
    <n v="1"/>
    <n v="6"/>
    <m/>
    <n v="2"/>
    <m/>
    <m/>
    <m/>
    <n v="3"/>
    <n v="3"/>
    <m/>
    <x v="2"/>
    <n v="1967"/>
    <n v="1"/>
    <m/>
    <n v="2"/>
    <m/>
    <n v="3"/>
    <m/>
    <n v="4"/>
    <m/>
    <n v="2"/>
    <n v="1"/>
    <n v="46"/>
    <n v="2"/>
    <n v="3"/>
    <n v="5"/>
    <n v="3"/>
  </r>
  <r>
    <x v="5"/>
    <n v="4"/>
    <n v="2"/>
    <n v="1"/>
    <m/>
    <m/>
    <m/>
    <n v="1"/>
    <n v="2"/>
    <n v="1"/>
    <n v="1"/>
    <n v="2"/>
    <n v="1"/>
    <n v="1"/>
    <n v="2"/>
    <n v="4"/>
    <m/>
    <m/>
    <n v="2"/>
    <m/>
    <m/>
    <m/>
    <n v="2"/>
    <n v="2"/>
    <n v="1"/>
    <x v="2"/>
    <n v="1962"/>
    <n v="2"/>
    <m/>
    <n v="3"/>
    <m/>
    <n v="3"/>
    <m/>
    <n v="1"/>
    <m/>
    <n v="1"/>
    <n v="1"/>
    <n v="51"/>
    <n v="2"/>
    <n v="2"/>
    <n v="2"/>
    <n v="2"/>
  </r>
  <r>
    <x v="2"/>
    <n v="8"/>
    <n v="1"/>
    <n v="3"/>
    <n v="2"/>
    <m/>
    <m/>
    <n v="1"/>
    <n v="2"/>
    <n v="1"/>
    <n v="1"/>
    <n v="1"/>
    <n v="1"/>
    <n v="1"/>
    <n v="1"/>
    <n v="1"/>
    <n v="7"/>
    <m/>
    <n v="1"/>
    <n v="2"/>
    <n v="6"/>
    <m/>
    <n v="1"/>
    <n v="3"/>
    <n v="3"/>
    <x v="2"/>
    <n v="1994"/>
    <n v="3"/>
    <m/>
    <n v="3"/>
    <m/>
    <n v="2"/>
    <m/>
    <n v="2"/>
    <m/>
    <n v="4"/>
    <n v="1"/>
    <n v="19"/>
    <n v="1"/>
    <n v="2"/>
    <n v="4"/>
    <n v="2"/>
  </r>
  <r>
    <x v="4"/>
    <n v="8"/>
    <n v="4"/>
    <n v="2"/>
    <n v="1"/>
    <m/>
    <m/>
    <n v="1"/>
    <n v="1"/>
    <n v="1"/>
    <n v="1"/>
    <n v="1"/>
    <n v="1"/>
    <n v="1"/>
    <n v="2"/>
    <n v="3"/>
    <n v="2"/>
    <m/>
    <n v="2"/>
    <m/>
    <m/>
    <m/>
    <n v="3"/>
    <n v="2"/>
    <n v="2"/>
    <x v="1"/>
    <n v="1983"/>
    <n v="2"/>
    <m/>
    <n v="2"/>
    <m/>
    <n v="1"/>
    <m/>
    <n v="3"/>
    <m/>
    <n v="1"/>
    <n v="1"/>
    <n v="30"/>
    <n v="1"/>
    <n v="2"/>
    <n v="4"/>
    <n v="2"/>
  </r>
  <r>
    <x v="3"/>
    <n v="8"/>
    <n v="2"/>
    <n v="1"/>
    <m/>
    <m/>
    <m/>
    <n v="2"/>
    <n v="1"/>
    <n v="2"/>
    <n v="2"/>
    <n v="1"/>
    <n v="2"/>
    <n v="1"/>
    <n v="1"/>
    <n v="2"/>
    <n v="2"/>
    <m/>
    <n v="1"/>
    <n v="1"/>
    <n v="1"/>
    <m/>
    <n v="8"/>
    <n v="3"/>
    <n v="5"/>
    <x v="1"/>
    <n v="1975"/>
    <n v="3"/>
    <m/>
    <n v="2"/>
    <m/>
    <n v="4"/>
    <m/>
    <n v="2"/>
    <m/>
    <n v="3"/>
    <n v="1"/>
    <n v="38"/>
    <n v="1"/>
    <n v="2"/>
    <n v="2"/>
    <n v="1"/>
  </r>
  <r>
    <x v="2"/>
    <n v="8"/>
    <n v="3"/>
    <n v="3"/>
    <n v="3"/>
    <m/>
    <m/>
    <n v="2"/>
    <n v="2"/>
    <n v="2"/>
    <n v="2"/>
    <n v="2"/>
    <n v="2"/>
    <n v="1"/>
    <n v="1"/>
    <n v="2"/>
    <n v="3"/>
    <m/>
    <n v="1"/>
    <n v="2"/>
    <n v="5"/>
    <m/>
    <n v="2"/>
    <n v="2"/>
    <n v="5"/>
    <x v="1"/>
    <n v="1979"/>
    <n v="3"/>
    <m/>
    <n v="1"/>
    <m/>
    <n v="1"/>
    <m/>
    <n v="1"/>
    <m/>
    <n v="2"/>
    <n v="1"/>
    <n v="34"/>
    <n v="1"/>
    <n v="1"/>
    <n v="1"/>
    <n v="1"/>
  </r>
  <r>
    <x v="5"/>
    <n v="3"/>
    <n v="8"/>
    <n v="1"/>
    <m/>
    <m/>
    <m/>
    <n v="2"/>
    <n v="2"/>
    <n v="2"/>
    <n v="2"/>
    <n v="2"/>
    <n v="2"/>
    <n v="2"/>
    <n v="2"/>
    <n v="3"/>
    <n v="5"/>
    <m/>
    <n v="2"/>
    <m/>
    <m/>
    <m/>
    <n v="1"/>
    <n v="1"/>
    <n v="5"/>
    <x v="1"/>
    <n v="1957"/>
    <n v="3"/>
    <m/>
    <n v="1"/>
    <m/>
    <n v="3"/>
    <m/>
    <n v="4"/>
    <m/>
    <n v="3"/>
    <n v="1"/>
    <n v="56"/>
    <n v="2"/>
    <n v="1"/>
    <n v="1"/>
    <n v="1"/>
  </r>
  <r>
    <x v="3"/>
    <n v="2"/>
    <n v="2"/>
    <n v="4"/>
    <n v="4"/>
    <m/>
    <m/>
    <n v="1"/>
    <n v="1"/>
    <n v="1"/>
    <n v="2"/>
    <n v="2"/>
    <n v="1"/>
    <n v="2"/>
    <n v="2"/>
    <n v="3"/>
    <n v="98"/>
    <m/>
    <n v="1"/>
    <n v="4"/>
    <n v="4"/>
    <m/>
    <n v="2"/>
    <n v="3"/>
    <m/>
    <x v="2"/>
    <n v="1946"/>
    <n v="2"/>
    <m/>
    <n v="5"/>
    <m/>
    <n v="2"/>
    <m/>
    <n v="2"/>
    <m/>
    <n v="2"/>
    <n v="1"/>
    <n v="67"/>
    <n v="3"/>
    <n v="2"/>
    <n v="4"/>
    <n v="3"/>
  </r>
  <r>
    <x v="4"/>
    <n v="1"/>
    <n v="1"/>
    <n v="1"/>
    <m/>
    <m/>
    <m/>
    <n v="1"/>
    <n v="2"/>
    <n v="1"/>
    <n v="1"/>
    <n v="1"/>
    <n v="1"/>
    <n v="1"/>
    <n v="1"/>
    <n v="2"/>
    <n v="1"/>
    <m/>
    <n v="1"/>
    <n v="2"/>
    <n v="98"/>
    <m/>
    <n v="3"/>
    <n v="2"/>
    <n v="1"/>
    <x v="1"/>
    <n v="1947"/>
    <n v="1"/>
    <m/>
    <n v="6"/>
    <m/>
    <n v="4"/>
    <m/>
    <n v="1"/>
    <m/>
    <n v="2"/>
    <n v="1"/>
    <n v="66"/>
    <n v="3"/>
    <n v="2"/>
    <n v="3"/>
    <n v="2"/>
  </r>
  <r>
    <x v="3"/>
    <n v="3"/>
    <n v="3"/>
    <n v="2"/>
    <n v="3"/>
    <m/>
    <m/>
    <n v="2"/>
    <n v="1"/>
    <n v="1"/>
    <n v="1"/>
    <n v="2"/>
    <n v="2"/>
    <n v="2"/>
    <n v="2"/>
    <n v="4"/>
    <m/>
    <m/>
    <n v="2"/>
    <m/>
    <m/>
    <m/>
    <n v="5"/>
    <n v="4"/>
    <n v="3"/>
    <x v="2"/>
    <n v="1984"/>
    <n v="3"/>
    <m/>
    <n v="4"/>
    <m/>
    <n v="6"/>
    <m/>
    <n v="3"/>
    <m/>
    <n v="1"/>
    <n v="1"/>
    <n v="29"/>
    <n v="1"/>
    <n v="2"/>
    <n v="4"/>
    <n v="2"/>
  </r>
  <r>
    <x v="2"/>
    <n v="2"/>
    <n v="8"/>
    <n v="3"/>
    <n v="2"/>
    <m/>
    <m/>
    <n v="1"/>
    <n v="2"/>
    <n v="2"/>
    <n v="2"/>
    <n v="2"/>
    <n v="2"/>
    <n v="1"/>
    <n v="1"/>
    <n v="1"/>
    <n v="8"/>
    <m/>
    <n v="2"/>
    <m/>
    <m/>
    <m/>
    <n v="3"/>
    <n v="3"/>
    <n v="1"/>
    <x v="1"/>
    <n v="1989"/>
    <n v="2"/>
    <m/>
    <n v="7"/>
    <m/>
    <n v="4"/>
    <m/>
    <n v="2"/>
    <m/>
    <n v="2"/>
    <n v="1"/>
    <n v="24"/>
    <n v="1"/>
    <n v="2"/>
    <n v="2"/>
    <n v="2"/>
  </r>
  <r>
    <x v="6"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n v="1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m/>
    <m/>
    <x v="2"/>
    <n v="1987"/>
    <m/>
    <m/>
    <m/>
    <m/>
    <m/>
    <m/>
    <m/>
    <m/>
    <m/>
    <n v="1"/>
    <n v="26"/>
    <n v="1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n v="1"/>
    <n v="2"/>
    <n v="3"/>
    <n v="3"/>
  </r>
  <r>
    <x v="6"/>
    <m/>
    <m/>
    <m/>
    <m/>
    <m/>
    <m/>
    <m/>
    <m/>
    <m/>
    <m/>
    <m/>
    <m/>
    <m/>
    <m/>
    <m/>
    <m/>
    <m/>
    <m/>
    <m/>
    <m/>
    <m/>
    <m/>
    <m/>
    <m/>
    <x v="2"/>
    <n v="1981"/>
    <m/>
    <m/>
    <m/>
    <m/>
    <m/>
    <m/>
    <m/>
    <m/>
    <m/>
    <n v="1"/>
    <n v="32"/>
    <n v="1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m/>
    <m/>
    <x v="2"/>
    <n v="1970"/>
    <m/>
    <m/>
    <m/>
    <m/>
    <m/>
    <m/>
    <m/>
    <m/>
    <m/>
    <n v="1"/>
    <n v="43"/>
    <n v="2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</pivotCacheRecords>
</file>

<file path=xl/pivotCache/pivotCacheRecords56.xml><?xml version="1.0" encoding="utf-8"?>
<pivotCacheRecords xmlns="http://schemas.openxmlformats.org/spreadsheetml/2006/main" xmlns:r="http://schemas.openxmlformats.org/officeDocument/2006/relationships" count="632">
  <r>
    <x v="0"/>
    <s v="De façon plus spécifique, quel est votre niveau de satisfaction à l'égard du travail effectué par les policiers : pour assurer la sécurité routière dans votre quartier"/>
    <s v="De façon plus spécifique, quel est votre niveau de satisfaction à l'égard du travail effectué par les policiers : pour régler des problèmes de délinquance ou de désordres qui surviennent dans votre quartier"/>
    <s v="Au cours des deux dernières années, combien de fois avez-vous fait appel au service de police qui dessert votre quartier ?"/>
    <s v="En vous référant à l'événement le plus récent, quel est votre niveau de satisfaction à l'égard de la réponse que vous avez reçue ?"/>
    <s v="Pourquoi ? Peu"/>
    <s v="Pourquoi ? Pas"/>
    <s v="Au cours des deux dernières années, vous êtes vous IMPLIQUÉ SUR UNE BASE RÉGULIÈRE dans les activités suivantes de votre quartier : Dans un comité ou un organisme préoccupé par les problèmes de sécurité de votre quartier ?"/>
    <s v="Au cours des deux dernières années, vous êtes vous IMPLIQUÉ SUR UNE BASE RÉGULIÈRE dans les activités suivantes de votre quartier : Dans des assemblées du conseil municipal ?"/>
    <s v="Au cours des deux dernières années, vous êtes vous IMPLIQUÉ SUR UNE BASE RÉGULIÈRE dans les activités suivantes de votre quartier : Dans un conseil de quartier ou d'arrondissement ?"/>
    <s v="Au cours des deux dernières années, vous êtes vous IMPLIQUÉ SUR UNE BASE RÉGULIÈRE dans les activités suivantes de votre quartier : Dans un comité de citoyens ?"/>
    <s v="Au cours des deux dernières années, vous êtes vous IMPLIQUÉ SUR UNE BASE RÉGULIÈRE dans les activités suivantes de votre quartier : Dans des activités communautaires, d'entraide ou de bénévolat (cuisine communautaire, bazar)"/>
    <s v="Au cours des deux dernières années, vous êtes vous IMPLIQUÉ SUR UNE BASE RÉGULIÈRE dans les activités suivantes de votre quartier : Dans des activités sociales, culturelles ou sportives organisées par les gens de votre quartier ou de votre municipalité ?"/>
    <s v="Au cours des deux dernières années, avez-vous été victime de vol, de vandalisme ou de tout autre crime contre vos biens, chez vous ou dans votre quartier ?"/>
    <s v="Au cours des deux dernières années, avez-vous été victime d'une agression, d'intimidation ou de tout autre acte de violence, chez vous ou dans votre quartier ?"/>
    <s v="Au cours des deux dernières années avez-vous été victime dans votre quartier d'une quelconque forme de discrimination ?"/>
    <s v="À votre avis, le motif de cette discrimination était lié …"/>
    <s v="Autre, précisez :"/>
    <s v="Au cours des deux dernières années, avez-vous subi un accident qui vous a occasionné une blessure pour laquelle vous avez dû consulter un professionnel de la santé ou limiter vos activités ?"/>
    <s v="Combien de fois cela s'est-il produit ?"/>
    <s v="En se référant au dernier événement, était-ce … ?"/>
    <s v="Autre, précisez :"/>
    <s v="Maintenant, comparativement à d'autres personnes de votre âge, dirirez-vous que votre santé est en général …"/>
    <s v="Dans quel quartier habitez-vous ?"/>
    <s v="Combien de personne de moins de 18 ans habitent dans votre foyer ?"/>
    <s v="Êtes-vous :"/>
    <s v="Quelle est votre année de naissance ?"/>
    <s v="Êtes-vous propriétaire ou locataire du logement que vous habitez ?"/>
    <s v="Autre, précisez : "/>
    <s v="Habitez-vous dans …"/>
    <s v="Autre, précisez : "/>
    <s v="Quel est votre état civil ?"/>
    <s v="Autre, précisez : "/>
    <s v="Où est situé votre lieu de travail habituel ?"/>
    <s v="Autre, précisez : "/>
    <s v="Quel est le plus haut niveau de scolarité que vous avez complété ?"/>
    <m/>
    <m/>
    <x v="0"/>
    <m/>
    <m/>
    <m/>
  </r>
  <r>
    <x v="1"/>
    <n v="2"/>
    <n v="2"/>
    <n v="1"/>
    <m/>
    <m/>
    <m/>
    <n v="1"/>
    <n v="2"/>
    <n v="1"/>
    <n v="2"/>
    <n v="2"/>
    <n v="1"/>
    <n v="1"/>
    <n v="2"/>
    <n v="1"/>
    <n v="2"/>
    <m/>
    <n v="1"/>
    <n v="4"/>
    <n v="5"/>
    <m/>
    <n v="2"/>
    <n v="4"/>
    <n v="5"/>
    <n v="1"/>
    <n v="1981"/>
    <n v="2"/>
    <m/>
    <n v="7"/>
    <m/>
    <n v="1"/>
    <m/>
    <n v="1"/>
    <m/>
    <n v="4"/>
    <n v="1"/>
    <n v="32"/>
    <x v="1"/>
    <n v="1"/>
    <n v="1"/>
    <n v="1"/>
  </r>
  <r>
    <x v="2"/>
    <n v="4"/>
    <n v="1"/>
    <n v="2"/>
    <n v="1"/>
    <m/>
    <m/>
    <n v="2"/>
    <n v="1"/>
    <n v="1"/>
    <n v="2"/>
    <n v="2"/>
    <n v="1"/>
    <n v="2"/>
    <n v="1"/>
    <n v="2"/>
    <n v="1"/>
    <m/>
    <n v="2"/>
    <m/>
    <m/>
    <m/>
    <n v="4"/>
    <n v="1"/>
    <n v="2"/>
    <n v="2"/>
    <n v="1970"/>
    <n v="1"/>
    <m/>
    <n v="5"/>
    <m/>
    <n v="2"/>
    <m/>
    <n v="2"/>
    <m/>
    <n v="1"/>
    <n v="1"/>
    <n v="43"/>
    <x v="2"/>
    <n v="2"/>
    <n v="3"/>
    <n v="2"/>
  </r>
  <r>
    <x v="3"/>
    <n v="3"/>
    <n v="4"/>
    <n v="3"/>
    <n v="3"/>
    <m/>
    <m/>
    <n v="2"/>
    <n v="1"/>
    <n v="2"/>
    <n v="2"/>
    <n v="2"/>
    <n v="2"/>
    <n v="2"/>
    <n v="1"/>
    <n v="3"/>
    <n v="3"/>
    <m/>
    <n v="1"/>
    <n v="2"/>
    <n v="8"/>
    <m/>
    <n v="5"/>
    <n v="4"/>
    <n v="4"/>
    <n v="2"/>
    <n v="1990"/>
    <n v="3"/>
    <m/>
    <n v="4"/>
    <m/>
    <n v="4"/>
    <m/>
    <n v="3"/>
    <m/>
    <n v="2"/>
    <n v="1"/>
    <n v="23"/>
    <x v="1"/>
    <n v="2"/>
    <n v="4"/>
    <n v="2"/>
  </r>
  <r>
    <x v="4"/>
    <n v="2"/>
    <n v="2"/>
    <n v="4"/>
    <n v="2"/>
    <m/>
    <m/>
    <n v="2"/>
    <n v="1"/>
    <n v="2"/>
    <n v="2"/>
    <n v="1"/>
    <n v="2"/>
    <n v="2"/>
    <n v="2"/>
    <n v="4"/>
    <m/>
    <m/>
    <n v="1"/>
    <n v="2"/>
    <n v="7"/>
    <m/>
    <n v="1"/>
    <n v="2"/>
    <n v="1"/>
    <n v="2"/>
    <n v="1983"/>
    <n v="1"/>
    <m/>
    <n v="1"/>
    <m/>
    <n v="1"/>
    <m/>
    <n v="4"/>
    <m/>
    <n v="3"/>
    <n v="1"/>
    <n v="30"/>
    <x v="1"/>
    <n v="2"/>
    <n v="3"/>
    <n v="2"/>
  </r>
  <r>
    <x v="3"/>
    <n v="1"/>
    <n v="3"/>
    <n v="2"/>
    <n v="4"/>
    <m/>
    <m/>
    <n v="1"/>
    <n v="2"/>
    <n v="2"/>
    <n v="1"/>
    <n v="1"/>
    <n v="2"/>
    <n v="2"/>
    <n v="1"/>
    <n v="1"/>
    <n v="6"/>
    <m/>
    <n v="2"/>
    <m/>
    <m/>
    <m/>
    <n v="3"/>
    <n v="3"/>
    <m/>
    <n v="2"/>
    <n v="1967"/>
    <n v="1"/>
    <m/>
    <n v="2"/>
    <m/>
    <n v="3"/>
    <m/>
    <n v="4"/>
    <m/>
    <n v="2"/>
    <n v="1"/>
    <n v="46"/>
    <x v="2"/>
    <n v="3"/>
    <n v="5"/>
    <n v="3"/>
  </r>
  <r>
    <x v="5"/>
    <n v="4"/>
    <n v="2"/>
    <n v="1"/>
    <m/>
    <m/>
    <m/>
    <n v="1"/>
    <n v="2"/>
    <n v="1"/>
    <n v="1"/>
    <n v="2"/>
    <n v="1"/>
    <n v="1"/>
    <n v="2"/>
    <n v="4"/>
    <m/>
    <m/>
    <n v="2"/>
    <m/>
    <m/>
    <m/>
    <n v="2"/>
    <n v="2"/>
    <n v="1"/>
    <n v="2"/>
    <n v="1962"/>
    <n v="2"/>
    <m/>
    <n v="3"/>
    <m/>
    <n v="3"/>
    <m/>
    <n v="1"/>
    <m/>
    <n v="1"/>
    <n v="1"/>
    <n v="51"/>
    <x v="2"/>
    <n v="2"/>
    <n v="2"/>
    <n v="2"/>
  </r>
  <r>
    <x v="2"/>
    <n v="8"/>
    <n v="1"/>
    <n v="3"/>
    <n v="2"/>
    <m/>
    <m/>
    <n v="1"/>
    <n v="2"/>
    <n v="1"/>
    <n v="1"/>
    <n v="1"/>
    <n v="1"/>
    <n v="1"/>
    <n v="1"/>
    <n v="1"/>
    <n v="7"/>
    <m/>
    <n v="1"/>
    <n v="2"/>
    <n v="6"/>
    <m/>
    <n v="1"/>
    <n v="3"/>
    <n v="3"/>
    <n v="2"/>
    <n v="1994"/>
    <n v="3"/>
    <m/>
    <n v="3"/>
    <m/>
    <n v="2"/>
    <m/>
    <n v="2"/>
    <m/>
    <n v="4"/>
    <n v="1"/>
    <n v="19"/>
    <x v="1"/>
    <n v="2"/>
    <n v="4"/>
    <n v="2"/>
  </r>
  <r>
    <x v="4"/>
    <n v="8"/>
    <n v="4"/>
    <n v="2"/>
    <n v="1"/>
    <m/>
    <m/>
    <n v="1"/>
    <n v="1"/>
    <n v="1"/>
    <n v="1"/>
    <n v="1"/>
    <n v="1"/>
    <n v="1"/>
    <n v="2"/>
    <n v="3"/>
    <n v="2"/>
    <m/>
    <n v="2"/>
    <m/>
    <m/>
    <m/>
    <n v="3"/>
    <n v="2"/>
    <n v="2"/>
    <n v="1"/>
    <n v="1983"/>
    <n v="2"/>
    <m/>
    <n v="2"/>
    <m/>
    <n v="1"/>
    <m/>
    <n v="3"/>
    <m/>
    <n v="1"/>
    <n v="1"/>
    <n v="30"/>
    <x v="1"/>
    <n v="2"/>
    <n v="4"/>
    <n v="2"/>
  </r>
  <r>
    <x v="3"/>
    <n v="8"/>
    <n v="2"/>
    <n v="1"/>
    <m/>
    <m/>
    <m/>
    <n v="2"/>
    <n v="1"/>
    <n v="2"/>
    <n v="2"/>
    <n v="1"/>
    <n v="2"/>
    <n v="1"/>
    <n v="1"/>
    <n v="2"/>
    <n v="2"/>
    <m/>
    <n v="1"/>
    <n v="1"/>
    <n v="1"/>
    <m/>
    <n v="8"/>
    <n v="3"/>
    <n v="5"/>
    <n v="1"/>
    <n v="1975"/>
    <n v="3"/>
    <m/>
    <n v="2"/>
    <m/>
    <n v="4"/>
    <m/>
    <n v="2"/>
    <m/>
    <n v="3"/>
    <n v="1"/>
    <n v="38"/>
    <x v="1"/>
    <n v="2"/>
    <n v="2"/>
    <n v="1"/>
  </r>
  <r>
    <x v="2"/>
    <n v="8"/>
    <n v="3"/>
    <n v="3"/>
    <n v="3"/>
    <m/>
    <m/>
    <n v="2"/>
    <n v="2"/>
    <n v="2"/>
    <n v="2"/>
    <n v="2"/>
    <n v="2"/>
    <n v="1"/>
    <n v="1"/>
    <n v="2"/>
    <n v="3"/>
    <m/>
    <n v="1"/>
    <n v="2"/>
    <n v="5"/>
    <m/>
    <n v="2"/>
    <n v="2"/>
    <n v="5"/>
    <n v="1"/>
    <n v="1979"/>
    <n v="3"/>
    <m/>
    <n v="1"/>
    <m/>
    <n v="1"/>
    <m/>
    <n v="1"/>
    <m/>
    <n v="2"/>
    <n v="1"/>
    <n v="34"/>
    <x v="1"/>
    <n v="1"/>
    <n v="1"/>
    <n v="1"/>
  </r>
  <r>
    <x v="5"/>
    <n v="3"/>
    <n v="8"/>
    <n v="1"/>
    <m/>
    <m/>
    <m/>
    <n v="2"/>
    <n v="2"/>
    <n v="2"/>
    <n v="2"/>
    <n v="2"/>
    <n v="2"/>
    <n v="2"/>
    <n v="2"/>
    <n v="3"/>
    <n v="5"/>
    <m/>
    <n v="2"/>
    <m/>
    <m/>
    <m/>
    <n v="1"/>
    <n v="1"/>
    <n v="5"/>
    <n v="1"/>
    <n v="1957"/>
    <n v="3"/>
    <m/>
    <n v="1"/>
    <m/>
    <n v="3"/>
    <m/>
    <n v="4"/>
    <m/>
    <n v="3"/>
    <n v="1"/>
    <n v="56"/>
    <x v="2"/>
    <n v="1"/>
    <n v="1"/>
    <n v="1"/>
  </r>
  <r>
    <x v="3"/>
    <n v="2"/>
    <n v="2"/>
    <n v="4"/>
    <n v="4"/>
    <m/>
    <m/>
    <n v="1"/>
    <n v="1"/>
    <n v="1"/>
    <n v="2"/>
    <n v="2"/>
    <n v="1"/>
    <n v="2"/>
    <n v="2"/>
    <n v="3"/>
    <n v="98"/>
    <m/>
    <n v="1"/>
    <n v="4"/>
    <n v="4"/>
    <m/>
    <n v="2"/>
    <n v="3"/>
    <m/>
    <n v="2"/>
    <n v="1946"/>
    <n v="2"/>
    <m/>
    <n v="5"/>
    <m/>
    <n v="2"/>
    <m/>
    <n v="2"/>
    <m/>
    <n v="2"/>
    <n v="1"/>
    <n v="67"/>
    <x v="3"/>
    <n v="2"/>
    <n v="4"/>
    <n v="3"/>
  </r>
  <r>
    <x v="4"/>
    <n v="1"/>
    <n v="1"/>
    <n v="1"/>
    <m/>
    <m/>
    <m/>
    <n v="1"/>
    <n v="2"/>
    <n v="1"/>
    <n v="1"/>
    <n v="1"/>
    <n v="1"/>
    <n v="1"/>
    <n v="1"/>
    <n v="2"/>
    <n v="1"/>
    <m/>
    <n v="1"/>
    <n v="2"/>
    <n v="98"/>
    <m/>
    <n v="3"/>
    <n v="2"/>
    <n v="1"/>
    <n v="1"/>
    <n v="1947"/>
    <n v="1"/>
    <m/>
    <n v="6"/>
    <m/>
    <n v="4"/>
    <m/>
    <n v="1"/>
    <m/>
    <n v="2"/>
    <n v="1"/>
    <n v="66"/>
    <x v="3"/>
    <n v="2"/>
    <n v="3"/>
    <n v="2"/>
  </r>
  <r>
    <x v="3"/>
    <n v="3"/>
    <n v="3"/>
    <n v="2"/>
    <n v="3"/>
    <m/>
    <m/>
    <n v="2"/>
    <n v="1"/>
    <n v="1"/>
    <n v="1"/>
    <n v="2"/>
    <n v="2"/>
    <n v="2"/>
    <n v="2"/>
    <n v="4"/>
    <m/>
    <m/>
    <n v="2"/>
    <m/>
    <m/>
    <m/>
    <n v="5"/>
    <n v="4"/>
    <n v="3"/>
    <n v="2"/>
    <n v="1984"/>
    <n v="3"/>
    <m/>
    <n v="4"/>
    <m/>
    <n v="6"/>
    <m/>
    <n v="3"/>
    <m/>
    <n v="1"/>
    <n v="1"/>
    <n v="29"/>
    <x v="1"/>
    <n v="2"/>
    <n v="4"/>
    <n v="2"/>
  </r>
  <r>
    <x v="2"/>
    <n v="2"/>
    <n v="8"/>
    <n v="3"/>
    <n v="2"/>
    <m/>
    <m/>
    <n v="1"/>
    <n v="2"/>
    <n v="2"/>
    <n v="2"/>
    <n v="2"/>
    <n v="2"/>
    <n v="1"/>
    <n v="1"/>
    <n v="1"/>
    <n v="8"/>
    <m/>
    <n v="2"/>
    <m/>
    <m/>
    <m/>
    <n v="3"/>
    <n v="3"/>
    <n v="1"/>
    <n v="1"/>
    <n v="1989"/>
    <n v="2"/>
    <m/>
    <n v="7"/>
    <m/>
    <n v="4"/>
    <m/>
    <n v="2"/>
    <m/>
    <n v="2"/>
    <n v="1"/>
    <n v="24"/>
    <x v="1"/>
    <n v="2"/>
    <n v="2"/>
    <n v="2"/>
  </r>
  <r>
    <x v="6"/>
    <m/>
    <m/>
    <m/>
    <m/>
    <m/>
    <m/>
    <m/>
    <m/>
    <m/>
    <m/>
    <m/>
    <m/>
    <m/>
    <m/>
    <m/>
    <m/>
    <m/>
    <m/>
    <m/>
    <m/>
    <m/>
    <m/>
    <m/>
    <m/>
    <n v="2"/>
    <n v="1990"/>
    <m/>
    <m/>
    <m/>
    <m/>
    <m/>
    <m/>
    <m/>
    <m/>
    <m/>
    <n v="1"/>
    <n v="23"/>
    <x v="1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m/>
    <m/>
    <n v="2"/>
    <n v="1987"/>
    <m/>
    <m/>
    <m/>
    <m/>
    <m/>
    <m/>
    <m/>
    <m/>
    <m/>
    <n v="1"/>
    <n v="26"/>
    <x v="1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m/>
    <m/>
    <n v="2"/>
    <n v="1990"/>
    <m/>
    <m/>
    <m/>
    <m/>
    <m/>
    <m/>
    <m/>
    <m/>
    <m/>
    <n v="1"/>
    <n v="23"/>
    <x v="1"/>
    <n v="2"/>
    <n v="3"/>
    <n v="3"/>
  </r>
  <r>
    <x v="6"/>
    <m/>
    <m/>
    <m/>
    <m/>
    <m/>
    <m/>
    <m/>
    <m/>
    <m/>
    <m/>
    <m/>
    <m/>
    <m/>
    <m/>
    <m/>
    <m/>
    <m/>
    <m/>
    <m/>
    <m/>
    <m/>
    <m/>
    <m/>
    <m/>
    <n v="2"/>
    <n v="1981"/>
    <m/>
    <m/>
    <m/>
    <m/>
    <m/>
    <m/>
    <m/>
    <m/>
    <m/>
    <n v="1"/>
    <n v="32"/>
    <x v="1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m/>
    <m/>
    <n v="2"/>
    <n v="1970"/>
    <m/>
    <m/>
    <m/>
    <m/>
    <m/>
    <m/>
    <m/>
    <m/>
    <m/>
    <n v="1"/>
    <n v="43"/>
    <x v="2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</pivotCacheRecords>
</file>

<file path=xl/pivotCache/pivotCacheRecords57.xml><?xml version="1.0" encoding="utf-8"?>
<pivotCacheRecords xmlns="http://schemas.openxmlformats.org/spreadsheetml/2006/main" xmlns:r="http://schemas.openxmlformats.org/officeDocument/2006/relationships" count="601">
  <r>
    <x v="0"/>
    <s v="De façon plus spécifique, quel est votre niveau de satisfaction à l'égard du travail effectué par les policiers : pour régler des problèmes de délinquance ou de désordres qui surviennent dans votre quartier"/>
    <s v="Au cours des deux dernières années, combien de fois avez-vous fait appel au service de police qui dessert votre quartier ?"/>
    <s v="En vous référant à l'événement le plus récent, quel est votre niveau de satisfaction à l'égard de la réponse que vous avez reçue ?"/>
    <s v="Pourquoi ? Peu"/>
    <s v="Pourquoi ? Pas"/>
    <s v="Au cours des deux dernières années, vous êtes vous IMPLIQUÉ SUR UNE BASE RÉGULIÈRE dans les activités suivantes de votre quartier : Dans un comité ou un organisme préoccupé par les problèmes de sécurité de votre quartier ?"/>
    <s v="Au cours des deux dernières années, vous êtes vous IMPLIQUÉ SUR UNE BASE RÉGULIÈRE dans les activités suivantes de votre quartier : Dans des assemblées du conseil municipal ?"/>
    <s v="Au cours des deux dernières années, vous êtes vous IMPLIQUÉ SUR UNE BASE RÉGULIÈRE dans les activités suivantes de votre quartier : Dans un conseil de quartier ou d'arrondissement ?"/>
    <s v="Au cours des deux dernières années, vous êtes vous IMPLIQUÉ SUR UNE BASE RÉGULIÈRE dans les activités suivantes de votre quartier : Dans un comité de citoyens ?"/>
    <s v="Au cours des deux dernières années, vous êtes vous IMPLIQUÉ SUR UNE BASE RÉGULIÈRE dans les activités suivantes de votre quartier : Dans des activités communautaires, d'entraide ou de bénévolat (cuisine communautaire, bazar)"/>
    <s v="Au cours des deux dernières années, vous êtes vous IMPLIQUÉ SUR UNE BASE RÉGULIÈRE dans les activités suivantes de votre quartier : Dans des activités sociales, culturelles ou sportives organisées par les gens de votre quartier ou de votre municipalité ?"/>
    <s v="Au cours des deux dernières années, avez-vous été victime de vol, de vandalisme ou de tout autre crime contre vos biens, chez vous ou dans votre quartier ?"/>
    <s v="Au cours des deux dernières années, avez-vous été victime d'une agression, d'intimidation ou de tout autre acte de violence, chez vous ou dans votre quartier ?"/>
    <s v="Au cours des deux dernières années avez-vous été victime dans votre quartier d'une quelconque forme de discrimination ?"/>
    <s v="À votre avis, le motif de cette discrimination était lié …"/>
    <s v="Autre, précisez :"/>
    <s v="Au cours des deux dernières années, avez-vous subi un accident qui vous a occasionné une blessure pour laquelle vous avez dû consulter un professionnel de la santé ou limiter vos activités ?"/>
    <s v="Combien de fois cela s'est-il produit ?"/>
    <s v="En se référant au dernier événement, était-ce … ?"/>
    <s v="Autre, précisez :"/>
    <s v="Maintenant, comparativement à d'autres personnes de votre âge, dirirez-vous que votre santé est en général …"/>
    <s v="Dans quel quartier habitez-vous ?"/>
    <s v="Combien de personne de moins de 18 ans habitent dans votre foyer ?"/>
    <x v="0"/>
    <s v="Quelle est votre année de naissance ?"/>
    <s v="Êtes-vous propriétaire ou locataire du logement que vous habitez ?"/>
    <s v="Autre, précisez : "/>
    <s v="Habitez-vous dans …"/>
    <s v="Autre, précisez : "/>
    <s v="Quel est votre état civil ?"/>
    <s v="Autre, précisez : "/>
    <s v="Où est situé votre lieu de travail habituel ?"/>
    <s v="Autre, précisez : "/>
    <s v="Quel est le plus haut niveau de scolarité que vous avez complété ?"/>
    <m/>
    <m/>
    <m/>
    <m/>
    <m/>
    <m/>
  </r>
  <r>
    <x v="1"/>
    <n v="2"/>
    <n v="1"/>
    <m/>
    <m/>
    <m/>
    <n v="1"/>
    <n v="2"/>
    <n v="1"/>
    <n v="2"/>
    <n v="2"/>
    <n v="1"/>
    <n v="1"/>
    <n v="2"/>
    <n v="1"/>
    <n v="2"/>
    <m/>
    <n v="1"/>
    <n v="4"/>
    <n v="5"/>
    <m/>
    <n v="2"/>
    <n v="4"/>
    <n v="5"/>
    <x v="1"/>
    <n v="1981"/>
    <n v="2"/>
    <m/>
    <n v="7"/>
    <m/>
    <n v="1"/>
    <m/>
    <n v="1"/>
    <m/>
    <n v="4"/>
    <n v="1"/>
    <n v="32"/>
    <n v="1"/>
    <n v="1"/>
    <n v="1"/>
    <n v="1"/>
  </r>
  <r>
    <x v="2"/>
    <n v="1"/>
    <n v="2"/>
    <n v="1"/>
    <m/>
    <m/>
    <n v="2"/>
    <n v="1"/>
    <n v="1"/>
    <n v="2"/>
    <n v="2"/>
    <n v="1"/>
    <n v="2"/>
    <n v="1"/>
    <n v="2"/>
    <n v="1"/>
    <m/>
    <n v="2"/>
    <m/>
    <m/>
    <m/>
    <n v="4"/>
    <n v="1"/>
    <n v="2"/>
    <x v="2"/>
    <n v="1970"/>
    <n v="1"/>
    <m/>
    <n v="5"/>
    <m/>
    <n v="2"/>
    <m/>
    <n v="2"/>
    <m/>
    <n v="1"/>
    <n v="1"/>
    <n v="43"/>
    <n v="2"/>
    <n v="2"/>
    <n v="3"/>
    <n v="2"/>
  </r>
  <r>
    <x v="3"/>
    <n v="4"/>
    <n v="3"/>
    <n v="3"/>
    <m/>
    <m/>
    <n v="2"/>
    <n v="1"/>
    <n v="2"/>
    <n v="2"/>
    <n v="2"/>
    <n v="2"/>
    <n v="2"/>
    <n v="1"/>
    <n v="3"/>
    <n v="3"/>
    <m/>
    <n v="1"/>
    <n v="2"/>
    <n v="8"/>
    <m/>
    <n v="5"/>
    <n v="4"/>
    <n v="4"/>
    <x v="2"/>
    <n v="1990"/>
    <n v="3"/>
    <m/>
    <n v="4"/>
    <m/>
    <n v="4"/>
    <m/>
    <n v="3"/>
    <m/>
    <n v="2"/>
    <n v="1"/>
    <n v="23"/>
    <n v="1"/>
    <n v="2"/>
    <n v="4"/>
    <n v="2"/>
  </r>
  <r>
    <x v="1"/>
    <n v="2"/>
    <n v="4"/>
    <n v="2"/>
    <m/>
    <m/>
    <n v="2"/>
    <n v="1"/>
    <n v="2"/>
    <n v="2"/>
    <n v="1"/>
    <n v="2"/>
    <n v="2"/>
    <n v="2"/>
    <n v="4"/>
    <m/>
    <m/>
    <n v="1"/>
    <n v="2"/>
    <n v="7"/>
    <m/>
    <n v="1"/>
    <n v="2"/>
    <n v="1"/>
    <x v="2"/>
    <n v="1983"/>
    <n v="1"/>
    <m/>
    <n v="1"/>
    <m/>
    <n v="1"/>
    <m/>
    <n v="4"/>
    <m/>
    <n v="3"/>
    <n v="1"/>
    <n v="30"/>
    <n v="1"/>
    <n v="2"/>
    <n v="3"/>
    <n v="2"/>
  </r>
  <r>
    <x v="4"/>
    <n v="3"/>
    <n v="2"/>
    <n v="4"/>
    <m/>
    <m/>
    <n v="1"/>
    <n v="2"/>
    <n v="2"/>
    <n v="1"/>
    <n v="1"/>
    <n v="2"/>
    <n v="2"/>
    <n v="1"/>
    <n v="1"/>
    <n v="6"/>
    <m/>
    <n v="2"/>
    <m/>
    <m/>
    <m/>
    <n v="3"/>
    <n v="3"/>
    <m/>
    <x v="2"/>
    <n v="1967"/>
    <n v="1"/>
    <m/>
    <n v="2"/>
    <m/>
    <n v="3"/>
    <m/>
    <n v="4"/>
    <m/>
    <n v="2"/>
    <n v="1"/>
    <n v="46"/>
    <n v="2"/>
    <n v="3"/>
    <n v="5"/>
    <n v="3"/>
  </r>
  <r>
    <x v="2"/>
    <n v="2"/>
    <n v="1"/>
    <m/>
    <m/>
    <m/>
    <n v="1"/>
    <n v="2"/>
    <n v="1"/>
    <n v="1"/>
    <n v="2"/>
    <n v="1"/>
    <n v="1"/>
    <n v="2"/>
    <n v="4"/>
    <m/>
    <m/>
    <n v="2"/>
    <m/>
    <m/>
    <m/>
    <n v="2"/>
    <n v="2"/>
    <n v="1"/>
    <x v="2"/>
    <n v="1962"/>
    <n v="2"/>
    <m/>
    <n v="3"/>
    <m/>
    <n v="3"/>
    <m/>
    <n v="1"/>
    <m/>
    <n v="1"/>
    <n v="1"/>
    <n v="51"/>
    <n v="2"/>
    <n v="2"/>
    <n v="2"/>
    <n v="2"/>
  </r>
  <r>
    <x v="5"/>
    <n v="1"/>
    <n v="3"/>
    <n v="2"/>
    <m/>
    <m/>
    <n v="1"/>
    <n v="2"/>
    <n v="1"/>
    <n v="1"/>
    <n v="1"/>
    <n v="1"/>
    <n v="1"/>
    <n v="1"/>
    <n v="1"/>
    <n v="7"/>
    <m/>
    <n v="1"/>
    <n v="2"/>
    <n v="6"/>
    <m/>
    <n v="1"/>
    <n v="3"/>
    <n v="3"/>
    <x v="2"/>
    <n v="1994"/>
    <n v="3"/>
    <m/>
    <n v="3"/>
    <m/>
    <n v="2"/>
    <m/>
    <n v="2"/>
    <m/>
    <n v="4"/>
    <n v="1"/>
    <n v="19"/>
    <n v="1"/>
    <n v="2"/>
    <n v="4"/>
    <n v="2"/>
  </r>
  <r>
    <x v="5"/>
    <n v="4"/>
    <n v="2"/>
    <n v="1"/>
    <m/>
    <m/>
    <n v="1"/>
    <n v="1"/>
    <n v="1"/>
    <n v="1"/>
    <n v="1"/>
    <n v="1"/>
    <n v="1"/>
    <n v="2"/>
    <n v="3"/>
    <n v="2"/>
    <m/>
    <n v="2"/>
    <m/>
    <m/>
    <m/>
    <n v="3"/>
    <n v="2"/>
    <n v="2"/>
    <x v="1"/>
    <n v="1983"/>
    <n v="2"/>
    <m/>
    <n v="2"/>
    <m/>
    <n v="1"/>
    <m/>
    <n v="3"/>
    <m/>
    <n v="1"/>
    <n v="1"/>
    <n v="30"/>
    <n v="1"/>
    <n v="2"/>
    <n v="4"/>
    <n v="2"/>
  </r>
  <r>
    <x v="5"/>
    <n v="2"/>
    <n v="1"/>
    <m/>
    <m/>
    <m/>
    <n v="2"/>
    <n v="1"/>
    <n v="2"/>
    <n v="2"/>
    <n v="1"/>
    <n v="2"/>
    <n v="1"/>
    <n v="1"/>
    <n v="2"/>
    <n v="2"/>
    <m/>
    <n v="1"/>
    <n v="1"/>
    <n v="1"/>
    <m/>
    <n v="8"/>
    <n v="3"/>
    <n v="5"/>
    <x v="1"/>
    <n v="1975"/>
    <n v="3"/>
    <m/>
    <n v="2"/>
    <m/>
    <n v="4"/>
    <m/>
    <n v="2"/>
    <m/>
    <n v="3"/>
    <n v="1"/>
    <n v="38"/>
    <n v="1"/>
    <n v="2"/>
    <n v="2"/>
    <n v="1"/>
  </r>
  <r>
    <x v="5"/>
    <n v="3"/>
    <n v="3"/>
    <n v="3"/>
    <m/>
    <m/>
    <n v="2"/>
    <n v="2"/>
    <n v="2"/>
    <n v="2"/>
    <n v="2"/>
    <n v="2"/>
    <n v="1"/>
    <n v="1"/>
    <n v="2"/>
    <n v="3"/>
    <m/>
    <n v="1"/>
    <n v="2"/>
    <n v="5"/>
    <m/>
    <n v="2"/>
    <n v="2"/>
    <n v="5"/>
    <x v="1"/>
    <n v="1979"/>
    <n v="3"/>
    <m/>
    <n v="1"/>
    <m/>
    <n v="1"/>
    <m/>
    <n v="1"/>
    <m/>
    <n v="2"/>
    <n v="1"/>
    <n v="34"/>
    <n v="1"/>
    <n v="1"/>
    <n v="1"/>
    <n v="1"/>
  </r>
  <r>
    <x v="3"/>
    <n v="8"/>
    <n v="1"/>
    <m/>
    <m/>
    <m/>
    <n v="2"/>
    <n v="2"/>
    <n v="2"/>
    <n v="2"/>
    <n v="2"/>
    <n v="2"/>
    <n v="2"/>
    <n v="2"/>
    <n v="3"/>
    <n v="5"/>
    <m/>
    <n v="2"/>
    <m/>
    <m/>
    <m/>
    <n v="1"/>
    <n v="1"/>
    <n v="5"/>
    <x v="1"/>
    <n v="1957"/>
    <n v="3"/>
    <m/>
    <n v="1"/>
    <m/>
    <n v="3"/>
    <m/>
    <n v="4"/>
    <m/>
    <n v="3"/>
    <n v="1"/>
    <n v="56"/>
    <n v="2"/>
    <n v="1"/>
    <n v="1"/>
    <n v="1"/>
  </r>
  <r>
    <x v="1"/>
    <n v="2"/>
    <n v="4"/>
    <n v="4"/>
    <m/>
    <m/>
    <n v="1"/>
    <n v="1"/>
    <n v="1"/>
    <n v="2"/>
    <n v="2"/>
    <n v="1"/>
    <n v="2"/>
    <n v="2"/>
    <n v="3"/>
    <n v="98"/>
    <m/>
    <n v="1"/>
    <n v="4"/>
    <n v="4"/>
    <m/>
    <n v="2"/>
    <n v="3"/>
    <m/>
    <x v="2"/>
    <n v="1946"/>
    <n v="2"/>
    <m/>
    <n v="5"/>
    <m/>
    <n v="2"/>
    <m/>
    <n v="2"/>
    <m/>
    <n v="2"/>
    <n v="1"/>
    <n v="67"/>
    <n v="3"/>
    <n v="2"/>
    <n v="4"/>
    <n v="3"/>
  </r>
  <r>
    <x v="4"/>
    <n v="1"/>
    <n v="1"/>
    <m/>
    <m/>
    <m/>
    <n v="1"/>
    <n v="2"/>
    <n v="1"/>
    <n v="1"/>
    <n v="1"/>
    <n v="1"/>
    <n v="1"/>
    <n v="1"/>
    <n v="2"/>
    <n v="1"/>
    <m/>
    <n v="1"/>
    <n v="2"/>
    <n v="98"/>
    <m/>
    <n v="3"/>
    <n v="2"/>
    <n v="1"/>
    <x v="1"/>
    <n v="1947"/>
    <n v="1"/>
    <m/>
    <n v="6"/>
    <m/>
    <n v="4"/>
    <m/>
    <n v="1"/>
    <m/>
    <n v="2"/>
    <n v="1"/>
    <n v="66"/>
    <n v="3"/>
    <n v="2"/>
    <n v="3"/>
    <n v="2"/>
  </r>
  <r>
    <x v="3"/>
    <n v="3"/>
    <n v="2"/>
    <n v="3"/>
    <m/>
    <m/>
    <n v="2"/>
    <n v="1"/>
    <n v="1"/>
    <n v="1"/>
    <n v="2"/>
    <n v="2"/>
    <n v="2"/>
    <n v="2"/>
    <n v="4"/>
    <m/>
    <m/>
    <n v="2"/>
    <m/>
    <m/>
    <m/>
    <n v="5"/>
    <n v="4"/>
    <n v="3"/>
    <x v="2"/>
    <n v="1984"/>
    <n v="3"/>
    <m/>
    <n v="4"/>
    <m/>
    <n v="6"/>
    <m/>
    <n v="3"/>
    <m/>
    <n v="1"/>
    <n v="1"/>
    <n v="29"/>
    <n v="1"/>
    <n v="2"/>
    <n v="4"/>
    <n v="2"/>
  </r>
  <r>
    <x v="1"/>
    <n v="8"/>
    <n v="3"/>
    <n v="2"/>
    <m/>
    <m/>
    <n v="1"/>
    <n v="2"/>
    <n v="2"/>
    <n v="2"/>
    <n v="2"/>
    <n v="2"/>
    <n v="1"/>
    <n v="1"/>
    <n v="1"/>
    <n v="8"/>
    <m/>
    <n v="2"/>
    <m/>
    <m/>
    <m/>
    <n v="3"/>
    <n v="3"/>
    <n v="1"/>
    <x v="1"/>
    <n v="1989"/>
    <n v="2"/>
    <m/>
    <n v="7"/>
    <m/>
    <n v="4"/>
    <m/>
    <n v="2"/>
    <m/>
    <n v="2"/>
    <n v="1"/>
    <n v="24"/>
    <n v="1"/>
    <n v="2"/>
    <n v="2"/>
    <n v="2"/>
  </r>
  <r>
    <x v="6"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n v="1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m/>
    <x v="2"/>
    <n v="1987"/>
    <m/>
    <m/>
    <m/>
    <m/>
    <m/>
    <m/>
    <m/>
    <m/>
    <m/>
    <n v="1"/>
    <n v="26"/>
    <n v="1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n v="1"/>
    <n v="2"/>
    <n v="3"/>
    <n v="3"/>
  </r>
  <r>
    <x v="6"/>
    <m/>
    <m/>
    <m/>
    <m/>
    <m/>
    <m/>
    <m/>
    <m/>
    <m/>
    <m/>
    <m/>
    <m/>
    <m/>
    <m/>
    <m/>
    <m/>
    <m/>
    <m/>
    <m/>
    <m/>
    <m/>
    <m/>
    <m/>
    <x v="2"/>
    <n v="1981"/>
    <m/>
    <m/>
    <m/>
    <m/>
    <m/>
    <m/>
    <m/>
    <m/>
    <m/>
    <n v="1"/>
    <n v="32"/>
    <n v="1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m/>
    <x v="2"/>
    <n v="1970"/>
    <m/>
    <m/>
    <m/>
    <m/>
    <m/>
    <m/>
    <m/>
    <m/>
    <m/>
    <n v="1"/>
    <n v="43"/>
    <n v="2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n v="4"/>
    <n v="3"/>
    <n v="5"/>
    <n v="3"/>
  </r>
</pivotCacheRecords>
</file>

<file path=xl/pivotCache/pivotCacheRecords58.xml><?xml version="1.0" encoding="utf-8"?>
<pivotCacheRecords xmlns="http://schemas.openxmlformats.org/spreadsheetml/2006/main" xmlns:r="http://schemas.openxmlformats.org/officeDocument/2006/relationships" count="632">
  <r>
    <x v="0"/>
    <s v="De façon plus spécifique, quel est votre niveau de satisfaction à l'égard du travail effectué par les policiers : pour régler des problèmes de délinquance ou de désordres qui surviennent dans votre quartier"/>
    <s v="Au cours des deux dernières années, combien de fois avez-vous fait appel au service de police qui dessert votre quartier ?"/>
    <s v="En vous référant à l'événement le plus récent, quel est votre niveau de satisfaction à l'égard de la réponse que vous avez reçue ?"/>
    <s v="Pourquoi ? Peu"/>
    <s v="Pourquoi ? Pas"/>
    <s v="Au cours des deux dernières années, vous êtes vous IMPLIQUÉ SUR UNE BASE RÉGULIÈRE dans les activités suivantes de votre quartier : Dans un comité ou un organisme préoccupé par les problèmes de sécurité de votre quartier ?"/>
    <s v="Au cours des deux dernières années, vous êtes vous IMPLIQUÉ SUR UNE BASE RÉGULIÈRE dans les activités suivantes de votre quartier : Dans des assemblées du conseil municipal ?"/>
    <s v="Au cours des deux dernières années, vous êtes vous IMPLIQUÉ SUR UNE BASE RÉGULIÈRE dans les activités suivantes de votre quartier : Dans un conseil de quartier ou d'arrondissement ?"/>
    <s v="Au cours des deux dernières années, vous êtes vous IMPLIQUÉ SUR UNE BASE RÉGULIÈRE dans les activités suivantes de votre quartier : Dans un comité de citoyens ?"/>
    <s v="Au cours des deux dernières années, vous êtes vous IMPLIQUÉ SUR UNE BASE RÉGULIÈRE dans les activités suivantes de votre quartier : Dans des activités communautaires, d'entraide ou de bénévolat (cuisine communautaire, bazar)"/>
    <s v="Au cours des deux dernières années, vous êtes vous IMPLIQUÉ SUR UNE BASE RÉGULIÈRE dans les activités suivantes de votre quartier : Dans des activités sociales, culturelles ou sportives organisées par les gens de votre quartier ou de votre municipalité ?"/>
    <s v="Au cours des deux dernières années, avez-vous été victime de vol, de vandalisme ou de tout autre crime contre vos biens, chez vous ou dans votre quartier ?"/>
    <s v="Au cours des deux dernières années, avez-vous été victime d'une agression, d'intimidation ou de tout autre acte de violence, chez vous ou dans votre quartier ?"/>
    <s v="Au cours des deux dernières années avez-vous été victime dans votre quartier d'une quelconque forme de discrimination ?"/>
    <s v="À votre avis, le motif de cette discrimination était lié …"/>
    <s v="Autre, précisez :"/>
    <s v="Au cours des deux dernières années, avez-vous subi un accident qui vous a occasionné une blessure pour laquelle vous avez dû consulter un professionnel de la santé ou limiter vos activités ?"/>
    <s v="Combien de fois cela s'est-il produit ?"/>
    <s v="En se référant au dernier événement, était-ce … ?"/>
    <s v="Autre, précisez :"/>
    <s v="Maintenant, comparativement à d'autres personnes de votre âge, dirirez-vous que votre santé est en général …"/>
    <s v="Dans quel quartier habitez-vous ?"/>
    <s v="Combien de personne de moins de 18 ans habitent dans votre foyer ?"/>
    <s v="Êtes-vous :"/>
    <s v="Quelle est votre année de naissance ?"/>
    <s v="Êtes-vous propriétaire ou locataire du logement que vous habitez ?"/>
    <s v="Autre, précisez : "/>
    <s v="Habitez-vous dans …"/>
    <s v="Autre, précisez : "/>
    <s v="Quel est votre état civil ?"/>
    <s v="Autre, précisez : "/>
    <s v="Où est situé votre lieu de travail habituel ?"/>
    <s v="Autre, précisez : "/>
    <s v="Quel est le plus haut niveau de scolarité que vous avez complété ?"/>
    <m/>
    <m/>
    <x v="0"/>
    <m/>
    <m/>
    <m/>
  </r>
  <r>
    <x v="1"/>
    <n v="2"/>
    <n v="1"/>
    <m/>
    <m/>
    <m/>
    <n v="1"/>
    <n v="2"/>
    <n v="1"/>
    <n v="2"/>
    <n v="2"/>
    <n v="1"/>
    <n v="1"/>
    <n v="2"/>
    <n v="1"/>
    <n v="2"/>
    <m/>
    <n v="1"/>
    <n v="4"/>
    <n v="5"/>
    <m/>
    <n v="2"/>
    <n v="4"/>
    <n v="5"/>
    <n v="1"/>
    <n v="1981"/>
    <n v="2"/>
    <m/>
    <n v="7"/>
    <m/>
    <n v="1"/>
    <m/>
    <n v="1"/>
    <m/>
    <n v="4"/>
    <n v="1"/>
    <n v="32"/>
    <x v="1"/>
    <n v="1"/>
    <n v="1"/>
    <n v="1"/>
  </r>
  <r>
    <x v="2"/>
    <n v="1"/>
    <n v="2"/>
    <n v="1"/>
    <m/>
    <m/>
    <n v="2"/>
    <n v="1"/>
    <n v="1"/>
    <n v="2"/>
    <n v="2"/>
    <n v="1"/>
    <n v="2"/>
    <n v="1"/>
    <n v="2"/>
    <n v="1"/>
    <m/>
    <n v="2"/>
    <m/>
    <m/>
    <m/>
    <n v="4"/>
    <n v="1"/>
    <n v="2"/>
    <n v="2"/>
    <n v="1970"/>
    <n v="1"/>
    <m/>
    <n v="5"/>
    <m/>
    <n v="2"/>
    <m/>
    <n v="2"/>
    <m/>
    <n v="1"/>
    <n v="1"/>
    <n v="43"/>
    <x v="2"/>
    <n v="2"/>
    <n v="3"/>
    <n v="2"/>
  </r>
  <r>
    <x v="3"/>
    <n v="4"/>
    <n v="3"/>
    <n v="3"/>
    <m/>
    <m/>
    <n v="2"/>
    <n v="1"/>
    <n v="2"/>
    <n v="2"/>
    <n v="2"/>
    <n v="2"/>
    <n v="2"/>
    <n v="1"/>
    <n v="3"/>
    <n v="3"/>
    <m/>
    <n v="1"/>
    <n v="2"/>
    <n v="8"/>
    <m/>
    <n v="5"/>
    <n v="4"/>
    <n v="4"/>
    <n v="2"/>
    <n v="1990"/>
    <n v="3"/>
    <m/>
    <n v="4"/>
    <m/>
    <n v="4"/>
    <m/>
    <n v="3"/>
    <m/>
    <n v="2"/>
    <n v="1"/>
    <n v="23"/>
    <x v="1"/>
    <n v="2"/>
    <n v="4"/>
    <n v="2"/>
  </r>
  <r>
    <x v="1"/>
    <n v="2"/>
    <n v="4"/>
    <n v="2"/>
    <m/>
    <m/>
    <n v="2"/>
    <n v="1"/>
    <n v="2"/>
    <n v="2"/>
    <n v="1"/>
    <n v="2"/>
    <n v="2"/>
    <n v="2"/>
    <n v="4"/>
    <m/>
    <m/>
    <n v="1"/>
    <n v="2"/>
    <n v="7"/>
    <m/>
    <n v="1"/>
    <n v="2"/>
    <n v="1"/>
    <n v="2"/>
    <n v="1983"/>
    <n v="1"/>
    <m/>
    <n v="1"/>
    <m/>
    <n v="1"/>
    <m/>
    <n v="4"/>
    <m/>
    <n v="3"/>
    <n v="1"/>
    <n v="30"/>
    <x v="1"/>
    <n v="2"/>
    <n v="3"/>
    <n v="2"/>
  </r>
  <r>
    <x v="4"/>
    <n v="3"/>
    <n v="2"/>
    <n v="4"/>
    <m/>
    <m/>
    <n v="1"/>
    <n v="2"/>
    <n v="2"/>
    <n v="1"/>
    <n v="1"/>
    <n v="2"/>
    <n v="2"/>
    <n v="1"/>
    <n v="1"/>
    <n v="6"/>
    <m/>
    <n v="2"/>
    <m/>
    <m/>
    <m/>
    <n v="3"/>
    <n v="3"/>
    <m/>
    <n v="2"/>
    <n v="1967"/>
    <n v="1"/>
    <m/>
    <n v="2"/>
    <m/>
    <n v="3"/>
    <m/>
    <n v="4"/>
    <m/>
    <n v="2"/>
    <n v="1"/>
    <n v="46"/>
    <x v="2"/>
    <n v="3"/>
    <n v="5"/>
    <n v="3"/>
  </r>
  <r>
    <x v="2"/>
    <n v="2"/>
    <n v="1"/>
    <m/>
    <m/>
    <m/>
    <n v="1"/>
    <n v="2"/>
    <n v="1"/>
    <n v="1"/>
    <n v="2"/>
    <n v="1"/>
    <n v="1"/>
    <n v="2"/>
    <n v="4"/>
    <m/>
    <m/>
    <n v="2"/>
    <m/>
    <m/>
    <m/>
    <n v="2"/>
    <n v="2"/>
    <n v="1"/>
    <n v="2"/>
    <n v="1962"/>
    <n v="2"/>
    <m/>
    <n v="3"/>
    <m/>
    <n v="3"/>
    <m/>
    <n v="1"/>
    <m/>
    <n v="1"/>
    <n v="1"/>
    <n v="51"/>
    <x v="2"/>
    <n v="2"/>
    <n v="2"/>
    <n v="2"/>
  </r>
  <r>
    <x v="5"/>
    <n v="1"/>
    <n v="3"/>
    <n v="2"/>
    <m/>
    <m/>
    <n v="1"/>
    <n v="2"/>
    <n v="1"/>
    <n v="1"/>
    <n v="1"/>
    <n v="1"/>
    <n v="1"/>
    <n v="1"/>
    <n v="1"/>
    <n v="7"/>
    <m/>
    <n v="1"/>
    <n v="2"/>
    <n v="6"/>
    <m/>
    <n v="1"/>
    <n v="3"/>
    <n v="3"/>
    <n v="2"/>
    <n v="1994"/>
    <n v="3"/>
    <m/>
    <n v="3"/>
    <m/>
    <n v="2"/>
    <m/>
    <n v="2"/>
    <m/>
    <n v="4"/>
    <n v="1"/>
    <n v="19"/>
    <x v="1"/>
    <n v="2"/>
    <n v="4"/>
    <n v="2"/>
  </r>
  <r>
    <x v="5"/>
    <n v="4"/>
    <n v="2"/>
    <n v="1"/>
    <m/>
    <m/>
    <n v="1"/>
    <n v="1"/>
    <n v="1"/>
    <n v="1"/>
    <n v="1"/>
    <n v="1"/>
    <n v="1"/>
    <n v="2"/>
    <n v="3"/>
    <n v="2"/>
    <m/>
    <n v="2"/>
    <m/>
    <m/>
    <m/>
    <n v="3"/>
    <n v="2"/>
    <n v="2"/>
    <n v="1"/>
    <n v="1983"/>
    <n v="2"/>
    <m/>
    <n v="2"/>
    <m/>
    <n v="1"/>
    <m/>
    <n v="3"/>
    <m/>
    <n v="1"/>
    <n v="1"/>
    <n v="30"/>
    <x v="1"/>
    <n v="2"/>
    <n v="4"/>
    <n v="2"/>
  </r>
  <r>
    <x v="5"/>
    <n v="2"/>
    <n v="1"/>
    <m/>
    <m/>
    <m/>
    <n v="2"/>
    <n v="1"/>
    <n v="2"/>
    <n v="2"/>
    <n v="1"/>
    <n v="2"/>
    <n v="1"/>
    <n v="1"/>
    <n v="2"/>
    <n v="2"/>
    <m/>
    <n v="1"/>
    <n v="1"/>
    <n v="1"/>
    <m/>
    <n v="8"/>
    <n v="3"/>
    <n v="5"/>
    <n v="1"/>
    <n v="1975"/>
    <n v="3"/>
    <m/>
    <n v="2"/>
    <m/>
    <n v="4"/>
    <m/>
    <n v="2"/>
    <m/>
    <n v="3"/>
    <n v="1"/>
    <n v="38"/>
    <x v="1"/>
    <n v="2"/>
    <n v="2"/>
    <n v="1"/>
  </r>
  <r>
    <x v="5"/>
    <n v="3"/>
    <n v="3"/>
    <n v="3"/>
    <m/>
    <m/>
    <n v="2"/>
    <n v="2"/>
    <n v="2"/>
    <n v="2"/>
    <n v="2"/>
    <n v="2"/>
    <n v="1"/>
    <n v="1"/>
    <n v="2"/>
    <n v="3"/>
    <m/>
    <n v="1"/>
    <n v="2"/>
    <n v="5"/>
    <m/>
    <n v="2"/>
    <n v="2"/>
    <n v="5"/>
    <n v="1"/>
    <n v="1979"/>
    <n v="3"/>
    <m/>
    <n v="1"/>
    <m/>
    <n v="1"/>
    <m/>
    <n v="1"/>
    <m/>
    <n v="2"/>
    <n v="1"/>
    <n v="34"/>
    <x v="1"/>
    <n v="1"/>
    <n v="1"/>
    <n v="1"/>
  </r>
  <r>
    <x v="3"/>
    <n v="8"/>
    <n v="1"/>
    <m/>
    <m/>
    <m/>
    <n v="2"/>
    <n v="2"/>
    <n v="2"/>
    <n v="2"/>
    <n v="2"/>
    <n v="2"/>
    <n v="2"/>
    <n v="2"/>
    <n v="3"/>
    <n v="5"/>
    <m/>
    <n v="2"/>
    <m/>
    <m/>
    <m/>
    <n v="1"/>
    <n v="1"/>
    <n v="5"/>
    <n v="1"/>
    <n v="1957"/>
    <n v="3"/>
    <m/>
    <n v="1"/>
    <m/>
    <n v="3"/>
    <m/>
    <n v="4"/>
    <m/>
    <n v="3"/>
    <n v="1"/>
    <n v="56"/>
    <x v="2"/>
    <n v="1"/>
    <n v="1"/>
    <n v="1"/>
  </r>
  <r>
    <x v="1"/>
    <n v="2"/>
    <n v="4"/>
    <n v="4"/>
    <m/>
    <m/>
    <n v="1"/>
    <n v="1"/>
    <n v="1"/>
    <n v="2"/>
    <n v="2"/>
    <n v="1"/>
    <n v="2"/>
    <n v="2"/>
    <n v="3"/>
    <n v="98"/>
    <m/>
    <n v="1"/>
    <n v="4"/>
    <n v="4"/>
    <m/>
    <n v="2"/>
    <n v="3"/>
    <m/>
    <n v="2"/>
    <n v="1946"/>
    <n v="2"/>
    <m/>
    <n v="5"/>
    <m/>
    <n v="2"/>
    <m/>
    <n v="2"/>
    <m/>
    <n v="2"/>
    <n v="1"/>
    <n v="67"/>
    <x v="3"/>
    <n v="2"/>
    <n v="4"/>
    <n v="3"/>
  </r>
  <r>
    <x v="4"/>
    <n v="1"/>
    <n v="1"/>
    <m/>
    <m/>
    <m/>
    <n v="1"/>
    <n v="2"/>
    <n v="1"/>
    <n v="1"/>
    <n v="1"/>
    <n v="1"/>
    <n v="1"/>
    <n v="1"/>
    <n v="2"/>
    <n v="1"/>
    <m/>
    <n v="1"/>
    <n v="2"/>
    <n v="98"/>
    <m/>
    <n v="3"/>
    <n v="2"/>
    <n v="1"/>
    <n v="1"/>
    <n v="1947"/>
    <n v="1"/>
    <m/>
    <n v="6"/>
    <m/>
    <n v="4"/>
    <m/>
    <n v="1"/>
    <m/>
    <n v="2"/>
    <n v="1"/>
    <n v="66"/>
    <x v="3"/>
    <n v="2"/>
    <n v="3"/>
    <n v="2"/>
  </r>
  <r>
    <x v="3"/>
    <n v="3"/>
    <n v="2"/>
    <n v="3"/>
    <m/>
    <m/>
    <n v="2"/>
    <n v="1"/>
    <n v="1"/>
    <n v="1"/>
    <n v="2"/>
    <n v="2"/>
    <n v="2"/>
    <n v="2"/>
    <n v="4"/>
    <m/>
    <m/>
    <n v="2"/>
    <m/>
    <m/>
    <m/>
    <n v="5"/>
    <n v="4"/>
    <n v="3"/>
    <n v="2"/>
    <n v="1984"/>
    <n v="3"/>
    <m/>
    <n v="4"/>
    <m/>
    <n v="6"/>
    <m/>
    <n v="3"/>
    <m/>
    <n v="1"/>
    <n v="1"/>
    <n v="29"/>
    <x v="1"/>
    <n v="2"/>
    <n v="4"/>
    <n v="2"/>
  </r>
  <r>
    <x v="1"/>
    <n v="8"/>
    <n v="3"/>
    <n v="2"/>
    <m/>
    <m/>
    <n v="1"/>
    <n v="2"/>
    <n v="2"/>
    <n v="2"/>
    <n v="2"/>
    <n v="2"/>
    <n v="1"/>
    <n v="1"/>
    <n v="1"/>
    <n v="8"/>
    <m/>
    <n v="2"/>
    <m/>
    <m/>
    <m/>
    <n v="3"/>
    <n v="3"/>
    <n v="1"/>
    <n v="1"/>
    <n v="1989"/>
    <n v="2"/>
    <m/>
    <n v="7"/>
    <m/>
    <n v="4"/>
    <m/>
    <n v="2"/>
    <m/>
    <n v="2"/>
    <n v="1"/>
    <n v="24"/>
    <x v="1"/>
    <n v="2"/>
    <n v="2"/>
    <n v="2"/>
  </r>
  <r>
    <x v="6"/>
    <m/>
    <m/>
    <m/>
    <m/>
    <m/>
    <m/>
    <m/>
    <m/>
    <m/>
    <m/>
    <m/>
    <m/>
    <m/>
    <m/>
    <m/>
    <m/>
    <m/>
    <m/>
    <m/>
    <m/>
    <m/>
    <m/>
    <m/>
    <n v="2"/>
    <n v="1990"/>
    <m/>
    <m/>
    <m/>
    <m/>
    <m/>
    <m/>
    <m/>
    <m/>
    <m/>
    <n v="1"/>
    <n v="23"/>
    <x v="1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m/>
    <n v="2"/>
    <n v="1987"/>
    <m/>
    <m/>
    <m/>
    <m/>
    <m/>
    <m/>
    <m/>
    <m/>
    <m/>
    <n v="1"/>
    <n v="26"/>
    <x v="1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m/>
    <n v="2"/>
    <n v="1990"/>
    <m/>
    <m/>
    <m/>
    <m/>
    <m/>
    <m/>
    <m/>
    <m/>
    <m/>
    <n v="1"/>
    <n v="23"/>
    <x v="1"/>
    <n v="2"/>
    <n v="3"/>
    <n v="3"/>
  </r>
  <r>
    <x v="6"/>
    <m/>
    <m/>
    <m/>
    <m/>
    <m/>
    <m/>
    <m/>
    <m/>
    <m/>
    <m/>
    <m/>
    <m/>
    <m/>
    <m/>
    <m/>
    <m/>
    <m/>
    <m/>
    <m/>
    <m/>
    <m/>
    <m/>
    <m/>
    <n v="2"/>
    <n v="1981"/>
    <m/>
    <m/>
    <m/>
    <m/>
    <m/>
    <m/>
    <m/>
    <m/>
    <m/>
    <n v="1"/>
    <n v="32"/>
    <x v="1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m/>
    <n v="2"/>
    <n v="1970"/>
    <m/>
    <m/>
    <m/>
    <m/>
    <m/>
    <m/>
    <m/>
    <m/>
    <m/>
    <n v="1"/>
    <n v="43"/>
    <x v="2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</r>
</pivotCacheRecords>
</file>

<file path=xl/pivotCache/pivotCacheRecords59.xml><?xml version="1.0" encoding="utf-8"?>
<pivotCacheRecords xmlns="http://schemas.openxmlformats.org/spreadsheetml/2006/main" xmlns:r="http://schemas.openxmlformats.org/officeDocument/2006/relationships" count="632">
  <r>
    <x v="0"/>
    <s v="Au cours des deux dernières années, combien de fois avez-vous fait appel au service de police qui dessert votre quartier ?"/>
    <s v="En vous référant à l'événement le plus récent, quel est votre niveau de satisfaction à l'égard de la réponse que vous avez reçue ?"/>
    <s v="Pourquoi ? Peu"/>
    <s v="Pourquoi ? Pas"/>
    <s v="Au cours des deux dernières années, vous êtes vous IMPLIQUÉ SUR UNE BASE RÉGULIÈRE dans les activités suivantes de votre quartier : Dans un comité ou un organisme préoccupé par les problèmes de sécurité de votre quartier ?"/>
    <s v="Au cours des deux dernières années, vous êtes vous IMPLIQUÉ SUR UNE BASE RÉGULIÈRE dans les activités suivantes de votre quartier : Dans des assemblées du conseil municipal ?"/>
    <s v="Au cours des deux dernières années, vous êtes vous IMPLIQUÉ SUR UNE BASE RÉGULIÈRE dans les activités suivantes de votre quartier : Dans un conseil de quartier ou d'arrondissement ?"/>
    <s v="Au cours des deux dernières années, vous êtes vous IMPLIQUÉ SUR UNE BASE RÉGULIÈRE dans les activités suivantes de votre quartier : Dans un comité de citoyens ?"/>
    <s v="Au cours des deux dernières années, vous êtes vous IMPLIQUÉ SUR UNE BASE RÉGULIÈRE dans les activités suivantes de votre quartier : Dans des activités communautaires, d'entraide ou de bénévolat (cuisine communautaire, bazar)"/>
    <s v="Au cours des deux dernières années, vous êtes vous IMPLIQUÉ SUR UNE BASE RÉGULIÈRE dans les activités suivantes de votre quartier : Dans des activités sociales, culturelles ou sportives organisées par les gens de votre quartier ou de votre municipalité ?"/>
    <s v="Au cours des deux dernières années, avez-vous été victime de vol, de vandalisme ou de tout autre crime contre vos biens, chez vous ou dans votre quartier ?"/>
    <s v="Au cours des deux dernières années, avez-vous été victime d'une agression, d'intimidation ou de tout autre acte de violence, chez vous ou dans votre quartier ?"/>
    <s v="Au cours des deux dernières années avez-vous été victime dans votre quartier d'une quelconque forme de discrimination ?"/>
    <s v="À votre avis, le motif de cette discrimination était lié …"/>
    <s v="Autre, précisez :"/>
    <s v="Au cours des deux dernières années, avez-vous subi un accident qui vous a occasionné une blessure pour laquelle vous avez dû consulter un professionnel de la santé ou limiter vos activités ?"/>
    <s v="Combien de fois cela s'est-il produit ?"/>
    <s v="En se référant au dernier événement, était-ce … ?"/>
    <s v="Autre, précisez :"/>
    <s v="Maintenant, comparativement à d'autres personnes de votre âge, dirirez-vous que votre santé est en général …"/>
    <s v="Dans quel quartier habitez-vous ?"/>
    <s v="Combien de personne de moins de 18 ans habitent dans votre foyer ?"/>
    <x v="0"/>
    <s v="Quelle est votre année de naissance ?"/>
    <s v="Êtes-vous propriétaire ou locataire du logement que vous habitez ?"/>
    <s v="Autre, précisez : "/>
    <s v="Habitez-vous dans …"/>
    <s v="Autre, précisez : "/>
    <s v="Quel est votre état civil ?"/>
    <s v="Autre, précisez : "/>
    <s v="Où est situé votre lieu de travail habituel ?"/>
    <s v="Autre, précisez : "/>
    <s v="Quel est le plus haut niveau de scolarité que vous avez complété ?"/>
    <m/>
    <m/>
    <x v="0"/>
    <m/>
    <m/>
    <m/>
  </r>
  <r>
    <x v="1"/>
    <n v="1"/>
    <m/>
    <m/>
    <m/>
    <n v="1"/>
    <n v="2"/>
    <n v="1"/>
    <n v="2"/>
    <n v="2"/>
    <n v="1"/>
    <n v="1"/>
    <n v="2"/>
    <n v="1"/>
    <n v="2"/>
    <m/>
    <n v="1"/>
    <n v="4"/>
    <n v="5"/>
    <m/>
    <n v="2"/>
    <n v="4"/>
    <n v="5"/>
    <x v="1"/>
    <n v="1981"/>
    <n v="2"/>
    <m/>
    <n v="7"/>
    <m/>
    <n v="1"/>
    <m/>
    <n v="1"/>
    <m/>
    <n v="4"/>
    <n v="1"/>
    <n v="32"/>
    <x v="1"/>
    <n v="1"/>
    <n v="1"/>
    <n v="1"/>
  </r>
  <r>
    <x v="2"/>
    <n v="2"/>
    <n v="1"/>
    <m/>
    <m/>
    <n v="2"/>
    <n v="1"/>
    <n v="1"/>
    <n v="2"/>
    <n v="2"/>
    <n v="1"/>
    <n v="2"/>
    <n v="1"/>
    <n v="2"/>
    <n v="1"/>
    <m/>
    <n v="2"/>
    <m/>
    <m/>
    <m/>
    <n v="4"/>
    <n v="1"/>
    <n v="2"/>
    <x v="2"/>
    <n v="1970"/>
    <n v="1"/>
    <m/>
    <n v="5"/>
    <m/>
    <n v="2"/>
    <m/>
    <n v="2"/>
    <m/>
    <n v="1"/>
    <n v="1"/>
    <n v="43"/>
    <x v="2"/>
    <n v="2"/>
    <n v="3"/>
    <n v="2"/>
  </r>
  <r>
    <x v="3"/>
    <n v="3"/>
    <n v="3"/>
    <m/>
    <m/>
    <n v="2"/>
    <n v="1"/>
    <n v="2"/>
    <n v="2"/>
    <n v="2"/>
    <n v="2"/>
    <n v="2"/>
    <n v="1"/>
    <n v="3"/>
    <n v="3"/>
    <m/>
    <n v="1"/>
    <n v="2"/>
    <n v="8"/>
    <m/>
    <n v="5"/>
    <n v="4"/>
    <n v="4"/>
    <x v="2"/>
    <n v="1990"/>
    <n v="3"/>
    <m/>
    <n v="4"/>
    <m/>
    <n v="4"/>
    <m/>
    <n v="3"/>
    <m/>
    <n v="2"/>
    <n v="1"/>
    <n v="23"/>
    <x v="1"/>
    <n v="2"/>
    <n v="4"/>
    <n v="2"/>
  </r>
  <r>
    <x v="1"/>
    <n v="4"/>
    <n v="2"/>
    <m/>
    <m/>
    <n v="2"/>
    <n v="1"/>
    <n v="2"/>
    <n v="2"/>
    <n v="1"/>
    <n v="2"/>
    <n v="2"/>
    <n v="2"/>
    <n v="4"/>
    <m/>
    <m/>
    <n v="1"/>
    <n v="2"/>
    <n v="7"/>
    <m/>
    <n v="1"/>
    <n v="2"/>
    <n v="1"/>
    <x v="2"/>
    <n v="1983"/>
    <n v="1"/>
    <m/>
    <n v="1"/>
    <m/>
    <n v="1"/>
    <m/>
    <n v="4"/>
    <m/>
    <n v="3"/>
    <n v="1"/>
    <n v="30"/>
    <x v="1"/>
    <n v="2"/>
    <n v="3"/>
    <n v="2"/>
  </r>
  <r>
    <x v="4"/>
    <n v="2"/>
    <n v="4"/>
    <m/>
    <m/>
    <n v="1"/>
    <n v="2"/>
    <n v="2"/>
    <n v="1"/>
    <n v="1"/>
    <n v="2"/>
    <n v="2"/>
    <n v="1"/>
    <n v="1"/>
    <n v="6"/>
    <m/>
    <n v="2"/>
    <m/>
    <m/>
    <m/>
    <n v="3"/>
    <n v="3"/>
    <m/>
    <x v="2"/>
    <n v="1967"/>
    <n v="1"/>
    <m/>
    <n v="2"/>
    <m/>
    <n v="3"/>
    <m/>
    <n v="4"/>
    <m/>
    <n v="2"/>
    <n v="1"/>
    <n v="46"/>
    <x v="2"/>
    <n v="3"/>
    <n v="5"/>
    <n v="3"/>
  </r>
  <r>
    <x v="1"/>
    <n v="1"/>
    <m/>
    <m/>
    <m/>
    <n v="1"/>
    <n v="2"/>
    <n v="1"/>
    <n v="1"/>
    <n v="2"/>
    <n v="1"/>
    <n v="1"/>
    <n v="2"/>
    <n v="4"/>
    <m/>
    <m/>
    <n v="2"/>
    <m/>
    <m/>
    <m/>
    <n v="2"/>
    <n v="2"/>
    <n v="1"/>
    <x v="2"/>
    <n v="1962"/>
    <n v="2"/>
    <m/>
    <n v="3"/>
    <m/>
    <n v="3"/>
    <m/>
    <n v="1"/>
    <m/>
    <n v="1"/>
    <n v="1"/>
    <n v="51"/>
    <x v="2"/>
    <n v="2"/>
    <n v="2"/>
    <n v="2"/>
  </r>
  <r>
    <x v="2"/>
    <n v="3"/>
    <n v="2"/>
    <m/>
    <m/>
    <n v="1"/>
    <n v="2"/>
    <n v="1"/>
    <n v="1"/>
    <n v="1"/>
    <n v="1"/>
    <n v="1"/>
    <n v="1"/>
    <n v="1"/>
    <n v="7"/>
    <m/>
    <n v="1"/>
    <n v="2"/>
    <n v="6"/>
    <m/>
    <n v="1"/>
    <n v="3"/>
    <n v="3"/>
    <x v="2"/>
    <n v="1994"/>
    <n v="3"/>
    <m/>
    <n v="3"/>
    <m/>
    <n v="2"/>
    <m/>
    <n v="2"/>
    <m/>
    <n v="4"/>
    <n v="1"/>
    <n v="19"/>
    <x v="1"/>
    <n v="2"/>
    <n v="4"/>
    <n v="2"/>
  </r>
  <r>
    <x v="3"/>
    <n v="2"/>
    <n v="1"/>
    <m/>
    <m/>
    <n v="1"/>
    <n v="1"/>
    <n v="1"/>
    <n v="1"/>
    <n v="1"/>
    <n v="1"/>
    <n v="1"/>
    <n v="2"/>
    <n v="3"/>
    <n v="2"/>
    <m/>
    <n v="2"/>
    <m/>
    <m/>
    <m/>
    <n v="3"/>
    <n v="2"/>
    <n v="2"/>
    <x v="1"/>
    <n v="1983"/>
    <n v="2"/>
    <m/>
    <n v="2"/>
    <m/>
    <n v="1"/>
    <m/>
    <n v="3"/>
    <m/>
    <n v="1"/>
    <n v="1"/>
    <n v="30"/>
    <x v="1"/>
    <n v="2"/>
    <n v="4"/>
    <n v="2"/>
  </r>
  <r>
    <x v="1"/>
    <n v="1"/>
    <m/>
    <m/>
    <m/>
    <n v="2"/>
    <n v="1"/>
    <n v="2"/>
    <n v="2"/>
    <n v="1"/>
    <n v="2"/>
    <n v="1"/>
    <n v="1"/>
    <n v="2"/>
    <n v="2"/>
    <m/>
    <n v="1"/>
    <n v="1"/>
    <n v="1"/>
    <m/>
    <n v="8"/>
    <n v="3"/>
    <n v="5"/>
    <x v="1"/>
    <n v="1975"/>
    <n v="3"/>
    <m/>
    <n v="2"/>
    <m/>
    <n v="4"/>
    <m/>
    <n v="2"/>
    <m/>
    <n v="3"/>
    <n v="1"/>
    <n v="38"/>
    <x v="1"/>
    <n v="2"/>
    <n v="2"/>
    <n v="1"/>
  </r>
  <r>
    <x v="4"/>
    <n v="3"/>
    <n v="3"/>
    <m/>
    <m/>
    <n v="2"/>
    <n v="2"/>
    <n v="2"/>
    <n v="2"/>
    <n v="2"/>
    <n v="2"/>
    <n v="1"/>
    <n v="1"/>
    <n v="2"/>
    <n v="3"/>
    <m/>
    <n v="1"/>
    <n v="2"/>
    <n v="5"/>
    <m/>
    <n v="2"/>
    <n v="2"/>
    <n v="5"/>
    <x v="1"/>
    <n v="1979"/>
    <n v="3"/>
    <m/>
    <n v="1"/>
    <m/>
    <n v="1"/>
    <m/>
    <n v="1"/>
    <m/>
    <n v="2"/>
    <n v="1"/>
    <n v="34"/>
    <x v="1"/>
    <n v="1"/>
    <n v="1"/>
    <n v="1"/>
  </r>
  <r>
    <x v="5"/>
    <n v="1"/>
    <m/>
    <m/>
    <m/>
    <n v="2"/>
    <n v="2"/>
    <n v="2"/>
    <n v="2"/>
    <n v="2"/>
    <n v="2"/>
    <n v="2"/>
    <n v="2"/>
    <n v="3"/>
    <n v="5"/>
    <m/>
    <n v="2"/>
    <m/>
    <m/>
    <m/>
    <n v="1"/>
    <n v="1"/>
    <n v="5"/>
    <x v="1"/>
    <n v="1957"/>
    <n v="3"/>
    <m/>
    <n v="1"/>
    <m/>
    <n v="3"/>
    <m/>
    <n v="4"/>
    <m/>
    <n v="3"/>
    <n v="1"/>
    <n v="56"/>
    <x v="2"/>
    <n v="1"/>
    <n v="1"/>
    <n v="1"/>
  </r>
  <r>
    <x v="1"/>
    <n v="4"/>
    <n v="4"/>
    <m/>
    <m/>
    <n v="1"/>
    <n v="1"/>
    <n v="1"/>
    <n v="2"/>
    <n v="2"/>
    <n v="1"/>
    <n v="2"/>
    <n v="2"/>
    <n v="3"/>
    <n v="98"/>
    <m/>
    <n v="1"/>
    <n v="4"/>
    <n v="4"/>
    <m/>
    <n v="2"/>
    <n v="3"/>
    <m/>
    <x v="2"/>
    <n v="1946"/>
    <n v="2"/>
    <m/>
    <n v="5"/>
    <m/>
    <n v="2"/>
    <m/>
    <n v="2"/>
    <m/>
    <n v="2"/>
    <n v="1"/>
    <n v="67"/>
    <x v="3"/>
    <n v="2"/>
    <n v="4"/>
    <n v="3"/>
  </r>
  <r>
    <x v="2"/>
    <n v="1"/>
    <m/>
    <m/>
    <m/>
    <n v="1"/>
    <n v="2"/>
    <n v="1"/>
    <n v="1"/>
    <n v="1"/>
    <n v="1"/>
    <n v="1"/>
    <n v="1"/>
    <n v="2"/>
    <n v="1"/>
    <m/>
    <n v="1"/>
    <n v="2"/>
    <n v="98"/>
    <m/>
    <n v="3"/>
    <n v="2"/>
    <n v="1"/>
    <x v="1"/>
    <n v="1947"/>
    <n v="1"/>
    <m/>
    <n v="6"/>
    <m/>
    <n v="4"/>
    <m/>
    <n v="1"/>
    <m/>
    <n v="2"/>
    <n v="1"/>
    <n v="66"/>
    <x v="3"/>
    <n v="2"/>
    <n v="3"/>
    <n v="2"/>
  </r>
  <r>
    <x v="4"/>
    <n v="2"/>
    <n v="3"/>
    <m/>
    <m/>
    <n v="2"/>
    <n v="1"/>
    <n v="1"/>
    <n v="1"/>
    <n v="2"/>
    <n v="2"/>
    <n v="2"/>
    <n v="2"/>
    <n v="4"/>
    <m/>
    <m/>
    <n v="2"/>
    <m/>
    <m/>
    <m/>
    <n v="5"/>
    <n v="4"/>
    <n v="3"/>
    <x v="2"/>
    <n v="1984"/>
    <n v="3"/>
    <m/>
    <n v="4"/>
    <m/>
    <n v="6"/>
    <m/>
    <n v="3"/>
    <m/>
    <n v="1"/>
    <n v="1"/>
    <n v="29"/>
    <x v="1"/>
    <n v="2"/>
    <n v="4"/>
    <n v="2"/>
  </r>
  <r>
    <x v="5"/>
    <n v="3"/>
    <n v="2"/>
    <m/>
    <m/>
    <n v="1"/>
    <n v="2"/>
    <n v="2"/>
    <n v="2"/>
    <n v="2"/>
    <n v="2"/>
    <n v="1"/>
    <n v="1"/>
    <n v="1"/>
    <n v="8"/>
    <m/>
    <n v="2"/>
    <m/>
    <m/>
    <m/>
    <n v="3"/>
    <n v="3"/>
    <n v="1"/>
    <x v="1"/>
    <n v="1989"/>
    <n v="2"/>
    <m/>
    <n v="7"/>
    <m/>
    <n v="4"/>
    <m/>
    <n v="2"/>
    <m/>
    <n v="2"/>
    <n v="1"/>
    <n v="24"/>
    <x v="1"/>
    <n v="2"/>
    <n v="2"/>
    <n v="2"/>
  </r>
  <r>
    <x v="6"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x v="2"/>
    <n v="1987"/>
    <m/>
    <m/>
    <m/>
    <m/>
    <m/>
    <m/>
    <m/>
    <m/>
    <m/>
    <n v="1"/>
    <n v="26"/>
    <x v="1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3"/>
    <n v="3"/>
  </r>
  <r>
    <x v="6"/>
    <m/>
    <m/>
    <m/>
    <m/>
    <m/>
    <m/>
    <m/>
    <m/>
    <m/>
    <m/>
    <m/>
    <m/>
    <m/>
    <m/>
    <m/>
    <m/>
    <m/>
    <m/>
    <m/>
    <m/>
    <m/>
    <m/>
    <x v="2"/>
    <n v="1981"/>
    <m/>
    <m/>
    <m/>
    <m/>
    <m/>
    <m/>
    <m/>
    <m/>
    <m/>
    <n v="1"/>
    <n v="32"/>
    <x v="1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x v="2"/>
    <n v="1970"/>
    <m/>
    <m/>
    <m/>
    <m/>
    <m/>
    <m/>
    <m/>
    <m/>
    <m/>
    <n v="1"/>
    <n v="43"/>
    <x v="2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2"/>
    <n v="4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6"/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608">
  <r>
    <x v="0"/>
    <s v="Au cours des deux dernières années, avez-vous été victime de vol, de vandalisme ou de tout autre crime contre vos biens, chez vous ou dans votre quartier ?"/>
    <s v="Au cours des deux dernières années, avez-vous été victime d'une agression, d'intimidation ou de tout autre acte de violence, chez vous ou dans votre quartier ?"/>
    <s v="Au cours des deux dernières années avez-vous été victime dans votre quartier d'une quelconque forme de discrimination ?"/>
    <s v="À votre avis, le motif de cette discrimination était lié …"/>
    <s v="Autre, précisez :"/>
    <s v="Au cours des deux dernières années, avez-vous subi un accident qui vous a occasionné une blessure pour laquelle vous avez dû consulter un professionnel de la santé ou limiter vos activités ?"/>
    <s v="Combien de fois cela s'est-il produit ?"/>
    <s v="En se référant au dernier événement, était-ce … ?"/>
    <s v="Autre, précisez :"/>
    <s v="Maintenant, comparativement à d'autres personnes de votre âge, dirirez-vous que votre santé est en général …"/>
    <s v="Dans quel quartier habitez-vous ?"/>
    <s v="Combien de personne de moins de 18 ans habitent dans votre foyer ?"/>
    <x v="0"/>
    <s v="Quelle est votre année de naissance ?"/>
    <s v="Êtes-vous propriétaire ou locataire du logement que vous habitez ?"/>
    <s v="Autre, précisez : "/>
    <s v="Habitez-vous dans …"/>
    <s v="Autre, précisez : "/>
    <s v="Quel est votre état civil ?"/>
    <s v="Autre, précisez : "/>
    <s v="Où est situé votre lieu de travail habituel ?"/>
    <s v="Autre, précisez : "/>
    <s v="Quel est le plus haut niveau de scolarité que vous avez complété ?"/>
    <m/>
    <m/>
    <x v="0"/>
    <m/>
    <m/>
    <m/>
  </r>
  <r>
    <x v="1"/>
    <n v="1"/>
    <n v="2"/>
    <n v="1"/>
    <n v="2"/>
    <m/>
    <n v="1"/>
    <n v="4"/>
    <n v="5"/>
    <m/>
    <n v="2"/>
    <n v="4"/>
    <n v="5"/>
    <x v="1"/>
    <n v="1981"/>
    <n v="2"/>
    <m/>
    <n v="7"/>
    <m/>
    <n v="1"/>
    <m/>
    <n v="1"/>
    <m/>
    <n v="4"/>
    <n v="1"/>
    <n v="32"/>
    <x v="1"/>
    <n v="1"/>
    <n v="1"/>
    <n v="1"/>
  </r>
  <r>
    <x v="1"/>
    <n v="2"/>
    <n v="1"/>
    <n v="2"/>
    <n v="1"/>
    <m/>
    <n v="2"/>
    <m/>
    <m/>
    <m/>
    <n v="4"/>
    <n v="1"/>
    <n v="2"/>
    <x v="2"/>
    <n v="1970"/>
    <n v="1"/>
    <m/>
    <n v="5"/>
    <m/>
    <n v="2"/>
    <m/>
    <n v="2"/>
    <m/>
    <n v="1"/>
    <n v="1"/>
    <n v="43"/>
    <x v="2"/>
    <n v="2"/>
    <n v="3"/>
    <n v="2"/>
  </r>
  <r>
    <x v="2"/>
    <n v="2"/>
    <n v="1"/>
    <n v="3"/>
    <n v="3"/>
    <m/>
    <n v="1"/>
    <n v="2"/>
    <n v="8"/>
    <m/>
    <n v="5"/>
    <n v="4"/>
    <n v="4"/>
    <x v="2"/>
    <n v="1990"/>
    <n v="3"/>
    <m/>
    <n v="4"/>
    <m/>
    <n v="4"/>
    <m/>
    <n v="3"/>
    <m/>
    <n v="2"/>
    <n v="1"/>
    <n v="23"/>
    <x v="1"/>
    <n v="2"/>
    <n v="4"/>
    <n v="2"/>
  </r>
  <r>
    <x v="2"/>
    <n v="2"/>
    <n v="2"/>
    <n v="4"/>
    <m/>
    <m/>
    <n v="1"/>
    <n v="2"/>
    <n v="7"/>
    <m/>
    <n v="1"/>
    <n v="2"/>
    <n v="1"/>
    <x v="2"/>
    <n v="1983"/>
    <n v="1"/>
    <m/>
    <n v="1"/>
    <m/>
    <n v="1"/>
    <m/>
    <n v="4"/>
    <m/>
    <n v="3"/>
    <n v="1"/>
    <n v="30"/>
    <x v="1"/>
    <n v="2"/>
    <n v="3"/>
    <n v="2"/>
  </r>
  <r>
    <x v="2"/>
    <n v="2"/>
    <n v="1"/>
    <n v="1"/>
    <n v="6"/>
    <m/>
    <n v="2"/>
    <m/>
    <m/>
    <m/>
    <n v="3"/>
    <n v="3"/>
    <m/>
    <x v="2"/>
    <n v="1967"/>
    <n v="1"/>
    <m/>
    <n v="2"/>
    <m/>
    <n v="3"/>
    <m/>
    <n v="4"/>
    <m/>
    <n v="2"/>
    <n v="1"/>
    <n v="46"/>
    <x v="2"/>
    <n v="3"/>
    <n v="5"/>
    <n v="3"/>
  </r>
  <r>
    <x v="1"/>
    <n v="1"/>
    <n v="2"/>
    <n v="4"/>
    <m/>
    <m/>
    <n v="2"/>
    <m/>
    <m/>
    <m/>
    <n v="2"/>
    <n v="2"/>
    <n v="1"/>
    <x v="2"/>
    <n v="1962"/>
    <n v="2"/>
    <m/>
    <n v="3"/>
    <m/>
    <n v="3"/>
    <m/>
    <n v="1"/>
    <m/>
    <n v="1"/>
    <n v="1"/>
    <n v="51"/>
    <x v="2"/>
    <n v="2"/>
    <n v="2"/>
    <n v="2"/>
  </r>
  <r>
    <x v="1"/>
    <n v="1"/>
    <n v="1"/>
    <n v="1"/>
    <n v="7"/>
    <m/>
    <n v="1"/>
    <n v="2"/>
    <n v="6"/>
    <m/>
    <n v="1"/>
    <n v="3"/>
    <n v="3"/>
    <x v="2"/>
    <n v="1994"/>
    <n v="3"/>
    <m/>
    <n v="3"/>
    <m/>
    <n v="2"/>
    <m/>
    <n v="2"/>
    <m/>
    <n v="4"/>
    <n v="1"/>
    <n v="19"/>
    <x v="1"/>
    <n v="2"/>
    <n v="4"/>
    <n v="2"/>
  </r>
  <r>
    <x v="1"/>
    <n v="1"/>
    <n v="2"/>
    <n v="3"/>
    <n v="2"/>
    <m/>
    <n v="2"/>
    <m/>
    <m/>
    <m/>
    <n v="3"/>
    <n v="2"/>
    <n v="2"/>
    <x v="1"/>
    <n v="1983"/>
    <n v="2"/>
    <m/>
    <n v="2"/>
    <m/>
    <n v="1"/>
    <m/>
    <n v="3"/>
    <m/>
    <n v="1"/>
    <n v="1"/>
    <n v="30"/>
    <x v="1"/>
    <n v="2"/>
    <n v="4"/>
    <n v="2"/>
  </r>
  <r>
    <x v="2"/>
    <n v="1"/>
    <n v="1"/>
    <n v="2"/>
    <n v="2"/>
    <m/>
    <n v="1"/>
    <n v="1"/>
    <n v="1"/>
    <m/>
    <n v="8"/>
    <n v="3"/>
    <n v="5"/>
    <x v="1"/>
    <n v="1975"/>
    <n v="3"/>
    <m/>
    <n v="2"/>
    <m/>
    <n v="4"/>
    <m/>
    <n v="2"/>
    <m/>
    <n v="3"/>
    <n v="1"/>
    <n v="38"/>
    <x v="1"/>
    <n v="2"/>
    <n v="2"/>
    <n v="1"/>
  </r>
  <r>
    <x v="2"/>
    <n v="1"/>
    <n v="1"/>
    <n v="2"/>
    <n v="3"/>
    <m/>
    <n v="1"/>
    <n v="2"/>
    <n v="5"/>
    <m/>
    <n v="2"/>
    <n v="2"/>
    <n v="5"/>
    <x v="1"/>
    <n v="1979"/>
    <n v="3"/>
    <m/>
    <n v="1"/>
    <m/>
    <n v="1"/>
    <m/>
    <n v="1"/>
    <m/>
    <n v="2"/>
    <n v="1"/>
    <n v="34"/>
    <x v="1"/>
    <n v="1"/>
    <n v="1"/>
    <n v="1"/>
  </r>
  <r>
    <x v="2"/>
    <n v="2"/>
    <n v="2"/>
    <n v="3"/>
    <n v="5"/>
    <m/>
    <n v="2"/>
    <m/>
    <m/>
    <m/>
    <n v="1"/>
    <n v="1"/>
    <n v="5"/>
    <x v="1"/>
    <n v="1957"/>
    <n v="3"/>
    <m/>
    <n v="1"/>
    <m/>
    <n v="3"/>
    <m/>
    <n v="4"/>
    <m/>
    <n v="3"/>
    <n v="1"/>
    <n v="56"/>
    <x v="2"/>
    <n v="1"/>
    <n v="1"/>
    <n v="1"/>
  </r>
  <r>
    <x v="1"/>
    <n v="2"/>
    <n v="2"/>
    <n v="3"/>
    <n v="98"/>
    <m/>
    <n v="1"/>
    <n v="4"/>
    <n v="4"/>
    <m/>
    <n v="2"/>
    <n v="3"/>
    <m/>
    <x v="2"/>
    <n v="1946"/>
    <n v="2"/>
    <m/>
    <n v="5"/>
    <m/>
    <n v="2"/>
    <m/>
    <n v="2"/>
    <m/>
    <n v="2"/>
    <n v="1"/>
    <n v="67"/>
    <x v="3"/>
    <n v="2"/>
    <n v="4"/>
    <n v="3"/>
  </r>
  <r>
    <x v="1"/>
    <n v="1"/>
    <n v="1"/>
    <n v="2"/>
    <n v="1"/>
    <m/>
    <n v="1"/>
    <n v="2"/>
    <n v="98"/>
    <m/>
    <n v="3"/>
    <n v="2"/>
    <n v="1"/>
    <x v="1"/>
    <n v="1947"/>
    <n v="1"/>
    <m/>
    <n v="6"/>
    <m/>
    <n v="4"/>
    <m/>
    <n v="1"/>
    <m/>
    <n v="2"/>
    <n v="1"/>
    <n v="66"/>
    <x v="3"/>
    <n v="2"/>
    <n v="3"/>
    <n v="2"/>
  </r>
  <r>
    <x v="2"/>
    <n v="2"/>
    <n v="2"/>
    <n v="4"/>
    <m/>
    <m/>
    <n v="2"/>
    <m/>
    <m/>
    <m/>
    <n v="5"/>
    <n v="4"/>
    <n v="3"/>
    <x v="2"/>
    <n v="1984"/>
    <n v="3"/>
    <m/>
    <n v="4"/>
    <m/>
    <n v="6"/>
    <m/>
    <n v="3"/>
    <m/>
    <n v="1"/>
    <n v="1"/>
    <n v="29"/>
    <x v="1"/>
    <n v="2"/>
    <n v="4"/>
    <n v="2"/>
  </r>
  <r>
    <x v="2"/>
    <n v="1"/>
    <n v="1"/>
    <n v="1"/>
    <n v="8"/>
    <m/>
    <n v="2"/>
    <m/>
    <m/>
    <m/>
    <n v="3"/>
    <n v="3"/>
    <n v="1"/>
    <x v="1"/>
    <n v="1989"/>
    <n v="2"/>
    <m/>
    <n v="7"/>
    <m/>
    <n v="4"/>
    <m/>
    <n v="2"/>
    <m/>
    <n v="2"/>
    <n v="1"/>
    <n v="24"/>
    <x v="1"/>
    <n v="2"/>
    <n v="2"/>
    <n v="2"/>
  </r>
  <r>
    <x v="3"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4"/>
    <n v="3"/>
  </r>
  <r>
    <x v="3"/>
    <m/>
    <m/>
    <m/>
    <m/>
    <m/>
    <m/>
    <m/>
    <m/>
    <m/>
    <m/>
    <m/>
    <m/>
    <x v="2"/>
    <n v="1987"/>
    <m/>
    <m/>
    <m/>
    <m/>
    <m/>
    <m/>
    <m/>
    <m/>
    <m/>
    <n v="1"/>
    <n v="26"/>
    <x v="1"/>
    <n v="2"/>
    <n v="4"/>
    <n v="3"/>
  </r>
  <r>
    <x v="3"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3"/>
    <n v="3"/>
  </r>
  <r>
    <x v="3"/>
    <m/>
    <m/>
    <m/>
    <m/>
    <m/>
    <m/>
    <m/>
    <m/>
    <m/>
    <m/>
    <m/>
    <m/>
    <x v="2"/>
    <n v="1981"/>
    <m/>
    <m/>
    <m/>
    <m/>
    <m/>
    <m/>
    <m/>
    <m/>
    <m/>
    <n v="1"/>
    <n v="32"/>
    <x v="1"/>
    <n v="2"/>
    <n v="4"/>
    <n v="3"/>
  </r>
  <r>
    <x v="3"/>
    <m/>
    <m/>
    <m/>
    <m/>
    <m/>
    <m/>
    <m/>
    <m/>
    <m/>
    <m/>
    <m/>
    <m/>
    <x v="2"/>
    <n v="1970"/>
    <m/>
    <m/>
    <m/>
    <m/>
    <m/>
    <m/>
    <m/>
    <m/>
    <m/>
    <n v="1"/>
    <n v="43"/>
    <x v="2"/>
    <n v="2"/>
    <n v="4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2"/>
    <n v="4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</pivotCacheRecords>
</file>

<file path=xl/pivotCache/pivotCacheRecords60.xml><?xml version="1.0" encoding="utf-8"?>
<pivotCacheRecords xmlns="http://schemas.openxmlformats.org/spreadsheetml/2006/main" xmlns:r="http://schemas.openxmlformats.org/officeDocument/2006/relationships" count="632">
  <r>
    <x v="0"/>
    <s v="En vous référant à l'événement le plus récent, quel est votre niveau de satisfaction à l'égard de la réponse que vous avez reçue ?"/>
    <s v="Pourquoi ? Peu"/>
    <s v="Pourquoi ? Pas"/>
    <s v="Au cours des deux dernières années, vous êtes vous IMPLIQUÉ SUR UNE BASE RÉGULIÈRE dans les activités suivantes de votre quartier : Dans un comité ou un organisme préoccupé par les problèmes de sécurité de votre quartier ?"/>
    <s v="Au cours des deux dernières années, vous êtes vous IMPLIQUÉ SUR UNE BASE RÉGULIÈRE dans les activités suivantes de votre quartier : Dans des assemblées du conseil municipal ?"/>
    <s v="Au cours des deux dernières années, vous êtes vous IMPLIQUÉ SUR UNE BASE RÉGULIÈRE dans les activités suivantes de votre quartier : Dans un conseil de quartier ou d'arrondissement ?"/>
    <s v="Au cours des deux dernières années, vous êtes vous IMPLIQUÉ SUR UNE BASE RÉGULIÈRE dans les activités suivantes de votre quartier : Dans un comité de citoyens ?"/>
    <s v="Au cours des deux dernières années, vous êtes vous IMPLIQUÉ SUR UNE BASE RÉGULIÈRE dans les activités suivantes de votre quartier : Dans des activités communautaires, d'entraide ou de bénévolat (cuisine communautaire, bazar)"/>
    <s v="Au cours des deux dernières années, vous êtes vous IMPLIQUÉ SUR UNE BASE RÉGULIÈRE dans les activités suivantes de votre quartier : Dans des activités sociales, culturelles ou sportives organisées par les gens de votre quartier ou de votre municipalité ?"/>
    <s v="Au cours des deux dernières années, avez-vous été victime de vol, de vandalisme ou de tout autre crime contre vos biens, chez vous ou dans votre quartier ?"/>
    <s v="Au cours des deux dernières années, avez-vous été victime d'une agression, d'intimidation ou de tout autre acte de violence, chez vous ou dans votre quartier ?"/>
    <s v="Au cours des deux dernières années avez-vous été victime dans votre quartier d'une quelconque forme de discrimination ?"/>
    <s v="À votre avis, le motif de cette discrimination était lié …"/>
    <s v="Autre, précisez :"/>
    <s v="Au cours des deux dernières années, avez-vous subi un accident qui vous a occasionné une blessure pour laquelle vous avez dû consulter un professionnel de la santé ou limiter vos activités ?"/>
    <s v="Combien de fois cela s'est-il produit ?"/>
    <s v="En se référant au dernier événement, était-ce … ?"/>
    <s v="Autre, précisez :"/>
    <s v="Maintenant, comparativement à d'autres personnes de votre âge, dirirez-vous que votre santé est en général …"/>
    <s v="Dans quel quartier habitez-vous ?"/>
    <s v="Combien de personne de moins de 18 ans habitent dans votre foyer ?"/>
    <x v="0"/>
    <s v="Quelle est votre année de naissance ?"/>
    <s v="Êtes-vous propriétaire ou locataire du logement que vous habitez ?"/>
    <s v="Autre, précisez : "/>
    <s v="Habitez-vous dans …"/>
    <s v="Autre, précisez : "/>
    <s v="Quel est votre état civil ?"/>
    <s v="Autre, précisez : "/>
    <s v="Où est situé votre lieu de travail habituel ?"/>
    <s v="Autre, précisez : "/>
    <s v="Quel est le plus haut niveau de scolarité que vous avez complété ?"/>
    <m/>
    <m/>
    <x v="0"/>
    <m/>
    <m/>
    <m/>
  </r>
  <r>
    <x v="1"/>
    <m/>
    <m/>
    <m/>
    <n v="1"/>
    <n v="2"/>
    <n v="1"/>
    <n v="2"/>
    <n v="2"/>
    <n v="1"/>
    <n v="1"/>
    <n v="2"/>
    <n v="1"/>
    <n v="2"/>
    <m/>
    <n v="1"/>
    <n v="4"/>
    <n v="5"/>
    <m/>
    <n v="2"/>
    <n v="4"/>
    <n v="5"/>
    <x v="1"/>
    <n v="1981"/>
    <n v="2"/>
    <m/>
    <n v="7"/>
    <m/>
    <n v="1"/>
    <m/>
    <n v="1"/>
    <m/>
    <n v="4"/>
    <n v="1"/>
    <n v="32"/>
    <x v="1"/>
    <n v="1"/>
    <n v="1"/>
    <n v="1"/>
  </r>
  <r>
    <x v="2"/>
    <n v="1"/>
    <m/>
    <m/>
    <n v="2"/>
    <n v="1"/>
    <n v="1"/>
    <n v="2"/>
    <n v="2"/>
    <n v="1"/>
    <n v="2"/>
    <n v="1"/>
    <n v="2"/>
    <n v="1"/>
    <m/>
    <n v="2"/>
    <m/>
    <m/>
    <m/>
    <n v="4"/>
    <n v="1"/>
    <n v="2"/>
    <x v="2"/>
    <n v="1970"/>
    <n v="1"/>
    <m/>
    <n v="5"/>
    <m/>
    <n v="2"/>
    <m/>
    <n v="2"/>
    <m/>
    <n v="1"/>
    <n v="1"/>
    <n v="43"/>
    <x v="2"/>
    <n v="2"/>
    <n v="3"/>
    <n v="2"/>
  </r>
  <r>
    <x v="3"/>
    <n v="3"/>
    <m/>
    <m/>
    <n v="2"/>
    <n v="1"/>
    <n v="2"/>
    <n v="2"/>
    <n v="2"/>
    <n v="2"/>
    <n v="2"/>
    <n v="1"/>
    <n v="3"/>
    <n v="3"/>
    <m/>
    <n v="1"/>
    <n v="2"/>
    <n v="8"/>
    <m/>
    <n v="5"/>
    <n v="4"/>
    <n v="4"/>
    <x v="2"/>
    <n v="1990"/>
    <n v="3"/>
    <m/>
    <n v="4"/>
    <m/>
    <n v="4"/>
    <m/>
    <n v="3"/>
    <m/>
    <n v="2"/>
    <n v="1"/>
    <n v="23"/>
    <x v="1"/>
    <n v="2"/>
    <n v="4"/>
    <n v="2"/>
  </r>
  <r>
    <x v="4"/>
    <n v="2"/>
    <m/>
    <m/>
    <n v="2"/>
    <n v="1"/>
    <n v="2"/>
    <n v="2"/>
    <n v="1"/>
    <n v="2"/>
    <n v="2"/>
    <n v="2"/>
    <n v="4"/>
    <m/>
    <m/>
    <n v="1"/>
    <n v="2"/>
    <n v="7"/>
    <m/>
    <n v="1"/>
    <n v="2"/>
    <n v="1"/>
    <x v="2"/>
    <n v="1983"/>
    <n v="1"/>
    <m/>
    <n v="1"/>
    <m/>
    <n v="1"/>
    <m/>
    <n v="4"/>
    <m/>
    <n v="3"/>
    <n v="1"/>
    <n v="30"/>
    <x v="1"/>
    <n v="2"/>
    <n v="3"/>
    <n v="2"/>
  </r>
  <r>
    <x v="2"/>
    <n v="4"/>
    <m/>
    <m/>
    <n v="1"/>
    <n v="2"/>
    <n v="2"/>
    <n v="1"/>
    <n v="1"/>
    <n v="2"/>
    <n v="2"/>
    <n v="1"/>
    <n v="1"/>
    <n v="6"/>
    <m/>
    <n v="2"/>
    <m/>
    <m/>
    <m/>
    <n v="3"/>
    <n v="3"/>
    <m/>
    <x v="2"/>
    <n v="1967"/>
    <n v="1"/>
    <m/>
    <n v="2"/>
    <m/>
    <n v="3"/>
    <m/>
    <n v="4"/>
    <m/>
    <n v="2"/>
    <n v="1"/>
    <n v="46"/>
    <x v="2"/>
    <n v="3"/>
    <n v="5"/>
    <n v="3"/>
  </r>
  <r>
    <x v="1"/>
    <m/>
    <m/>
    <m/>
    <n v="1"/>
    <n v="2"/>
    <n v="1"/>
    <n v="1"/>
    <n v="2"/>
    <n v="1"/>
    <n v="1"/>
    <n v="2"/>
    <n v="4"/>
    <m/>
    <m/>
    <n v="2"/>
    <m/>
    <m/>
    <m/>
    <n v="2"/>
    <n v="2"/>
    <n v="1"/>
    <x v="2"/>
    <n v="1962"/>
    <n v="2"/>
    <m/>
    <n v="3"/>
    <m/>
    <n v="3"/>
    <m/>
    <n v="1"/>
    <m/>
    <n v="1"/>
    <n v="1"/>
    <n v="51"/>
    <x v="2"/>
    <n v="2"/>
    <n v="2"/>
    <n v="2"/>
  </r>
  <r>
    <x v="3"/>
    <n v="2"/>
    <m/>
    <m/>
    <n v="1"/>
    <n v="2"/>
    <n v="1"/>
    <n v="1"/>
    <n v="1"/>
    <n v="1"/>
    <n v="1"/>
    <n v="1"/>
    <n v="1"/>
    <n v="7"/>
    <m/>
    <n v="1"/>
    <n v="2"/>
    <n v="6"/>
    <m/>
    <n v="1"/>
    <n v="3"/>
    <n v="3"/>
    <x v="2"/>
    <n v="1994"/>
    <n v="3"/>
    <m/>
    <n v="3"/>
    <m/>
    <n v="2"/>
    <m/>
    <n v="2"/>
    <m/>
    <n v="4"/>
    <n v="1"/>
    <n v="19"/>
    <x v="1"/>
    <n v="2"/>
    <n v="4"/>
    <n v="2"/>
  </r>
  <r>
    <x v="2"/>
    <n v="1"/>
    <m/>
    <m/>
    <n v="1"/>
    <n v="1"/>
    <n v="1"/>
    <n v="1"/>
    <n v="1"/>
    <n v="1"/>
    <n v="1"/>
    <n v="2"/>
    <n v="3"/>
    <n v="2"/>
    <m/>
    <n v="2"/>
    <m/>
    <m/>
    <m/>
    <n v="3"/>
    <n v="2"/>
    <n v="2"/>
    <x v="1"/>
    <n v="1983"/>
    <n v="2"/>
    <m/>
    <n v="2"/>
    <m/>
    <n v="1"/>
    <m/>
    <n v="3"/>
    <m/>
    <n v="1"/>
    <n v="1"/>
    <n v="30"/>
    <x v="1"/>
    <n v="2"/>
    <n v="4"/>
    <n v="2"/>
  </r>
  <r>
    <x v="1"/>
    <m/>
    <m/>
    <m/>
    <n v="2"/>
    <n v="1"/>
    <n v="2"/>
    <n v="2"/>
    <n v="1"/>
    <n v="2"/>
    <n v="1"/>
    <n v="1"/>
    <n v="2"/>
    <n v="2"/>
    <m/>
    <n v="1"/>
    <n v="1"/>
    <n v="1"/>
    <m/>
    <n v="8"/>
    <n v="3"/>
    <n v="5"/>
    <x v="1"/>
    <n v="1975"/>
    <n v="3"/>
    <m/>
    <n v="2"/>
    <m/>
    <n v="4"/>
    <m/>
    <n v="2"/>
    <m/>
    <n v="3"/>
    <n v="1"/>
    <n v="38"/>
    <x v="1"/>
    <n v="2"/>
    <n v="2"/>
    <n v="1"/>
  </r>
  <r>
    <x v="3"/>
    <n v="3"/>
    <m/>
    <m/>
    <n v="2"/>
    <n v="2"/>
    <n v="2"/>
    <n v="2"/>
    <n v="2"/>
    <n v="2"/>
    <n v="1"/>
    <n v="1"/>
    <n v="2"/>
    <n v="3"/>
    <m/>
    <n v="1"/>
    <n v="2"/>
    <n v="5"/>
    <m/>
    <n v="2"/>
    <n v="2"/>
    <n v="5"/>
    <x v="1"/>
    <n v="1979"/>
    <n v="3"/>
    <m/>
    <n v="1"/>
    <m/>
    <n v="1"/>
    <m/>
    <n v="1"/>
    <m/>
    <n v="2"/>
    <n v="1"/>
    <n v="34"/>
    <x v="1"/>
    <n v="1"/>
    <n v="1"/>
    <n v="1"/>
  </r>
  <r>
    <x v="1"/>
    <m/>
    <m/>
    <m/>
    <n v="2"/>
    <n v="2"/>
    <n v="2"/>
    <n v="2"/>
    <n v="2"/>
    <n v="2"/>
    <n v="2"/>
    <n v="2"/>
    <n v="3"/>
    <n v="5"/>
    <m/>
    <n v="2"/>
    <m/>
    <m/>
    <m/>
    <n v="1"/>
    <n v="1"/>
    <n v="5"/>
    <x v="1"/>
    <n v="1957"/>
    <n v="3"/>
    <m/>
    <n v="1"/>
    <m/>
    <n v="3"/>
    <m/>
    <n v="4"/>
    <m/>
    <n v="3"/>
    <n v="1"/>
    <n v="56"/>
    <x v="2"/>
    <n v="1"/>
    <n v="1"/>
    <n v="1"/>
  </r>
  <r>
    <x v="4"/>
    <n v="4"/>
    <m/>
    <m/>
    <n v="1"/>
    <n v="1"/>
    <n v="1"/>
    <n v="2"/>
    <n v="2"/>
    <n v="1"/>
    <n v="2"/>
    <n v="2"/>
    <n v="3"/>
    <n v="98"/>
    <m/>
    <n v="1"/>
    <n v="4"/>
    <n v="4"/>
    <m/>
    <n v="2"/>
    <n v="3"/>
    <m/>
    <x v="2"/>
    <n v="1946"/>
    <n v="2"/>
    <m/>
    <n v="5"/>
    <m/>
    <n v="2"/>
    <m/>
    <n v="2"/>
    <m/>
    <n v="2"/>
    <n v="1"/>
    <n v="67"/>
    <x v="3"/>
    <n v="2"/>
    <n v="4"/>
    <n v="3"/>
  </r>
  <r>
    <x v="1"/>
    <m/>
    <m/>
    <m/>
    <n v="1"/>
    <n v="2"/>
    <n v="1"/>
    <n v="1"/>
    <n v="1"/>
    <n v="1"/>
    <n v="1"/>
    <n v="1"/>
    <n v="2"/>
    <n v="1"/>
    <m/>
    <n v="1"/>
    <n v="2"/>
    <n v="98"/>
    <m/>
    <n v="3"/>
    <n v="2"/>
    <n v="1"/>
    <x v="1"/>
    <n v="1947"/>
    <n v="1"/>
    <m/>
    <n v="6"/>
    <m/>
    <n v="4"/>
    <m/>
    <n v="1"/>
    <m/>
    <n v="2"/>
    <n v="1"/>
    <n v="66"/>
    <x v="3"/>
    <n v="2"/>
    <n v="3"/>
    <n v="2"/>
  </r>
  <r>
    <x v="2"/>
    <n v="3"/>
    <m/>
    <m/>
    <n v="2"/>
    <n v="1"/>
    <n v="1"/>
    <n v="1"/>
    <n v="2"/>
    <n v="2"/>
    <n v="2"/>
    <n v="2"/>
    <n v="4"/>
    <m/>
    <m/>
    <n v="2"/>
    <m/>
    <m/>
    <m/>
    <n v="5"/>
    <n v="4"/>
    <n v="3"/>
    <x v="2"/>
    <n v="1984"/>
    <n v="3"/>
    <m/>
    <n v="4"/>
    <m/>
    <n v="6"/>
    <m/>
    <n v="3"/>
    <m/>
    <n v="1"/>
    <n v="1"/>
    <n v="29"/>
    <x v="1"/>
    <n v="2"/>
    <n v="4"/>
    <n v="2"/>
  </r>
  <r>
    <x v="3"/>
    <n v="2"/>
    <m/>
    <m/>
    <n v="1"/>
    <n v="2"/>
    <n v="2"/>
    <n v="2"/>
    <n v="2"/>
    <n v="2"/>
    <n v="1"/>
    <n v="1"/>
    <n v="1"/>
    <n v="8"/>
    <m/>
    <n v="2"/>
    <m/>
    <m/>
    <m/>
    <n v="3"/>
    <n v="3"/>
    <n v="1"/>
    <x v="1"/>
    <n v="1989"/>
    <n v="2"/>
    <m/>
    <n v="7"/>
    <m/>
    <n v="4"/>
    <m/>
    <n v="2"/>
    <m/>
    <n v="2"/>
    <n v="1"/>
    <n v="24"/>
    <x v="1"/>
    <n v="2"/>
    <n v="2"/>
    <n v="2"/>
  </r>
  <r>
    <x v="5"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4"/>
    <n v="3"/>
  </r>
  <r>
    <x v="5"/>
    <m/>
    <m/>
    <m/>
    <m/>
    <m/>
    <m/>
    <m/>
    <m/>
    <m/>
    <m/>
    <m/>
    <m/>
    <m/>
    <m/>
    <m/>
    <m/>
    <m/>
    <m/>
    <m/>
    <m/>
    <m/>
    <x v="2"/>
    <n v="1987"/>
    <m/>
    <m/>
    <m/>
    <m/>
    <m/>
    <m/>
    <m/>
    <m/>
    <m/>
    <n v="1"/>
    <n v="26"/>
    <x v="1"/>
    <n v="2"/>
    <n v="4"/>
    <n v="3"/>
  </r>
  <r>
    <x v="5"/>
    <m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3"/>
    <n v="3"/>
  </r>
  <r>
    <x v="5"/>
    <m/>
    <m/>
    <m/>
    <m/>
    <m/>
    <m/>
    <m/>
    <m/>
    <m/>
    <m/>
    <m/>
    <m/>
    <m/>
    <m/>
    <m/>
    <m/>
    <m/>
    <m/>
    <m/>
    <m/>
    <m/>
    <x v="2"/>
    <n v="1981"/>
    <m/>
    <m/>
    <m/>
    <m/>
    <m/>
    <m/>
    <m/>
    <m/>
    <m/>
    <n v="1"/>
    <n v="32"/>
    <x v="1"/>
    <n v="2"/>
    <n v="4"/>
    <n v="3"/>
  </r>
  <r>
    <x v="5"/>
    <m/>
    <m/>
    <m/>
    <m/>
    <m/>
    <m/>
    <m/>
    <m/>
    <m/>
    <m/>
    <m/>
    <m/>
    <m/>
    <m/>
    <m/>
    <m/>
    <m/>
    <m/>
    <m/>
    <m/>
    <m/>
    <x v="2"/>
    <n v="1970"/>
    <m/>
    <m/>
    <m/>
    <m/>
    <m/>
    <m/>
    <m/>
    <m/>
    <m/>
    <n v="1"/>
    <n v="43"/>
    <x v="2"/>
    <n v="2"/>
    <n v="4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2"/>
    <n v="4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5"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</pivotCacheRecords>
</file>

<file path=xl/pivotCache/pivotCacheRecords61.xml><?xml version="1.0" encoding="utf-8"?>
<pivotCacheRecords xmlns="http://schemas.openxmlformats.org/spreadsheetml/2006/main" xmlns:r="http://schemas.openxmlformats.org/officeDocument/2006/relationships" count="632">
  <r>
    <x v="0"/>
    <s v="Pourquoi ? Peu"/>
    <s v="Pourquoi ? Pas"/>
    <s v="Au cours des deux dernières années, vous êtes vous IMPLIQUÉ SUR UNE BASE RÉGULIÈRE dans les activités suivantes de votre quartier : Dans un comité ou un organisme préoccupé par les problèmes de sécurité de votre quartier ?"/>
    <s v="Au cours des deux dernières années, vous êtes vous IMPLIQUÉ SUR UNE BASE RÉGULIÈRE dans les activités suivantes de votre quartier : Dans des assemblées du conseil municipal ?"/>
    <s v="Au cours des deux dernières années, vous êtes vous IMPLIQUÉ SUR UNE BASE RÉGULIÈRE dans les activités suivantes de votre quartier : Dans un conseil de quartier ou d'arrondissement ?"/>
    <s v="Au cours des deux dernières années, vous êtes vous IMPLIQUÉ SUR UNE BASE RÉGULIÈRE dans les activités suivantes de votre quartier : Dans un comité de citoyens ?"/>
    <s v="Au cours des deux dernières années, vous êtes vous IMPLIQUÉ SUR UNE BASE RÉGULIÈRE dans les activités suivantes de votre quartier : Dans des activités communautaires, d'entraide ou de bénévolat (cuisine communautaire, bazar)"/>
    <s v="Au cours des deux dernières années, vous êtes vous IMPLIQUÉ SUR UNE BASE RÉGULIÈRE dans les activités suivantes de votre quartier : Dans des activités sociales, culturelles ou sportives organisées par les gens de votre quartier ou de votre municipalité ?"/>
    <s v="Au cours des deux dernières années, avez-vous été victime de vol, de vandalisme ou de tout autre crime contre vos biens, chez vous ou dans votre quartier ?"/>
    <s v="Au cours des deux dernières années, avez-vous été victime d'une agression, d'intimidation ou de tout autre acte de violence, chez vous ou dans votre quartier ?"/>
    <s v="Au cours des deux dernières années avez-vous été victime dans votre quartier d'une quelconque forme de discrimination ?"/>
    <s v="À votre avis, le motif de cette discrimination était lié …"/>
    <s v="Autre, précisez :"/>
    <s v="Au cours des deux dernières années, avez-vous subi un accident qui vous a occasionné une blessure pour laquelle vous avez dû consulter un professionnel de la santé ou limiter vos activités ?"/>
    <s v="Combien de fois cela s'est-il produit ?"/>
    <s v="En se référant au dernier événement, était-ce … ?"/>
    <s v="Autre, précisez :"/>
    <s v="Maintenant, comparativement à d'autres personnes de votre âge, dirirez-vous que votre santé est en général …"/>
    <s v="Dans quel quartier habitez-vous ?"/>
    <s v="Combien de personne de moins de 18 ans habitent dans votre foyer ?"/>
    <x v="0"/>
    <s v="Quelle est votre année de naissance ?"/>
    <s v="Êtes-vous propriétaire ou locataire du logement que vous habitez ?"/>
    <s v="Autre, précisez : "/>
    <s v="Habitez-vous dans …"/>
    <s v="Autre, précisez : "/>
    <s v="Quel est votre état civil ?"/>
    <s v="Autre, précisez : "/>
    <s v="Où est situé votre lieu de travail habituel ?"/>
    <s v="Autre, précisez : "/>
    <s v="Quel est le plus haut niveau de scolarité que vous avez complété ?"/>
    <m/>
    <m/>
    <x v="0"/>
    <m/>
    <m/>
    <m/>
  </r>
  <r>
    <x v="1"/>
    <m/>
    <m/>
    <n v="1"/>
    <n v="2"/>
    <n v="1"/>
    <n v="2"/>
    <n v="2"/>
    <n v="1"/>
    <n v="1"/>
    <n v="2"/>
    <n v="1"/>
    <n v="2"/>
    <m/>
    <n v="1"/>
    <n v="4"/>
    <n v="5"/>
    <m/>
    <n v="2"/>
    <n v="4"/>
    <n v="5"/>
    <x v="1"/>
    <n v="1981"/>
    <n v="2"/>
    <m/>
    <n v="7"/>
    <m/>
    <n v="1"/>
    <m/>
    <n v="1"/>
    <m/>
    <n v="4"/>
    <n v="1"/>
    <n v="32"/>
    <x v="1"/>
    <n v="1"/>
    <n v="1"/>
    <n v="1"/>
  </r>
  <r>
    <x v="2"/>
    <m/>
    <m/>
    <n v="2"/>
    <n v="1"/>
    <n v="1"/>
    <n v="2"/>
    <n v="2"/>
    <n v="1"/>
    <n v="2"/>
    <n v="1"/>
    <n v="2"/>
    <n v="1"/>
    <m/>
    <n v="2"/>
    <m/>
    <m/>
    <m/>
    <n v="4"/>
    <n v="1"/>
    <n v="2"/>
    <x v="2"/>
    <n v="1970"/>
    <n v="1"/>
    <m/>
    <n v="5"/>
    <m/>
    <n v="2"/>
    <m/>
    <n v="2"/>
    <m/>
    <n v="1"/>
    <n v="1"/>
    <n v="43"/>
    <x v="2"/>
    <n v="2"/>
    <n v="3"/>
    <n v="2"/>
  </r>
  <r>
    <x v="3"/>
    <m/>
    <m/>
    <n v="2"/>
    <n v="1"/>
    <n v="2"/>
    <n v="2"/>
    <n v="2"/>
    <n v="2"/>
    <n v="2"/>
    <n v="1"/>
    <n v="3"/>
    <n v="3"/>
    <m/>
    <n v="1"/>
    <n v="2"/>
    <n v="8"/>
    <m/>
    <n v="5"/>
    <n v="4"/>
    <n v="4"/>
    <x v="2"/>
    <n v="1990"/>
    <n v="3"/>
    <m/>
    <n v="4"/>
    <m/>
    <n v="4"/>
    <m/>
    <n v="3"/>
    <m/>
    <n v="2"/>
    <n v="1"/>
    <n v="23"/>
    <x v="1"/>
    <n v="2"/>
    <n v="4"/>
    <n v="2"/>
  </r>
  <r>
    <x v="4"/>
    <m/>
    <m/>
    <n v="2"/>
    <n v="1"/>
    <n v="2"/>
    <n v="2"/>
    <n v="1"/>
    <n v="2"/>
    <n v="2"/>
    <n v="2"/>
    <n v="4"/>
    <m/>
    <m/>
    <n v="1"/>
    <n v="2"/>
    <n v="7"/>
    <m/>
    <n v="1"/>
    <n v="2"/>
    <n v="1"/>
    <x v="2"/>
    <n v="1983"/>
    <n v="1"/>
    <m/>
    <n v="1"/>
    <m/>
    <n v="1"/>
    <m/>
    <n v="4"/>
    <m/>
    <n v="3"/>
    <n v="1"/>
    <n v="30"/>
    <x v="1"/>
    <n v="2"/>
    <n v="3"/>
    <n v="2"/>
  </r>
  <r>
    <x v="5"/>
    <m/>
    <m/>
    <n v="1"/>
    <n v="2"/>
    <n v="2"/>
    <n v="1"/>
    <n v="1"/>
    <n v="2"/>
    <n v="2"/>
    <n v="1"/>
    <n v="1"/>
    <n v="6"/>
    <m/>
    <n v="2"/>
    <m/>
    <m/>
    <m/>
    <n v="3"/>
    <n v="3"/>
    <m/>
    <x v="2"/>
    <n v="1967"/>
    <n v="1"/>
    <m/>
    <n v="2"/>
    <m/>
    <n v="3"/>
    <m/>
    <n v="4"/>
    <m/>
    <n v="2"/>
    <n v="1"/>
    <n v="46"/>
    <x v="2"/>
    <n v="3"/>
    <n v="5"/>
    <n v="3"/>
  </r>
  <r>
    <x v="1"/>
    <m/>
    <m/>
    <n v="1"/>
    <n v="2"/>
    <n v="1"/>
    <n v="1"/>
    <n v="2"/>
    <n v="1"/>
    <n v="1"/>
    <n v="2"/>
    <n v="4"/>
    <m/>
    <m/>
    <n v="2"/>
    <m/>
    <m/>
    <m/>
    <n v="2"/>
    <n v="2"/>
    <n v="1"/>
    <x v="2"/>
    <n v="1962"/>
    <n v="2"/>
    <m/>
    <n v="3"/>
    <m/>
    <n v="3"/>
    <m/>
    <n v="1"/>
    <m/>
    <n v="1"/>
    <n v="1"/>
    <n v="51"/>
    <x v="2"/>
    <n v="2"/>
    <n v="2"/>
    <n v="2"/>
  </r>
  <r>
    <x v="4"/>
    <m/>
    <m/>
    <n v="1"/>
    <n v="2"/>
    <n v="1"/>
    <n v="1"/>
    <n v="1"/>
    <n v="1"/>
    <n v="1"/>
    <n v="1"/>
    <n v="1"/>
    <n v="7"/>
    <m/>
    <n v="1"/>
    <n v="2"/>
    <n v="6"/>
    <m/>
    <n v="1"/>
    <n v="3"/>
    <n v="3"/>
    <x v="2"/>
    <n v="1994"/>
    <n v="3"/>
    <m/>
    <n v="3"/>
    <m/>
    <n v="2"/>
    <m/>
    <n v="2"/>
    <m/>
    <n v="4"/>
    <n v="1"/>
    <n v="19"/>
    <x v="1"/>
    <n v="2"/>
    <n v="4"/>
    <n v="2"/>
  </r>
  <r>
    <x v="2"/>
    <m/>
    <m/>
    <n v="1"/>
    <n v="1"/>
    <n v="1"/>
    <n v="1"/>
    <n v="1"/>
    <n v="1"/>
    <n v="1"/>
    <n v="2"/>
    <n v="3"/>
    <n v="2"/>
    <m/>
    <n v="2"/>
    <m/>
    <m/>
    <m/>
    <n v="3"/>
    <n v="2"/>
    <n v="2"/>
    <x v="1"/>
    <n v="1983"/>
    <n v="2"/>
    <m/>
    <n v="2"/>
    <m/>
    <n v="1"/>
    <m/>
    <n v="3"/>
    <m/>
    <n v="1"/>
    <n v="1"/>
    <n v="30"/>
    <x v="1"/>
    <n v="2"/>
    <n v="4"/>
    <n v="2"/>
  </r>
  <r>
    <x v="1"/>
    <m/>
    <m/>
    <n v="2"/>
    <n v="1"/>
    <n v="2"/>
    <n v="2"/>
    <n v="1"/>
    <n v="2"/>
    <n v="1"/>
    <n v="1"/>
    <n v="2"/>
    <n v="2"/>
    <m/>
    <n v="1"/>
    <n v="1"/>
    <n v="1"/>
    <m/>
    <n v="8"/>
    <n v="3"/>
    <n v="5"/>
    <x v="1"/>
    <n v="1975"/>
    <n v="3"/>
    <m/>
    <n v="2"/>
    <m/>
    <n v="4"/>
    <m/>
    <n v="2"/>
    <m/>
    <n v="3"/>
    <n v="1"/>
    <n v="38"/>
    <x v="1"/>
    <n v="2"/>
    <n v="2"/>
    <n v="1"/>
  </r>
  <r>
    <x v="3"/>
    <m/>
    <m/>
    <n v="2"/>
    <n v="2"/>
    <n v="2"/>
    <n v="2"/>
    <n v="2"/>
    <n v="2"/>
    <n v="1"/>
    <n v="1"/>
    <n v="2"/>
    <n v="3"/>
    <m/>
    <n v="1"/>
    <n v="2"/>
    <n v="5"/>
    <m/>
    <n v="2"/>
    <n v="2"/>
    <n v="5"/>
    <x v="1"/>
    <n v="1979"/>
    <n v="3"/>
    <m/>
    <n v="1"/>
    <m/>
    <n v="1"/>
    <m/>
    <n v="1"/>
    <m/>
    <n v="2"/>
    <n v="1"/>
    <n v="34"/>
    <x v="1"/>
    <n v="1"/>
    <n v="1"/>
    <n v="1"/>
  </r>
  <r>
    <x v="1"/>
    <m/>
    <m/>
    <n v="2"/>
    <n v="2"/>
    <n v="2"/>
    <n v="2"/>
    <n v="2"/>
    <n v="2"/>
    <n v="2"/>
    <n v="2"/>
    <n v="3"/>
    <n v="5"/>
    <m/>
    <n v="2"/>
    <m/>
    <m/>
    <m/>
    <n v="1"/>
    <n v="1"/>
    <n v="5"/>
    <x v="1"/>
    <n v="1957"/>
    <n v="3"/>
    <m/>
    <n v="1"/>
    <m/>
    <n v="3"/>
    <m/>
    <n v="4"/>
    <m/>
    <n v="3"/>
    <n v="1"/>
    <n v="56"/>
    <x v="2"/>
    <n v="1"/>
    <n v="1"/>
    <n v="1"/>
  </r>
  <r>
    <x v="5"/>
    <m/>
    <m/>
    <n v="1"/>
    <n v="1"/>
    <n v="1"/>
    <n v="2"/>
    <n v="2"/>
    <n v="1"/>
    <n v="2"/>
    <n v="2"/>
    <n v="3"/>
    <n v="98"/>
    <m/>
    <n v="1"/>
    <n v="4"/>
    <n v="4"/>
    <m/>
    <n v="2"/>
    <n v="3"/>
    <m/>
    <x v="2"/>
    <n v="1946"/>
    <n v="2"/>
    <m/>
    <n v="5"/>
    <m/>
    <n v="2"/>
    <m/>
    <n v="2"/>
    <m/>
    <n v="2"/>
    <n v="1"/>
    <n v="67"/>
    <x v="3"/>
    <n v="2"/>
    <n v="4"/>
    <n v="3"/>
  </r>
  <r>
    <x v="1"/>
    <m/>
    <m/>
    <n v="1"/>
    <n v="2"/>
    <n v="1"/>
    <n v="1"/>
    <n v="1"/>
    <n v="1"/>
    <n v="1"/>
    <n v="1"/>
    <n v="2"/>
    <n v="1"/>
    <m/>
    <n v="1"/>
    <n v="2"/>
    <n v="98"/>
    <m/>
    <n v="3"/>
    <n v="2"/>
    <n v="1"/>
    <x v="1"/>
    <n v="1947"/>
    <n v="1"/>
    <m/>
    <n v="6"/>
    <m/>
    <n v="4"/>
    <m/>
    <n v="1"/>
    <m/>
    <n v="2"/>
    <n v="1"/>
    <n v="66"/>
    <x v="3"/>
    <n v="2"/>
    <n v="3"/>
    <n v="2"/>
  </r>
  <r>
    <x v="3"/>
    <m/>
    <m/>
    <n v="2"/>
    <n v="1"/>
    <n v="1"/>
    <n v="1"/>
    <n v="2"/>
    <n v="2"/>
    <n v="2"/>
    <n v="2"/>
    <n v="4"/>
    <m/>
    <m/>
    <n v="2"/>
    <m/>
    <m/>
    <m/>
    <n v="5"/>
    <n v="4"/>
    <n v="3"/>
    <x v="2"/>
    <n v="1984"/>
    <n v="3"/>
    <m/>
    <n v="4"/>
    <m/>
    <n v="6"/>
    <m/>
    <n v="3"/>
    <m/>
    <n v="1"/>
    <n v="1"/>
    <n v="29"/>
    <x v="1"/>
    <n v="2"/>
    <n v="4"/>
    <n v="2"/>
  </r>
  <r>
    <x v="4"/>
    <m/>
    <m/>
    <n v="1"/>
    <n v="2"/>
    <n v="2"/>
    <n v="2"/>
    <n v="2"/>
    <n v="2"/>
    <n v="1"/>
    <n v="1"/>
    <n v="1"/>
    <n v="8"/>
    <m/>
    <n v="2"/>
    <m/>
    <m/>
    <m/>
    <n v="3"/>
    <n v="3"/>
    <n v="1"/>
    <x v="1"/>
    <n v="1989"/>
    <n v="2"/>
    <m/>
    <n v="7"/>
    <m/>
    <n v="4"/>
    <m/>
    <n v="2"/>
    <m/>
    <n v="2"/>
    <n v="1"/>
    <n v="24"/>
    <x v="1"/>
    <n v="2"/>
    <n v="2"/>
    <n v="2"/>
  </r>
  <r>
    <x v="1"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4"/>
    <n v="3"/>
  </r>
  <r>
    <x v="1"/>
    <m/>
    <m/>
    <m/>
    <m/>
    <m/>
    <m/>
    <m/>
    <m/>
    <m/>
    <m/>
    <m/>
    <m/>
    <m/>
    <m/>
    <m/>
    <m/>
    <m/>
    <m/>
    <m/>
    <m/>
    <x v="2"/>
    <n v="1987"/>
    <m/>
    <m/>
    <m/>
    <m/>
    <m/>
    <m/>
    <m/>
    <m/>
    <m/>
    <n v="1"/>
    <n v="26"/>
    <x v="1"/>
    <n v="2"/>
    <n v="4"/>
    <n v="3"/>
  </r>
  <r>
    <x v="1"/>
    <m/>
    <m/>
    <m/>
    <m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3"/>
    <n v="3"/>
  </r>
  <r>
    <x v="1"/>
    <m/>
    <m/>
    <m/>
    <m/>
    <m/>
    <m/>
    <m/>
    <m/>
    <m/>
    <m/>
    <m/>
    <m/>
    <m/>
    <m/>
    <m/>
    <m/>
    <m/>
    <m/>
    <m/>
    <m/>
    <x v="2"/>
    <n v="1981"/>
    <m/>
    <m/>
    <m/>
    <m/>
    <m/>
    <m/>
    <m/>
    <m/>
    <m/>
    <n v="1"/>
    <n v="32"/>
    <x v="1"/>
    <n v="2"/>
    <n v="4"/>
    <n v="3"/>
  </r>
  <r>
    <x v="1"/>
    <m/>
    <m/>
    <m/>
    <m/>
    <m/>
    <m/>
    <m/>
    <m/>
    <m/>
    <m/>
    <m/>
    <m/>
    <m/>
    <m/>
    <m/>
    <m/>
    <m/>
    <m/>
    <m/>
    <m/>
    <x v="2"/>
    <n v="1970"/>
    <m/>
    <m/>
    <m/>
    <m/>
    <m/>
    <m/>
    <m/>
    <m/>
    <m/>
    <n v="1"/>
    <n v="43"/>
    <x v="2"/>
    <n v="2"/>
    <n v="4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2"/>
    <n v="4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1"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608">
  <r>
    <x v="0"/>
    <s v="Au cours des deux dernières années, vous êtes vous IMPLIQUÉ SUR UNE BASE RÉGULIÈRE dans les activités suivantes de votre quartier : Dans des activités sociales, culturelles ou sportives organisées par les gens de votre quartier ou de votre municipalité ?"/>
    <s v="Au cours des deux dernières années, avez-vous été victime de vol, de vandalisme ou de tout autre crime contre vos biens, chez vous ou dans votre quartier ?"/>
    <s v="Au cours des deux dernières années, avez-vous été victime d'une agression, d'intimidation ou de tout autre acte de violence, chez vous ou dans votre quartier ?"/>
    <s v="Au cours des deux dernières années avez-vous été victime dans votre quartier d'une quelconque forme de discrimination ?"/>
    <s v="À votre avis, le motif de cette discrimination était lié …"/>
    <s v="Autre, précisez :"/>
    <s v="Au cours des deux dernières années, avez-vous subi un accident qui vous a occasionné une blessure pour laquelle vous avez dû consulter un professionnel de la santé ou limiter vos activités ?"/>
    <s v="Combien de fois cela s'est-il produit ?"/>
    <s v="En se référant au dernier événement, était-ce … ?"/>
    <s v="Autre, précisez :"/>
    <s v="Maintenant, comparativement à d'autres personnes de votre âge, dirirez-vous que votre santé est en général …"/>
    <s v="Dans quel quartier habitez-vous ?"/>
    <s v="Combien de personne de moins de 18 ans habitent dans votre foyer ?"/>
    <x v="0"/>
    <s v="Quelle est votre année de naissance ?"/>
    <s v="Êtes-vous propriétaire ou locataire du logement que vous habitez ?"/>
    <s v="Autre, précisez : "/>
    <s v="Habitez-vous dans …"/>
    <s v="Autre, précisez : "/>
    <s v="Quel est votre état civil ?"/>
    <s v="Autre, précisez : "/>
    <s v="Où est situé votre lieu de travail habituel ?"/>
    <s v="Autre, précisez : "/>
    <s v="Quel est le plus haut niveau de scolarité que vous avez complété ?"/>
    <m/>
    <m/>
    <x v="0"/>
    <m/>
    <m/>
    <m/>
  </r>
  <r>
    <x v="1"/>
    <n v="1"/>
    <n v="1"/>
    <n v="2"/>
    <n v="1"/>
    <n v="2"/>
    <m/>
    <n v="1"/>
    <n v="4"/>
    <n v="5"/>
    <m/>
    <n v="2"/>
    <n v="4"/>
    <n v="5"/>
    <x v="1"/>
    <n v="1981"/>
    <n v="2"/>
    <m/>
    <n v="7"/>
    <m/>
    <n v="1"/>
    <m/>
    <n v="1"/>
    <m/>
    <n v="4"/>
    <n v="1"/>
    <n v="32"/>
    <x v="1"/>
    <n v="1"/>
    <n v="1"/>
    <n v="1"/>
  </r>
  <r>
    <x v="1"/>
    <n v="1"/>
    <n v="2"/>
    <n v="1"/>
    <n v="2"/>
    <n v="1"/>
    <m/>
    <n v="2"/>
    <m/>
    <m/>
    <m/>
    <n v="4"/>
    <n v="1"/>
    <n v="2"/>
    <x v="2"/>
    <n v="1970"/>
    <n v="1"/>
    <m/>
    <n v="5"/>
    <m/>
    <n v="2"/>
    <m/>
    <n v="2"/>
    <m/>
    <n v="1"/>
    <n v="1"/>
    <n v="43"/>
    <x v="2"/>
    <n v="2"/>
    <n v="3"/>
    <n v="2"/>
  </r>
  <r>
    <x v="1"/>
    <n v="2"/>
    <n v="2"/>
    <n v="1"/>
    <n v="3"/>
    <n v="3"/>
    <m/>
    <n v="1"/>
    <n v="2"/>
    <n v="8"/>
    <m/>
    <n v="5"/>
    <n v="4"/>
    <n v="4"/>
    <x v="2"/>
    <n v="1990"/>
    <n v="3"/>
    <m/>
    <n v="4"/>
    <m/>
    <n v="4"/>
    <m/>
    <n v="3"/>
    <m/>
    <n v="2"/>
    <n v="1"/>
    <n v="23"/>
    <x v="1"/>
    <n v="2"/>
    <n v="4"/>
    <n v="2"/>
  </r>
  <r>
    <x v="2"/>
    <n v="2"/>
    <n v="2"/>
    <n v="2"/>
    <n v="4"/>
    <m/>
    <m/>
    <n v="1"/>
    <n v="2"/>
    <n v="7"/>
    <m/>
    <n v="1"/>
    <n v="2"/>
    <n v="1"/>
    <x v="2"/>
    <n v="1983"/>
    <n v="1"/>
    <m/>
    <n v="1"/>
    <m/>
    <n v="1"/>
    <m/>
    <n v="4"/>
    <m/>
    <n v="3"/>
    <n v="1"/>
    <n v="30"/>
    <x v="1"/>
    <n v="2"/>
    <n v="3"/>
    <n v="2"/>
  </r>
  <r>
    <x v="2"/>
    <n v="2"/>
    <n v="2"/>
    <n v="1"/>
    <n v="1"/>
    <n v="6"/>
    <m/>
    <n v="2"/>
    <m/>
    <m/>
    <m/>
    <n v="3"/>
    <n v="3"/>
    <m/>
    <x v="2"/>
    <n v="1967"/>
    <n v="1"/>
    <m/>
    <n v="2"/>
    <m/>
    <n v="3"/>
    <m/>
    <n v="4"/>
    <m/>
    <n v="2"/>
    <n v="1"/>
    <n v="46"/>
    <x v="2"/>
    <n v="3"/>
    <n v="5"/>
    <n v="3"/>
  </r>
  <r>
    <x v="1"/>
    <n v="1"/>
    <n v="1"/>
    <n v="2"/>
    <n v="4"/>
    <m/>
    <m/>
    <n v="2"/>
    <m/>
    <m/>
    <m/>
    <n v="2"/>
    <n v="2"/>
    <n v="1"/>
    <x v="2"/>
    <n v="1962"/>
    <n v="2"/>
    <m/>
    <n v="3"/>
    <m/>
    <n v="3"/>
    <m/>
    <n v="1"/>
    <m/>
    <n v="1"/>
    <n v="1"/>
    <n v="51"/>
    <x v="2"/>
    <n v="2"/>
    <n v="2"/>
    <n v="2"/>
  </r>
  <r>
    <x v="2"/>
    <n v="1"/>
    <n v="1"/>
    <n v="1"/>
    <n v="1"/>
    <n v="7"/>
    <m/>
    <n v="1"/>
    <n v="2"/>
    <n v="6"/>
    <m/>
    <n v="1"/>
    <n v="3"/>
    <n v="3"/>
    <x v="2"/>
    <n v="1994"/>
    <n v="3"/>
    <m/>
    <n v="3"/>
    <m/>
    <n v="2"/>
    <m/>
    <n v="2"/>
    <m/>
    <n v="4"/>
    <n v="1"/>
    <n v="19"/>
    <x v="1"/>
    <n v="2"/>
    <n v="4"/>
    <n v="2"/>
  </r>
  <r>
    <x v="2"/>
    <n v="1"/>
    <n v="1"/>
    <n v="2"/>
    <n v="3"/>
    <n v="2"/>
    <m/>
    <n v="2"/>
    <m/>
    <m/>
    <m/>
    <n v="3"/>
    <n v="2"/>
    <n v="2"/>
    <x v="1"/>
    <n v="1983"/>
    <n v="2"/>
    <m/>
    <n v="2"/>
    <m/>
    <n v="1"/>
    <m/>
    <n v="3"/>
    <m/>
    <n v="1"/>
    <n v="1"/>
    <n v="30"/>
    <x v="1"/>
    <n v="2"/>
    <n v="4"/>
    <n v="2"/>
  </r>
  <r>
    <x v="2"/>
    <n v="2"/>
    <n v="1"/>
    <n v="1"/>
    <n v="2"/>
    <n v="2"/>
    <m/>
    <n v="1"/>
    <n v="1"/>
    <n v="1"/>
    <m/>
    <n v="8"/>
    <n v="3"/>
    <n v="5"/>
    <x v="1"/>
    <n v="1975"/>
    <n v="3"/>
    <m/>
    <n v="2"/>
    <m/>
    <n v="4"/>
    <m/>
    <n v="2"/>
    <m/>
    <n v="3"/>
    <n v="1"/>
    <n v="38"/>
    <x v="1"/>
    <n v="2"/>
    <n v="2"/>
    <n v="1"/>
  </r>
  <r>
    <x v="1"/>
    <n v="2"/>
    <n v="1"/>
    <n v="1"/>
    <n v="2"/>
    <n v="3"/>
    <m/>
    <n v="1"/>
    <n v="2"/>
    <n v="5"/>
    <m/>
    <n v="2"/>
    <n v="2"/>
    <n v="5"/>
    <x v="1"/>
    <n v="1979"/>
    <n v="3"/>
    <m/>
    <n v="1"/>
    <m/>
    <n v="1"/>
    <m/>
    <n v="1"/>
    <m/>
    <n v="2"/>
    <n v="1"/>
    <n v="34"/>
    <x v="1"/>
    <n v="1"/>
    <n v="1"/>
    <n v="1"/>
  </r>
  <r>
    <x v="1"/>
    <n v="2"/>
    <n v="2"/>
    <n v="2"/>
    <n v="3"/>
    <n v="5"/>
    <m/>
    <n v="2"/>
    <m/>
    <m/>
    <m/>
    <n v="1"/>
    <n v="1"/>
    <n v="5"/>
    <x v="1"/>
    <n v="1957"/>
    <n v="3"/>
    <m/>
    <n v="1"/>
    <m/>
    <n v="3"/>
    <m/>
    <n v="4"/>
    <m/>
    <n v="3"/>
    <n v="1"/>
    <n v="56"/>
    <x v="2"/>
    <n v="1"/>
    <n v="1"/>
    <n v="1"/>
  </r>
  <r>
    <x v="1"/>
    <n v="1"/>
    <n v="2"/>
    <n v="2"/>
    <n v="3"/>
    <n v="98"/>
    <m/>
    <n v="1"/>
    <n v="4"/>
    <n v="4"/>
    <m/>
    <n v="2"/>
    <n v="3"/>
    <m/>
    <x v="2"/>
    <n v="1946"/>
    <n v="2"/>
    <m/>
    <n v="5"/>
    <m/>
    <n v="2"/>
    <m/>
    <n v="2"/>
    <m/>
    <n v="2"/>
    <n v="1"/>
    <n v="67"/>
    <x v="3"/>
    <n v="2"/>
    <n v="4"/>
    <n v="3"/>
  </r>
  <r>
    <x v="2"/>
    <n v="1"/>
    <n v="1"/>
    <n v="1"/>
    <n v="2"/>
    <n v="1"/>
    <m/>
    <n v="1"/>
    <n v="2"/>
    <n v="98"/>
    <m/>
    <n v="3"/>
    <n v="2"/>
    <n v="1"/>
    <x v="1"/>
    <n v="1947"/>
    <n v="1"/>
    <m/>
    <n v="6"/>
    <m/>
    <n v="4"/>
    <m/>
    <n v="1"/>
    <m/>
    <n v="2"/>
    <n v="1"/>
    <n v="66"/>
    <x v="3"/>
    <n v="2"/>
    <n v="3"/>
    <n v="2"/>
  </r>
  <r>
    <x v="1"/>
    <n v="2"/>
    <n v="2"/>
    <n v="2"/>
    <n v="4"/>
    <m/>
    <m/>
    <n v="2"/>
    <m/>
    <m/>
    <m/>
    <n v="5"/>
    <n v="4"/>
    <n v="3"/>
    <x v="2"/>
    <n v="1984"/>
    <n v="3"/>
    <m/>
    <n v="4"/>
    <m/>
    <n v="6"/>
    <m/>
    <n v="3"/>
    <m/>
    <n v="1"/>
    <n v="1"/>
    <n v="29"/>
    <x v="1"/>
    <n v="2"/>
    <n v="4"/>
    <n v="2"/>
  </r>
  <r>
    <x v="1"/>
    <n v="2"/>
    <n v="1"/>
    <n v="1"/>
    <n v="1"/>
    <n v="8"/>
    <m/>
    <n v="2"/>
    <m/>
    <m/>
    <m/>
    <n v="3"/>
    <n v="3"/>
    <n v="1"/>
    <x v="1"/>
    <n v="1989"/>
    <n v="2"/>
    <m/>
    <n v="7"/>
    <m/>
    <n v="4"/>
    <m/>
    <n v="2"/>
    <m/>
    <n v="2"/>
    <n v="1"/>
    <n v="24"/>
    <x v="1"/>
    <n v="2"/>
    <n v="2"/>
    <n v="2"/>
  </r>
  <r>
    <x v="3"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4"/>
    <n v="3"/>
  </r>
  <r>
    <x v="3"/>
    <m/>
    <m/>
    <m/>
    <m/>
    <m/>
    <m/>
    <m/>
    <m/>
    <m/>
    <m/>
    <m/>
    <m/>
    <m/>
    <x v="2"/>
    <n v="1987"/>
    <m/>
    <m/>
    <m/>
    <m/>
    <m/>
    <m/>
    <m/>
    <m/>
    <m/>
    <n v="1"/>
    <n v="26"/>
    <x v="1"/>
    <n v="2"/>
    <n v="4"/>
    <n v="3"/>
  </r>
  <r>
    <x v="3"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3"/>
    <n v="3"/>
  </r>
  <r>
    <x v="3"/>
    <m/>
    <m/>
    <m/>
    <m/>
    <m/>
    <m/>
    <m/>
    <m/>
    <m/>
    <m/>
    <m/>
    <m/>
    <m/>
    <x v="2"/>
    <n v="1981"/>
    <m/>
    <m/>
    <m/>
    <m/>
    <m/>
    <m/>
    <m/>
    <m/>
    <m/>
    <n v="1"/>
    <n v="32"/>
    <x v="1"/>
    <n v="2"/>
    <n v="4"/>
    <n v="3"/>
  </r>
  <r>
    <x v="3"/>
    <m/>
    <m/>
    <m/>
    <m/>
    <m/>
    <m/>
    <m/>
    <m/>
    <m/>
    <m/>
    <m/>
    <m/>
    <m/>
    <x v="2"/>
    <n v="1970"/>
    <m/>
    <m/>
    <m/>
    <m/>
    <m/>
    <m/>
    <m/>
    <m/>
    <m/>
    <n v="1"/>
    <n v="43"/>
    <x v="2"/>
    <n v="2"/>
    <n v="4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2"/>
    <n v="4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count="608">
  <r>
    <x v="0"/>
    <s v="Au cours des deux dernières années, vous êtes vous IMPLIQUÉ SUR UNE BASE RÉGULIÈRE dans les activités suivantes de votre quartier : Dans un comité de citoyens ?"/>
    <s v="Au cours des deux dernières années, vous êtes vous IMPLIQUÉ SUR UNE BASE RÉGULIÈRE dans les activités suivantes de votre quartier : Dans des activités communautaires, d'entraide ou de bénévolat (cuisine communautaire, bazar)"/>
    <s v="Au cours des deux dernières années, vous êtes vous IMPLIQUÉ SUR UNE BASE RÉGULIÈRE dans les activités suivantes de votre quartier : Dans des activités sociales, culturelles ou sportives organisées par les gens de votre quartier ou de votre municipalité ?"/>
    <s v="Au cours des deux dernières années, avez-vous été victime de vol, de vandalisme ou de tout autre crime contre vos biens, chez vous ou dans votre quartier ?"/>
    <s v="Au cours des deux dernières années, avez-vous été victime d'une agression, d'intimidation ou de tout autre acte de violence, chez vous ou dans votre quartier ?"/>
    <s v="Au cours des deux dernières années avez-vous été victime dans votre quartier d'une quelconque forme de discrimination ?"/>
    <s v="À votre avis, le motif de cette discrimination était lié …"/>
    <s v="Autre, précisez :"/>
    <s v="Au cours des deux dernières années, avez-vous subi un accident qui vous a occasionné une blessure pour laquelle vous avez dû consulter un professionnel de la santé ou limiter vos activités ?"/>
    <s v="Combien de fois cela s'est-il produit ?"/>
    <s v="En se référant au dernier événement, était-ce … ?"/>
    <s v="Autre, précisez :"/>
    <s v="Maintenant, comparativement à d'autres personnes de votre âge, dirirez-vous que votre santé est en général …"/>
    <s v="Dans quel quartier habitez-vous ?"/>
    <s v="Combien de personne de moins de 18 ans habitent dans votre foyer ?"/>
    <x v="0"/>
    <s v="Quelle est votre année de naissance ?"/>
    <s v="Êtes-vous propriétaire ou locataire du logement que vous habitez ?"/>
    <s v="Autre, précisez : "/>
    <s v="Habitez-vous dans …"/>
    <s v="Autre, précisez : "/>
    <s v="Quel est votre état civil ?"/>
    <s v="Autre, précisez : "/>
    <s v="Où est situé votre lieu de travail habituel ?"/>
    <s v="Autre, précisez : "/>
    <s v="Quel est le plus haut niveau de scolarité que vous avez complété ?"/>
    <m/>
    <m/>
    <x v="0"/>
    <m/>
    <m/>
    <m/>
  </r>
  <r>
    <x v="1"/>
    <n v="2"/>
    <n v="2"/>
    <n v="1"/>
    <n v="1"/>
    <n v="2"/>
    <n v="1"/>
    <n v="2"/>
    <m/>
    <n v="1"/>
    <n v="4"/>
    <n v="5"/>
    <m/>
    <n v="2"/>
    <n v="4"/>
    <n v="5"/>
    <x v="1"/>
    <n v="1981"/>
    <n v="2"/>
    <m/>
    <n v="7"/>
    <m/>
    <n v="1"/>
    <m/>
    <n v="1"/>
    <m/>
    <n v="4"/>
    <n v="1"/>
    <n v="32"/>
    <x v="1"/>
    <n v="1"/>
    <n v="1"/>
    <n v="1"/>
  </r>
  <r>
    <x v="1"/>
    <n v="2"/>
    <n v="2"/>
    <n v="1"/>
    <n v="2"/>
    <n v="1"/>
    <n v="2"/>
    <n v="1"/>
    <m/>
    <n v="2"/>
    <m/>
    <m/>
    <m/>
    <n v="4"/>
    <n v="1"/>
    <n v="2"/>
    <x v="2"/>
    <n v="1970"/>
    <n v="1"/>
    <m/>
    <n v="5"/>
    <m/>
    <n v="2"/>
    <m/>
    <n v="2"/>
    <m/>
    <n v="1"/>
    <n v="1"/>
    <n v="43"/>
    <x v="2"/>
    <n v="2"/>
    <n v="3"/>
    <n v="2"/>
  </r>
  <r>
    <x v="2"/>
    <n v="2"/>
    <n v="2"/>
    <n v="2"/>
    <n v="2"/>
    <n v="1"/>
    <n v="3"/>
    <n v="3"/>
    <m/>
    <n v="1"/>
    <n v="2"/>
    <n v="8"/>
    <m/>
    <n v="5"/>
    <n v="4"/>
    <n v="4"/>
    <x v="2"/>
    <n v="1990"/>
    <n v="3"/>
    <m/>
    <n v="4"/>
    <m/>
    <n v="4"/>
    <m/>
    <n v="3"/>
    <m/>
    <n v="2"/>
    <n v="1"/>
    <n v="23"/>
    <x v="1"/>
    <n v="2"/>
    <n v="4"/>
    <n v="2"/>
  </r>
  <r>
    <x v="2"/>
    <n v="2"/>
    <n v="1"/>
    <n v="2"/>
    <n v="2"/>
    <n v="2"/>
    <n v="4"/>
    <m/>
    <m/>
    <n v="1"/>
    <n v="2"/>
    <n v="7"/>
    <m/>
    <n v="1"/>
    <n v="2"/>
    <n v="1"/>
    <x v="2"/>
    <n v="1983"/>
    <n v="1"/>
    <m/>
    <n v="1"/>
    <m/>
    <n v="1"/>
    <m/>
    <n v="4"/>
    <m/>
    <n v="3"/>
    <n v="1"/>
    <n v="30"/>
    <x v="1"/>
    <n v="2"/>
    <n v="3"/>
    <n v="2"/>
  </r>
  <r>
    <x v="2"/>
    <n v="1"/>
    <n v="1"/>
    <n v="2"/>
    <n v="2"/>
    <n v="1"/>
    <n v="1"/>
    <n v="6"/>
    <m/>
    <n v="2"/>
    <m/>
    <m/>
    <m/>
    <n v="3"/>
    <n v="3"/>
    <m/>
    <x v="2"/>
    <n v="1967"/>
    <n v="1"/>
    <m/>
    <n v="2"/>
    <m/>
    <n v="3"/>
    <m/>
    <n v="4"/>
    <m/>
    <n v="2"/>
    <n v="1"/>
    <n v="46"/>
    <x v="2"/>
    <n v="3"/>
    <n v="5"/>
    <n v="3"/>
  </r>
  <r>
    <x v="1"/>
    <n v="1"/>
    <n v="2"/>
    <n v="1"/>
    <n v="1"/>
    <n v="2"/>
    <n v="4"/>
    <m/>
    <m/>
    <n v="2"/>
    <m/>
    <m/>
    <m/>
    <n v="2"/>
    <n v="2"/>
    <n v="1"/>
    <x v="2"/>
    <n v="1962"/>
    <n v="2"/>
    <m/>
    <n v="3"/>
    <m/>
    <n v="3"/>
    <m/>
    <n v="1"/>
    <m/>
    <n v="1"/>
    <n v="1"/>
    <n v="51"/>
    <x v="2"/>
    <n v="2"/>
    <n v="2"/>
    <n v="2"/>
  </r>
  <r>
    <x v="1"/>
    <n v="1"/>
    <n v="1"/>
    <n v="1"/>
    <n v="1"/>
    <n v="1"/>
    <n v="1"/>
    <n v="7"/>
    <m/>
    <n v="1"/>
    <n v="2"/>
    <n v="6"/>
    <m/>
    <n v="1"/>
    <n v="3"/>
    <n v="3"/>
    <x v="2"/>
    <n v="1994"/>
    <n v="3"/>
    <m/>
    <n v="3"/>
    <m/>
    <n v="2"/>
    <m/>
    <n v="2"/>
    <m/>
    <n v="4"/>
    <n v="1"/>
    <n v="19"/>
    <x v="1"/>
    <n v="2"/>
    <n v="4"/>
    <n v="2"/>
  </r>
  <r>
    <x v="1"/>
    <n v="1"/>
    <n v="1"/>
    <n v="1"/>
    <n v="1"/>
    <n v="2"/>
    <n v="3"/>
    <n v="2"/>
    <m/>
    <n v="2"/>
    <m/>
    <m/>
    <m/>
    <n v="3"/>
    <n v="2"/>
    <n v="2"/>
    <x v="1"/>
    <n v="1983"/>
    <n v="2"/>
    <m/>
    <n v="2"/>
    <m/>
    <n v="1"/>
    <m/>
    <n v="3"/>
    <m/>
    <n v="1"/>
    <n v="1"/>
    <n v="30"/>
    <x v="1"/>
    <n v="2"/>
    <n v="4"/>
    <n v="2"/>
  </r>
  <r>
    <x v="2"/>
    <n v="2"/>
    <n v="1"/>
    <n v="2"/>
    <n v="1"/>
    <n v="1"/>
    <n v="2"/>
    <n v="2"/>
    <m/>
    <n v="1"/>
    <n v="1"/>
    <n v="1"/>
    <m/>
    <n v="8"/>
    <n v="3"/>
    <n v="5"/>
    <x v="1"/>
    <n v="1975"/>
    <n v="3"/>
    <m/>
    <n v="2"/>
    <m/>
    <n v="4"/>
    <m/>
    <n v="2"/>
    <m/>
    <n v="3"/>
    <n v="1"/>
    <n v="38"/>
    <x v="1"/>
    <n v="2"/>
    <n v="2"/>
    <n v="1"/>
  </r>
  <r>
    <x v="2"/>
    <n v="2"/>
    <n v="2"/>
    <n v="2"/>
    <n v="1"/>
    <n v="1"/>
    <n v="2"/>
    <n v="3"/>
    <m/>
    <n v="1"/>
    <n v="2"/>
    <n v="5"/>
    <m/>
    <n v="2"/>
    <n v="2"/>
    <n v="5"/>
    <x v="1"/>
    <n v="1979"/>
    <n v="3"/>
    <m/>
    <n v="1"/>
    <m/>
    <n v="1"/>
    <m/>
    <n v="1"/>
    <m/>
    <n v="2"/>
    <n v="1"/>
    <n v="34"/>
    <x v="1"/>
    <n v="1"/>
    <n v="1"/>
    <n v="1"/>
  </r>
  <r>
    <x v="2"/>
    <n v="2"/>
    <n v="2"/>
    <n v="2"/>
    <n v="2"/>
    <n v="2"/>
    <n v="3"/>
    <n v="5"/>
    <m/>
    <n v="2"/>
    <m/>
    <m/>
    <m/>
    <n v="1"/>
    <n v="1"/>
    <n v="5"/>
    <x v="1"/>
    <n v="1957"/>
    <n v="3"/>
    <m/>
    <n v="1"/>
    <m/>
    <n v="3"/>
    <m/>
    <n v="4"/>
    <m/>
    <n v="3"/>
    <n v="1"/>
    <n v="56"/>
    <x v="2"/>
    <n v="1"/>
    <n v="1"/>
    <n v="1"/>
  </r>
  <r>
    <x v="1"/>
    <n v="2"/>
    <n v="2"/>
    <n v="1"/>
    <n v="2"/>
    <n v="2"/>
    <n v="3"/>
    <n v="98"/>
    <m/>
    <n v="1"/>
    <n v="4"/>
    <n v="4"/>
    <m/>
    <n v="2"/>
    <n v="3"/>
    <m/>
    <x v="2"/>
    <n v="1946"/>
    <n v="2"/>
    <m/>
    <n v="5"/>
    <m/>
    <n v="2"/>
    <m/>
    <n v="2"/>
    <m/>
    <n v="2"/>
    <n v="1"/>
    <n v="67"/>
    <x v="3"/>
    <n v="2"/>
    <n v="4"/>
    <n v="3"/>
  </r>
  <r>
    <x v="1"/>
    <n v="1"/>
    <n v="1"/>
    <n v="1"/>
    <n v="1"/>
    <n v="1"/>
    <n v="2"/>
    <n v="1"/>
    <m/>
    <n v="1"/>
    <n v="2"/>
    <n v="98"/>
    <m/>
    <n v="3"/>
    <n v="2"/>
    <n v="1"/>
    <x v="1"/>
    <n v="1947"/>
    <n v="1"/>
    <m/>
    <n v="6"/>
    <m/>
    <n v="4"/>
    <m/>
    <n v="1"/>
    <m/>
    <n v="2"/>
    <n v="1"/>
    <n v="66"/>
    <x v="3"/>
    <n v="2"/>
    <n v="3"/>
    <n v="2"/>
  </r>
  <r>
    <x v="1"/>
    <n v="1"/>
    <n v="2"/>
    <n v="2"/>
    <n v="2"/>
    <n v="2"/>
    <n v="4"/>
    <m/>
    <m/>
    <n v="2"/>
    <m/>
    <m/>
    <m/>
    <n v="5"/>
    <n v="4"/>
    <n v="3"/>
    <x v="2"/>
    <n v="1984"/>
    <n v="3"/>
    <m/>
    <n v="4"/>
    <m/>
    <n v="6"/>
    <m/>
    <n v="3"/>
    <m/>
    <n v="1"/>
    <n v="1"/>
    <n v="29"/>
    <x v="1"/>
    <n v="2"/>
    <n v="4"/>
    <n v="2"/>
  </r>
  <r>
    <x v="2"/>
    <n v="2"/>
    <n v="2"/>
    <n v="2"/>
    <n v="1"/>
    <n v="1"/>
    <n v="1"/>
    <n v="8"/>
    <m/>
    <n v="2"/>
    <m/>
    <m/>
    <m/>
    <n v="3"/>
    <n v="3"/>
    <n v="1"/>
    <x v="1"/>
    <n v="1989"/>
    <n v="2"/>
    <m/>
    <n v="7"/>
    <m/>
    <n v="4"/>
    <m/>
    <n v="2"/>
    <m/>
    <n v="2"/>
    <n v="1"/>
    <n v="24"/>
    <x v="1"/>
    <n v="2"/>
    <n v="2"/>
    <n v="2"/>
  </r>
  <r>
    <x v="3"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4"/>
    <n v="3"/>
  </r>
  <r>
    <x v="3"/>
    <m/>
    <m/>
    <m/>
    <m/>
    <m/>
    <m/>
    <m/>
    <m/>
    <m/>
    <m/>
    <m/>
    <m/>
    <m/>
    <m/>
    <m/>
    <x v="2"/>
    <n v="1987"/>
    <m/>
    <m/>
    <m/>
    <m/>
    <m/>
    <m/>
    <m/>
    <m/>
    <m/>
    <n v="1"/>
    <n v="26"/>
    <x v="1"/>
    <n v="2"/>
    <n v="4"/>
    <n v="3"/>
  </r>
  <r>
    <x v="3"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3"/>
    <n v="3"/>
  </r>
  <r>
    <x v="3"/>
    <m/>
    <m/>
    <m/>
    <m/>
    <m/>
    <m/>
    <m/>
    <m/>
    <m/>
    <m/>
    <m/>
    <m/>
    <m/>
    <m/>
    <m/>
    <x v="2"/>
    <n v="1981"/>
    <m/>
    <m/>
    <m/>
    <m/>
    <m/>
    <m/>
    <m/>
    <m/>
    <m/>
    <n v="1"/>
    <n v="32"/>
    <x v="1"/>
    <n v="2"/>
    <n v="4"/>
    <n v="3"/>
  </r>
  <r>
    <x v="3"/>
    <m/>
    <m/>
    <m/>
    <m/>
    <m/>
    <m/>
    <m/>
    <m/>
    <m/>
    <m/>
    <m/>
    <m/>
    <m/>
    <m/>
    <m/>
    <x v="2"/>
    <n v="1970"/>
    <m/>
    <m/>
    <m/>
    <m/>
    <m/>
    <m/>
    <m/>
    <m/>
    <m/>
    <n v="1"/>
    <n v="43"/>
    <x v="2"/>
    <n v="2"/>
    <n v="4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2"/>
    <n v="4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count="608">
  <r>
    <x v="0"/>
    <s v="Au cours des deux dernières années, vous êtes vous IMPLIQUÉ SUR UNE BASE RÉGULIÈRE dans les activités suivantes de votre quartier : Dans un conseil de quartier ou d'arrondissement ?"/>
    <s v="Au cours des deux dernières années, vous êtes vous IMPLIQUÉ SUR UNE BASE RÉGULIÈRE dans les activités suivantes de votre quartier : Dans un comité de citoyens ?"/>
    <s v="Au cours des deux dernières années, vous êtes vous IMPLIQUÉ SUR UNE BASE RÉGULIÈRE dans les activités suivantes de votre quartier : Dans des activités communautaires, d'entraide ou de bénévolat (cuisine communautaire, bazar)"/>
    <s v="Au cours des deux dernières années, vous êtes vous IMPLIQUÉ SUR UNE BASE RÉGULIÈRE dans les activités suivantes de votre quartier : Dans des activités sociales, culturelles ou sportives organisées par les gens de votre quartier ou de votre municipalité ?"/>
    <s v="Au cours des deux dernières années, avez-vous été victime de vol, de vandalisme ou de tout autre crime contre vos biens, chez vous ou dans votre quartier ?"/>
    <s v="Au cours des deux dernières années, avez-vous été victime d'une agression, d'intimidation ou de tout autre acte de violence, chez vous ou dans votre quartier ?"/>
    <s v="Au cours des deux dernières années avez-vous été victime dans votre quartier d'une quelconque forme de discrimination ?"/>
    <s v="À votre avis, le motif de cette discrimination était lié …"/>
    <s v="Autre, précisez :"/>
    <s v="Au cours des deux dernières années, avez-vous subi un accident qui vous a occasionné une blessure pour laquelle vous avez dû consulter un professionnel de la santé ou limiter vos activités ?"/>
    <s v="Combien de fois cela s'est-il produit ?"/>
    <s v="En se référant au dernier événement, était-ce … ?"/>
    <s v="Autre, précisez :"/>
    <s v="Maintenant, comparativement à d'autres personnes de votre âge, dirirez-vous que votre santé est en général …"/>
    <s v="Dans quel quartier habitez-vous ?"/>
    <s v="Combien de personne de moins de 18 ans habitent dans votre foyer ?"/>
    <x v="0"/>
    <s v="Quelle est votre année de naissance ?"/>
    <s v="Êtes-vous propriétaire ou locataire du logement que vous habitez ?"/>
    <s v="Autre, précisez : "/>
    <s v="Habitez-vous dans …"/>
    <s v="Autre, précisez : "/>
    <s v="Quel est votre état civil ?"/>
    <s v="Autre, précisez : "/>
    <s v="Où est situé votre lieu de travail habituel ?"/>
    <s v="Autre, précisez : "/>
    <s v="Quel est le plus haut niveau de scolarité que vous avez complété ?"/>
    <m/>
    <m/>
    <x v="0"/>
    <m/>
    <m/>
    <m/>
  </r>
  <r>
    <x v="1"/>
    <n v="1"/>
    <n v="2"/>
    <n v="2"/>
    <n v="1"/>
    <n v="1"/>
    <n v="2"/>
    <n v="1"/>
    <n v="2"/>
    <m/>
    <n v="1"/>
    <n v="4"/>
    <n v="5"/>
    <m/>
    <n v="2"/>
    <n v="4"/>
    <n v="5"/>
    <x v="1"/>
    <n v="1981"/>
    <n v="2"/>
    <m/>
    <n v="7"/>
    <m/>
    <n v="1"/>
    <m/>
    <n v="1"/>
    <m/>
    <n v="4"/>
    <n v="1"/>
    <n v="32"/>
    <x v="1"/>
    <n v="1"/>
    <n v="1"/>
    <n v="1"/>
  </r>
  <r>
    <x v="2"/>
    <n v="1"/>
    <n v="2"/>
    <n v="2"/>
    <n v="1"/>
    <n v="2"/>
    <n v="1"/>
    <n v="2"/>
    <n v="1"/>
    <m/>
    <n v="2"/>
    <m/>
    <m/>
    <m/>
    <n v="4"/>
    <n v="1"/>
    <n v="2"/>
    <x v="2"/>
    <n v="1970"/>
    <n v="1"/>
    <m/>
    <n v="5"/>
    <m/>
    <n v="2"/>
    <m/>
    <n v="2"/>
    <m/>
    <n v="1"/>
    <n v="1"/>
    <n v="43"/>
    <x v="2"/>
    <n v="2"/>
    <n v="3"/>
    <n v="2"/>
  </r>
  <r>
    <x v="2"/>
    <n v="2"/>
    <n v="2"/>
    <n v="2"/>
    <n v="2"/>
    <n v="2"/>
    <n v="1"/>
    <n v="3"/>
    <n v="3"/>
    <m/>
    <n v="1"/>
    <n v="2"/>
    <n v="8"/>
    <m/>
    <n v="5"/>
    <n v="4"/>
    <n v="4"/>
    <x v="2"/>
    <n v="1990"/>
    <n v="3"/>
    <m/>
    <n v="4"/>
    <m/>
    <n v="4"/>
    <m/>
    <n v="3"/>
    <m/>
    <n v="2"/>
    <n v="1"/>
    <n v="23"/>
    <x v="1"/>
    <n v="2"/>
    <n v="4"/>
    <n v="2"/>
  </r>
  <r>
    <x v="2"/>
    <n v="2"/>
    <n v="2"/>
    <n v="1"/>
    <n v="2"/>
    <n v="2"/>
    <n v="2"/>
    <n v="4"/>
    <m/>
    <m/>
    <n v="1"/>
    <n v="2"/>
    <n v="7"/>
    <m/>
    <n v="1"/>
    <n v="2"/>
    <n v="1"/>
    <x v="2"/>
    <n v="1983"/>
    <n v="1"/>
    <m/>
    <n v="1"/>
    <m/>
    <n v="1"/>
    <m/>
    <n v="4"/>
    <m/>
    <n v="3"/>
    <n v="1"/>
    <n v="30"/>
    <x v="1"/>
    <n v="2"/>
    <n v="3"/>
    <n v="2"/>
  </r>
  <r>
    <x v="1"/>
    <n v="2"/>
    <n v="1"/>
    <n v="1"/>
    <n v="2"/>
    <n v="2"/>
    <n v="1"/>
    <n v="1"/>
    <n v="6"/>
    <m/>
    <n v="2"/>
    <m/>
    <m/>
    <m/>
    <n v="3"/>
    <n v="3"/>
    <m/>
    <x v="2"/>
    <n v="1967"/>
    <n v="1"/>
    <m/>
    <n v="2"/>
    <m/>
    <n v="3"/>
    <m/>
    <n v="4"/>
    <m/>
    <n v="2"/>
    <n v="1"/>
    <n v="46"/>
    <x v="2"/>
    <n v="3"/>
    <n v="5"/>
    <n v="3"/>
  </r>
  <r>
    <x v="1"/>
    <n v="1"/>
    <n v="1"/>
    <n v="2"/>
    <n v="1"/>
    <n v="1"/>
    <n v="2"/>
    <n v="4"/>
    <m/>
    <m/>
    <n v="2"/>
    <m/>
    <m/>
    <m/>
    <n v="2"/>
    <n v="2"/>
    <n v="1"/>
    <x v="2"/>
    <n v="1962"/>
    <n v="2"/>
    <m/>
    <n v="3"/>
    <m/>
    <n v="3"/>
    <m/>
    <n v="1"/>
    <m/>
    <n v="1"/>
    <n v="1"/>
    <n v="51"/>
    <x v="2"/>
    <n v="2"/>
    <n v="2"/>
    <n v="2"/>
  </r>
  <r>
    <x v="1"/>
    <n v="1"/>
    <n v="1"/>
    <n v="1"/>
    <n v="1"/>
    <n v="1"/>
    <n v="1"/>
    <n v="1"/>
    <n v="7"/>
    <m/>
    <n v="1"/>
    <n v="2"/>
    <n v="6"/>
    <m/>
    <n v="1"/>
    <n v="3"/>
    <n v="3"/>
    <x v="2"/>
    <n v="1994"/>
    <n v="3"/>
    <m/>
    <n v="3"/>
    <m/>
    <n v="2"/>
    <m/>
    <n v="2"/>
    <m/>
    <n v="4"/>
    <n v="1"/>
    <n v="19"/>
    <x v="1"/>
    <n v="2"/>
    <n v="4"/>
    <n v="2"/>
  </r>
  <r>
    <x v="2"/>
    <n v="1"/>
    <n v="1"/>
    <n v="1"/>
    <n v="1"/>
    <n v="1"/>
    <n v="2"/>
    <n v="3"/>
    <n v="2"/>
    <m/>
    <n v="2"/>
    <m/>
    <m/>
    <m/>
    <n v="3"/>
    <n v="2"/>
    <n v="2"/>
    <x v="1"/>
    <n v="1983"/>
    <n v="2"/>
    <m/>
    <n v="2"/>
    <m/>
    <n v="1"/>
    <m/>
    <n v="3"/>
    <m/>
    <n v="1"/>
    <n v="1"/>
    <n v="30"/>
    <x v="1"/>
    <n v="2"/>
    <n v="4"/>
    <n v="2"/>
  </r>
  <r>
    <x v="2"/>
    <n v="2"/>
    <n v="2"/>
    <n v="1"/>
    <n v="2"/>
    <n v="1"/>
    <n v="1"/>
    <n v="2"/>
    <n v="2"/>
    <m/>
    <n v="1"/>
    <n v="1"/>
    <n v="1"/>
    <m/>
    <n v="8"/>
    <n v="3"/>
    <n v="5"/>
    <x v="1"/>
    <n v="1975"/>
    <n v="3"/>
    <m/>
    <n v="2"/>
    <m/>
    <n v="4"/>
    <m/>
    <n v="2"/>
    <m/>
    <n v="3"/>
    <n v="1"/>
    <n v="38"/>
    <x v="1"/>
    <n v="2"/>
    <n v="2"/>
    <n v="1"/>
  </r>
  <r>
    <x v="1"/>
    <n v="2"/>
    <n v="2"/>
    <n v="2"/>
    <n v="2"/>
    <n v="1"/>
    <n v="1"/>
    <n v="2"/>
    <n v="3"/>
    <m/>
    <n v="1"/>
    <n v="2"/>
    <n v="5"/>
    <m/>
    <n v="2"/>
    <n v="2"/>
    <n v="5"/>
    <x v="1"/>
    <n v="1979"/>
    <n v="3"/>
    <m/>
    <n v="1"/>
    <m/>
    <n v="1"/>
    <m/>
    <n v="1"/>
    <m/>
    <n v="2"/>
    <n v="1"/>
    <n v="34"/>
    <x v="1"/>
    <n v="1"/>
    <n v="1"/>
    <n v="1"/>
  </r>
  <r>
    <x v="1"/>
    <n v="2"/>
    <n v="2"/>
    <n v="2"/>
    <n v="2"/>
    <n v="2"/>
    <n v="2"/>
    <n v="3"/>
    <n v="5"/>
    <m/>
    <n v="2"/>
    <m/>
    <m/>
    <m/>
    <n v="1"/>
    <n v="1"/>
    <n v="5"/>
    <x v="1"/>
    <n v="1957"/>
    <n v="3"/>
    <m/>
    <n v="1"/>
    <m/>
    <n v="3"/>
    <m/>
    <n v="4"/>
    <m/>
    <n v="3"/>
    <n v="1"/>
    <n v="56"/>
    <x v="2"/>
    <n v="1"/>
    <n v="1"/>
    <n v="1"/>
  </r>
  <r>
    <x v="2"/>
    <n v="1"/>
    <n v="2"/>
    <n v="2"/>
    <n v="1"/>
    <n v="2"/>
    <n v="2"/>
    <n v="3"/>
    <n v="98"/>
    <m/>
    <n v="1"/>
    <n v="4"/>
    <n v="4"/>
    <m/>
    <n v="2"/>
    <n v="3"/>
    <m/>
    <x v="2"/>
    <n v="1946"/>
    <n v="2"/>
    <m/>
    <n v="5"/>
    <m/>
    <n v="2"/>
    <m/>
    <n v="2"/>
    <m/>
    <n v="2"/>
    <n v="1"/>
    <n v="67"/>
    <x v="3"/>
    <n v="2"/>
    <n v="4"/>
    <n v="3"/>
  </r>
  <r>
    <x v="1"/>
    <n v="1"/>
    <n v="1"/>
    <n v="1"/>
    <n v="1"/>
    <n v="1"/>
    <n v="1"/>
    <n v="2"/>
    <n v="1"/>
    <m/>
    <n v="1"/>
    <n v="2"/>
    <n v="98"/>
    <m/>
    <n v="3"/>
    <n v="2"/>
    <n v="1"/>
    <x v="1"/>
    <n v="1947"/>
    <n v="1"/>
    <m/>
    <n v="6"/>
    <m/>
    <n v="4"/>
    <m/>
    <n v="1"/>
    <m/>
    <n v="2"/>
    <n v="1"/>
    <n v="66"/>
    <x v="3"/>
    <n v="2"/>
    <n v="3"/>
    <n v="2"/>
  </r>
  <r>
    <x v="2"/>
    <n v="1"/>
    <n v="1"/>
    <n v="2"/>
    <n v="2"/>
    <n v="2"/>
    <n v="2"/>
    <n v="4"/>
    <m/>
    <m/>
    <n v="2"/>
    <m/>
    <m/>
    <m/>
    <n v="5"/>
    <n v="4"/>
    <n v="3"/>
    <x v="2"/>
    <n v="1984"/>
    <n v="3"/>
    <m/>
    <n v="4"/>
    <m/>
    <n v="6"/>
    <m/>
    <n v="3"/>
    <m/>
    <n v="1"/>
    <n v="1"/>
    <n v="29"/>
    <x v="1"/>
    <n v="2"/>
    <n v="4"/>
    <n v="2"/>
  </r>
  <r>
    <x v="1"/>
    <n v="2"/>
    <n v="2"/>
    <n v="2"/>
    <n v="2"/>
    <n v="1"/>
    <n v="1"/>
    <n v="1"/>
    <n v="8"/>
    <m/>
    <n v="2"/>
    <m/>
    <m/>
    <m/>
    <n v="3"/>
    <n v="3"/>
    <n v="1"/>
    <x v="1"/>
    <n v="1989"/>
    <n v="2"/>
    <m/>
    <n v="7"/>
    <m/>
    <n v="4"/>
    <m/>
    <n v="2"/>
    <m/>
    <n v="2"/>
    <n v="1"/>
    <n v="24"/>
    <x v="1"/>
    <n v="2"/>
    <n v="2"/>
    <n v="2"/>
  </r>
  <r>
    <x v="3"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4"/>
    <n v="3"/>
  </r>
  <r>
    <x v="3"/>
    <m/>
    <m/>
    <m/>
    <m/>
    <m/>
    <m/>
    <m/>
    <m/>
    <m/>
    <m/>
    <m/>
    <m/>
    <m/>
    <m/>
    <m/>
    <m/>
    <x v="2"/>
    <n v="1987"/>
    <m/>
    <m/>
    <m/>
    <m/>
    <m/>
    <m/>
    <m/>
    <m/>
    <m/>
    <n v="1"/>
    <n v="26"/>
    <x v="1"/>
    <n v="2"/>
    <n v="4"/>
    <n v="3"/>
  </r>
  <r>
    <x v="3"/>
    <m/>
    <m/>
    <m/>
    <m/>
    <m/>
    <m/>
    <m/>
    <m/>
    <m/>
    <m/>
    <m/>
    <m/>
    <m/>
    <m/>
    <m/>
    <m/>
    <x v="2"/>
    <n v="1990"/>
    <m/>
    <m/>
    <m/>
    <m/>
    <m/>
    <m/>
    <m/>
    <m/>
    <m/>
    <n v="1"/>
    <n v="23"/>
    <x v="1"/>
    <n v="2"/>
    <n v="3"/>
    <n v="3"/>
  </r>
  <r>
    <x v="3"/>
    <m/>
    <m/>
    <m/>
    <m/>
    <m/>
    <m/>
    <m/>
    <m/>
    <m/>
    <m/>
    <m/>
    <m/>
    <m/>
    <m/>
    <m/>
    <m/>
    <x v="2"/>
    <n v="1981"/>
    <m/>
    <m/>
    <m/>
    <m/>
    <m/>
    <m/>
    <m/>
    <m/>
    <m/>
    <n v="1"/>
    <n v="32"/>
    <x v="1"/>
    <n v="2"/>
    <n v="4"/>
    <n v="3"/>
  </r>
  <r>
    <x v="3"/>
    <m/>
    <m/>
    <m/>
    <m/>
    <m/>
    <m/>
    <m/>
    <m/>
    <m/>
    <m/>
    <m/>
    <m/>
    <m/>
    <m/>
    <m/>
    <m/>
    <x v="2"/>
    <n v="1970"/>
    <m/>
    <m/>
    <m/>
    <m/>
    <m/>
    <m/>
    <m/>
    <m/>
    <m/>
    <n v="1"/>
    <n v="43"/>
    <x v="2"/>
    <n v="2"/>
    <n v="4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2"/>
    <n v="4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n v="1"/>
    <n v="2013"/>
    <x v="4"/>
    <n v="3"/>
    <n v="5"/>
    <n v="3"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  <r>
    <x v="3"/>
    <m/>
    <m/>
    <m/>
    <m/>
    <m/>
    <m/>
    <m/>
    <m/>
    <m/>
    <m/>
    <m/>
    <m/>
    <m/>
    <m/>
    <m/>
    <m/>
    <x v="3"/>
    <m/>
    <m/>
    <m/>
    <m/>
    <m/>
    <m/>
    <m/>
    <m/>
    <m/>
    <m/>
    <m/>
    <m/>
    <x v="0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5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1.xml"/></Relationships>
</file>

<file path=xl/pivotTables/_rels/pivotTable10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5.xml"/></Relationships>
</file>

<file path=xl/pivotTables/_rels/pivotTable10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4.xml"/></Relationships>
</file>

<file path=xl/pivotTables/_rels/pivotTable10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3.xml"/></Relationships>
</file>

<file path=xl/pivotTables/_rels/pivotTable10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0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8.xml"/></Relationships>
</file>

<file path=xl/pivotTables/_rels/pivotTable10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7.xml"/></Relationships>
</file>

<file path=xl/pivotTables/_rels/pivotTable10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6.xml"/></Relationships>
</file>

<file path=xl/pivotTables/_rels/pivotTable10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6.xml"/></Relationships>
</file>

<file path=xl/pivotTables/_rels/pivotTable10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1.xml"/></Relationships>
</file>

<file path=xl/pivotTables/_rels/pivotTable10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9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2.xml"/></Relationships>
</file>

<file path=xl/pivotTables/_rels/pivotTable1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7.xml"/></Relationships>
</file>

<file path=xl/pivotTables/_rels/pivotTable1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7.xml"/></Relationships>
</file>

<file path=xl/pivotTables/_rels/pivotTable1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3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8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4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3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5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8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0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9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2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8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2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1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9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5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8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3.xml"/></Relationships>
</file>

<file path=xl/pivotTables/_rels/pivotTable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0.xml"/></Relationships>
</file>

<file path=xl/pivotTables/_rels/pivotTable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4.xml"/></Relationships>
</file>

<file path=xl/pivotTables/_rels/pivotTable3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2.xml"/></Relationships>
</file>

<file path=xl/pivotTables/_rels/pivotTable3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3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1.xml"/></Relationships>
</file>

<file path=xl/pivotTables/_rels/pivotTable3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8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9.xml"/></Relationships>
</file>

<file path=xl/pivotTables/_rels/pivotTable4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0.xml"/></Relationships>
</file>

<file path=xl/pivotTables/_rels/pivotTable4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3.xml"/></Relationships>
</file>

<file path=xl/pivotTables/_rels/pivotTable4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4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_rels/pivotTable4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7.xml"/></Relationships>
</file>

<file path=xl/pivotTables/_rels/pivotTable4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2.xml"/></Relationships>
</file>

<file path=xl/pivotTables/_rels/pivotTable4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6.xml"/></Relationships>
</file>

<file path=xl/pivotTables/_rels/pivotTable5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6.xml"/></Relationships>
</file>

<file path=xl/pivotTables/_rels/pivotTable5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2.xml"/></Relationships>
</file>

<file path=xl/pivotTables/_rels/pivotTable5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1.xml"/></Relationships>
</file>

<file path=xl/pivotTables/_rels/pivotTable5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3.xml"/></Relationships>
</file>

<file path=xl/pivotTables/_rels/pivotTable5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4.xml"/></Relationships>
</file>

<file path=xl/pivotTables/_rels/pivotTable5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4.xml"/></Relationships>
</file>

<file path=xl/pivotTables/_rels/pivotTable5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1.xml"/></Relationships>
</file>

<file path=xl/pivotTables/_rels/pivotTable5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4.xml"/></Relationships>
</file>

<file path=xl/pivotTables/_rels/pivotTable5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9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0.xml"/></Relationships>
</file>

<file path=xl/pivotTables/_rels/pivotTable6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0.xml"/></Relationships>
</file>

<file path=xl/pivotTables/_rels/pivotTable6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0.xml"/></Relationships>
</file>

<file path=xl/pivotTables/_rels/pivotTable6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6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9.xml"/></Relationships>
</file>

<file path=xl/pivotTables/_rels/pivotTable6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9.xml"/></Relationships>
</file>

<file path=xl/pivotTables/_rels/pivotTable6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6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6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1.xml"/></Relationships>
</file>

<file path=xl/pivotTables/_rels/pivotTable6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7.xml"/></Relationships>
</file>

<file path=xl/pivotTables/_rels/pivotTable7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7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6.xml"/></Relationships>
</file>

<file path=xl/pivotTables/_rels/pivotTable7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2.xml"/></Relationships>
</file>

<file path=xl/pivotTables/_rels/pivotTable7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7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8.xml"/></Relationships>
</file>

<file path=xl/pivotTables/_rels/pivotTable7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7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5.xml"/></Relationships>
</file>

<file path=xl/pivotTables/_rels/pivotTable7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7.xml"/></Relationships>
</file>

<file path=xl/pivotTables/_rels/pivotTable7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5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0.xml"/></Relationships>
</file>

<file path=xl/pivotTables/_rels/pivotTable8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8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7.xml"/></Relationships>
</file>

<file path=xl/pivotTables/_rels/pivotTable8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4.xml"/></Relationships>
</file>

<file path=xl/pivotTables/_rels/pivotTable8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9.xml"/></Relationships>
</file>

<file path=xl/pivotTables/_rels/pivotTable8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4.xml"/></Relationships>
</file>

<file path=xl/pivotTables/_rels/pivotTable8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0.xml"/></Relationships>
</file>

<file path=xl/pivotTables/_rels/pivotTable8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3.xml"/></Relationships>
</file>

<file path=xl/pivotTables/_rels/pivotTable8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6.xml"/></Relationships>
</file>

<file path=xl/pivotTables/_rels/pivotTable8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5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1.xml"/></Relationships>
</file>

<file path=xl/pivotTables/_rels/pivotTable9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9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9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8.xml"/></Relationships>
</file>

<file path=xl/pivotTables/_rels/pivotTable9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6.xml"/></Relationships>
</file>

<file path=xl/pivotTables/_rels/pivotTable9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0.xml"/></Relationships>
</file>

<file path=xl/pivotTables/_rels/pivotTable9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9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2.xml"/></Relationships>
</file>

<file path=xl/pivotTables/_rels/pivotTable9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3.xml"/></Relationships>
</file>

<file path=xl/pivotTables/_rels/pivotTable9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0.xml"/></Relationships>
</file>

<file path=xl/pivotTables/_rels/pivotTable9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pivotTable1.xml><?xml version="1.0" encoding="utf-8"?>
<pivotTableDefinition xmlns="http://schemas.openxmlformats.org/spreadsheetml/2006/main" name="Tableau croisé dynamique86" cacheId="280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H124:L130" firstHeaderRow="1" firstDataRow="2" firstDataCol="1"/>
  <pivotFields count="82">
    <pivotField axis="axisRow" showAll="0" defaultSubtotal="0">
      <items count="6">
        <item x="1"/>
        <item x="2"/>
        <item x="4"/>
        <item x="3"/>
        <item h="1" x="0"/>
        <item h="1" x="5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axis="axisCol" showAll="0">
      <items count="6">
        <item x="1"/>
        <item x="2"/>
        <item x="3"/>
        <item h="1" x="4"/>
        <item h="1" x="0"/>
        <item t="default"/>
      </items>
    </pivotField>
    <pivotField showAll="0"/>
    <pivotField showAll="0"/>
    <pivotField showAl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78"/>
  </colFields>
  <colItems count="4">
    <i>
      <x/>
    </i>
    <i>
      <x v="1"/>
    </i>
    <i>
      <x v="2"/>
    </i>
    <i t="grand">
      <x/>
    </i>
  </colItems>
  <dataFields count="1">
    <dataField name="Nombre de Répondant" fld="76" subtotal="count" baseField="0" baseItem="0"/>
  </dataFields>
  <pivotTableStyleInfo name="PivotStyleLight16" showRowHeaders="1" showColHeaders="1" showRowStripes="0" showColStripes="0" showLastColumn="1"/>
</pivotTableDefinition>
</file>

<file path=xl/pivotTables/pivotTable10.xml><?xml version="1.0" encoding="utf-8"?>
<pivotTableDefinition xmlns="http://schemas.openxmlformats.org/spreadsheetml/2006/main" name="Tableau croisé dynamique102" cacheId="296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H292:L296" firstHeaderRow="1" firstDataRow="2" firstDataCol="1"/>
  <pivotFields count="56">
    <pivotField axis="axisRow" showAll="0" defaultSubtotal="0">
      <items count="4">
        <item x="1"/>
        <item x="2"/>
        <item h="1" x="0"/>
        <item h="1" x="3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axis="axisCol" showAll="0">
      <items count="6">
        <item x="1"/>
        <item x="2"/>
        <item x="3"/>
        <item h="1" x="4"/>
        <item h="1" x="0"/>
        <item t="default"/>
      </items>
    </pivotField>
    <pivotField showAll="0"/>
    <pivotField showAll="0"/>
    <pivotField showAll="0"/>
  </pivotFields>
  <rowFields count="1">
    <field x="0"/>
  </rowFields>
  <rowItems count="3">
    <i>
      <x/>
    </i>
    <i>
      <x v="1"/>
    </i>
    <i t="grand">
      <x/>
    </i>
  </rowItems>
  <colFields count="1">
    <field x="52"/>
  </colFields>
  <colItems count="4">
    <i>
      <x/>
    </i>
    <i>
      <x v="1"/>
    </i>
    <i>
      <x v="2"/>
    </i>
    <i t="grand">
      <x/>
    </i>
  </colItems>
  <dataFields count="1">
    <dataField name="Nombre de Répondant" fld="50" subtotal="count" baseField="0" baseItem="0"/>
  </dataFields>
  <pivotTableStyleInfo name="PivotStyleLight16" showRowHeaders="1" showColHeaders="1" showRowStripes="0" showColStripes="0" showLastColumn="1"/>
</pivotTableDefinition>
</file>

<file path=xl/pivotTables/pivotTable100.xml><?xml version="1.0" encoding="utf-8"?>
<pivotTableDefinition xmlns="http://schemas.openxmlformats.org/spreadsheetml/2006/main" name="Tableau croisé dynamique32" cacheId="300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A328:D332" firstHeaderRow="1" firstDataRow="2" firstDataCol="1"/>
  <pivotFields count="52">
    <pivotField axis="axisRow" showAll="0" defaultSubtotal="0">
      <items count="4">
        <item x="1"/>
        <item x="2"/>
        <item h="1" x="0"/>
        <item h="1" x="3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axis="axisCol" showAll="0">
      <items count="5">
        <item x="1"/>
        <item x="2"/>
        <item h="1" x="0"/>
        <item h="1" x="3"/>
        <item t="default"/>
      </items>
    </pivotField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3">
    <i>
      <x/>
    </i>
    <i>
      <x v="1"/>
    </i>
    <i t="grand">
      <x/>
    </i>
  </rowItems>
  <colFields count="1">
    <field x="35"/>
  </colFields>
  <colItems count="3">
    <i>
      <x/>
    </i>
    <i>
      <x v="1"/>
    </i>
    <i t="grand">
      <x/>
    </i>
  </colItems>
  <dataFields count="1">
    <dataField name="Nombre de Répondant" fld="46" subtotal="count" baseField="0" baseItem="0"/>
  </dataFields>
  <pivotTableStyleInfo name="PivotStyleLight16" showRowHeaders="1" showColHeaders="1" showRowStripes="0" showColStripes="0" showLastColumn="1"/>
</pivotTableDefinition>
</file>

<file path=xl/pivotTables/pivotTable101.xml><?xml version="1.0" encoding="utf-8"?>
<pivotTableDefinition xmlns="http://schemas.openxmlformats.org/spreadsheetml/2006/main" name="Tableau croisé dynamique11" cacheId="279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A113:D119" firstHeaderRow="1" firstDataRow="2" firstDataCol="1"/>
  <pivotFields count="83">
    <pivotField axis="axisRow" showAll="0" defaultSubtotal="0">
      <items count="6">
        <item x="4"/>
        <item x="1"/>
        <item x="2"/>
        <item x="3"/>
        <item h="1" x="0"/>
        <item h="1" x="5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axis="axisCol" showAll="0">
      <items count="5">
        <item x="1"/>
        <item x="2"/>
        <item x="0"/>
        <item x="3"/>
        <item t="default"/>
      </items>
    </pivotField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66"/>
  </colFields>
  <colItems count="3">
    <i>
      <x/>
    </i>
    <i>
      <x v="1"/>
    </i>
    <i t="grand">
      <x/>
    </i>
  </colItems>
  <dataFields count="1">
    <dataField name="Nombre de Répondant" fld="77" subtotal="count" baseField="0" baseItem="0"/>
  </dataFields>
  <pivotTableStyleInfo name="PivotStyleLight16" showRowHeaders="1" showColHeaders="1" showRowStripes="0" showColStripes="0" showLastColumn="1"/>
</pivotTableDefinition>
</file>

<file path=xl/pivotTables/pivotTable102.xml><?xml version="1.0" encoding="utf-8"?>
<pivotTableDefinition xmlns="http://schemas.openxmlformats.org/spreadsheetml/2006/main" name="Tableau croisé dynamique20" cacheId="288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A214:D220" firstHeaderRow="1" firstDataRow="2" firstDataCol="1"/>
  <pivotFields count="74">
    <pivotField axis="axisRow" showAll="0" defaultSubtotal="0">
      <items count="6">
        <item x="4"/>
        <item x="2"/>
        <item x="3"/>
        <item x="1"/>
        <item h="1" x="0"/>
        <item h="1" x="5"/>
      </items>
    </pivotField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axis="axisCol" showAll="0">
      <items count="5">
        <item x="1"/>
        <item x="2"/>
        <item h="1" x="0"/>
        <item h="1" x="3"/>
        <item t="default"/>
      </items>
    </pivotField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57"/>
  </colFields>
  <colItems count="3">
    <i>
      <x/>
    </i>
    <i>
      <x v="1"/>
    </i>
    <i t="grand">
      <x/>
    </i>
  </colItems>
  <dataFields count="1">
    <dataField name="Nombre de Répondant" fld="68" subtotal="count" baseField="0" baseItem="0"/>
  </dataFields>
  <pivotTableStyleInfo name="PivotStyleLight16" showRowHeaders="1" showColHeaders="1" showRowStripes="0" showColStripes="0" showLastColumn="1"/>
</pivotTableDefinition>
</file>

<file path=xl/pivotTables/pivotTable103.xml><?xml version="1.0" encoding="utf-8"?>
<pivotTableDefinition xmlns="http://schemas.openxmlformats.org/spreadsheetml/2006/main" name="Tableau croisé dynamique54" cacheId="259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A550:D554" firstHeaderRow="1" firstDataRow="2" firstDataCol="1"/>
  <pivotFields count="28">
    <pivotField axis="axisRow" showAll="0" defaultSubtotal="0">
      <items count="4">
        <item x="2"/>
        <item x="1"/>
        <item h="1" x="0"/>
        <item h="1" x="3"/>
      </items>
    </pivotField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axis="axisCol" showAll="0">
      <items count="5">
        <item x="1"/>
        <item x="2"/>
        <item h="1" x="0"/>
        <item h="1" x="3"/>
        <item t="default"/>
      </items>
    </pivotField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3">
    <i>
      <x/>
    </i>
    <i>
      <x v="1"/>
    </i>
    <i t="grand">
      <x/>
    </i>
  </rowItems>
  <colFields count="1">
    <field x="11"/>
  </colFields>
  <colItems count="3">
    <i>
      <x/>
    </i>
    <i>
      <x v="1"/>
    </i>
    <i t="grand">
      <x/>
    </i>
  </colItems>
  <dataFields count="1">
    <dataField name="Nombre de Répondant" fld="22" subtotal="count" baseField="0" baseItem="0"/>
  </dataFields>
  <pivotTableStyleInfo name="PivotStyleLight16" showRowHeaders="1" showColHeaders="1" showRowStripes="0" showColStripes="0" showLastColumn="1"/>
</pivotTableDefinition>
</file>

<file path=xl/pivotTables/pivotTable104.xml><?xml version="1.0" encoding="utf-8"?>
<pivotTableDefinition xmlns="http://schemas.openxmlformats.org/spreadsheetml/2006/main" name="Tableau croisé dynamique35" cacheId="303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A355:D359" firstHeaderRow="1" firstDataRow="2" firstDataCol="1"/>
  <pivotFields count="49">
    <pivotField axis="axisRow" showAll="0" defaultSubtotal="0">
      <items count="4">
        <item x="2"/>
        <item x="3"/>
        <item h="1" x="0"/>
        <item h="1" x="1"/>
      </items>
    </pivotField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axis="axisCol" showAll="0">
      <items count="5">
        <item x="1"/>
        <item x="2"/>
        <item h="1" x="0"/>
        <item h="1" x="3"/>
        <item t="default"/>
      </items>
    </pivotField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3">
    <i>
      <x/>
    </i>
    <i>
      <x v="1"/>
    </i>
    <i t="grand">
      <x/>
    </i>
  </rowItems>
  <colFields count="1">
    <field x="32"/>
  </colFields>
  <colItems count="3">
    <i>
      <x/>
    </i>
    <i>
      <x v="1"/>
    </i>
    <i t="grand">
      <x/>
    </i>
  </colItems>
  <dataFields count="1">
    <dataField name="Nombre de Répondant" fld="43" subtotal="count" baseField="0" baseItem="0"/>
  </dataFields>
  <pivotTableStyleInfo name="PivotStyleLight16" showRowHeaders="1" showColHeaders="1" showRowStripes="0" showColStripes="0" showLastColumn="1"/>
</pivotTableDefinition>
</file>

<file path=xl/pivotTables/pivotTable105.xml><?xml version="1.0" encoding="utf-8"?>
<pivotTableDefinition xmlns="http://schemas.openxmlformats.org/spreadsheetml/2006/main" name="Tableau croisé dynamique14" cacheId="282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A146:D152" firstHeaderRow="1" firstDataRow="2" firstDataCol="1"/>
  <pivotFields count="80">
    <pivotField axis="axisRow" showAll="0" defaultSubtotal="0">
      <items count="6">
        <item x="3"/>
        <item x="2"/>
        <item x="1"/>
        <item x="4"/>
        <item h="1" x="0"/>
        <item h="1" x="5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axis="axisCol" showAll="0">
      <items count="5">
        <item x="1"/>
        <item x="2"/>
        <item h="1" x="0"/>
        <item h="1" x="3"/>
        <item t="default"/>
      </items>
    </pivotField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63"/>
  </colFields>
  <colItems count="3">
    <i>
      <x/>
    </i>
    <i>
      <x v="1"/>
    </i>
    <i t="grand">
      <x/>
    </i>
  </colItems>
  <dataFields count="1">
    <dataField name="Nombre de Répondant" fld="74" subtotal="count" baseField="0" baseItem="0"/>
  </dataFields>
  <pivotTableStyleInfo name="PivotStyleLight16" showRowHeaders="1" showColHeaders="1" showRowStripes="0" showColStripes="0" showLastColumn="1"/>
</pivotTableDefinition>
</file>

<file path=xl/pivotTables/pivotTable106.xml><?xml version="1.0" encoding="utf-8"?>
<pivotTableDefinition xmlns="http://schemas.openxmlformats.org/spreadsheetml/2006/main" name="Tableau croisé dynamique13" cacheId="281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A135:D141" firstHeaderRow="1" firstDataRow="2" firstDataCol="1"/>
  <pivotFields count="81">
    <pivotField axis="axisRow" showAll="0" defaultSubtotal="0">
      <items count="6">
        <item x="3"/>
        <item x="2"/>
        <item x="4"/>
        <item x="1"/>
        <item h="1" x="0"/>
        <item h="1" x="5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axis="axisCol" showAll="0">
      <items count="5">
        <item x="1"/>
        <item x="2"/>
        <item h="1" x="0"/>
        <item h="1" x="3"/>
        <item t="default"/>
      </items>
    </pivotField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64"/>
  </colFields>
  <colItems count="3">
    <i>
      <x/>
    </i>
    <i>
      <x v="1"/>
    </i>
    <i t="grand">
      <x/>
    </i>
  </colItems>
  <dataFields count="1">
    <dataField name="Nombre de Répondant" fld="75" subtotal="count" baseField="0" baseItem="0"/>
  </dataFields>
  <pivotTableStyleInfo name="PivotStyleLight16" showRowHeaders="1" showColHeaders="1" showRowStripes="0" showColStripes="0" showLastColumn="1"/>
</pivotTableDefinition>
</file>

<file path=xl/pivotTables/pivotTable107.xml><?xml version="1.0" encoding="utf-8"?>
<pivotTableDefinition xmlns="http://schemas.openxmlformats.org/spreadsheetml/2006/main" name="Tableau croisé dynamique87" cacheId="281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H135:L141" firstHeaderRow="1" firstDataRow="2" firstDataCol="1"/>
  <pivotFields count="81">
    <pivotField axis="axisRow" showAll="0" defaultSubtotal="0">
      <items count="6">
        <item x="3"/>
        <item x="2"/>
        <item x="4"/>
        <item x="1"/>
        <item h="1" x="0"/>
        <item h="1" x="5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axis="axisCol" showAll="0">
      <items count="6">
        <item x="1"/>
        <item x="2"/>
        <item x="3"/>
        <item h="1" x="4"/>
        <item h="1" x="0"/>
        <item t="default"/>
      </items>
    </pivotField>
    <pivotField showAll="0"/>
    <pivotField showAll="0"/>
    <pivotField showAl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77"/>
  </colFields>
  <colItems count="4">
    <i>
      <x/>
    </i>
    <i>
      <x v="1"/>
    </i>
    <i>
      <x v="2"/>
    </i>
    <i t="grand">
      <x/>
    </i>
  </colItems>
  <dataFields count="1">
    <dataField name="Nombre de Répondant" fld="75" subtotal="count" baseField="0" baseItem="0"/>
  </dataFields>
  <pivotTableStyleInfo name="PivotStyleLight16" showRowHeaders="1" showColHeaders="1" showRowStripes="0" showColStripes="0" showLastColumn="1"/>
</pivotTableDefinition>
</file>

<file path=xl/pivotTables/pivotTable108.xml><?xml version="1.0" encoding="utf-8"?>
<pivotTableDefinition xmlns="http://schemas.openxmlformats.org/spreadsheetml/2006/main" name="Tableau croisé dynamique121" cacheId="316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H477:L483" firstHeaderRow="1" firstDataRow="2" firstDataCol="1"/>
  <pivotFields count="38">
    <pivotField axis="axisRow" showAll="0" defaultSubtotal="0">
      <items count="6">
        <item x="2"/>
        <item x="4"/>
        <item x="3"/>
        <item x="5"/>
        <item h="1" x="0"/>
        <item h="1"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axis="axisCol" showAll="0">
      <items count="6">
        <item x="1"/>
        <item x="2"/>
        <item x="3"/>
        <item h="1" x="4"/>
        <item h="1" x="0"/>
        <item t="default"/>
      </items>
    </pivotField>
    <pivotField showAll="0"/>
    <pivotField showAll="0"/>
    <pivotField showAl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34"/>
  </colFields>
  <colItems count="4">
    <i>
      <x/>
    </i>
    <i>
      <x v="1"/>
    </i>
    <i>
      <x v="2"/>
    </i>
    <i t="grand">
      <x/>
    </i>
  </colItems>
  <dataFields count="1">
    <dataField name="Nombre de Répondant" fld="32" subtotal="count" baseField="0" baseItem="0"/>
  </dataFields>
  <pivotTableStyleInfo name="PivotStyleLight16" showRowHeaders="1" showColHeaders="1" showRowStripes="0" showColStripes="0" showLastColumn="1"/>
</pivotTableDefinition>
</file>

<file path=xl/pivotTables/pivotTable109.xml><?xml version="1.0" encoding="utf-8"?>
<pivotTableDefinition xmlns="http://schemas.openxmlformats.org/spreadsheetml/2006/main" name="Tableau croisé dynamique110" cacheId="304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H365:L372" firstHeaderRow="1" firstDataRow="2" firstDataCol="1"/>
  <pivotFields count="48">
    <pivotField axis="axisRow" showAll="0" defaultSubtotal="0">
      <items count="7">
        <item x="1"/>
        <item x="2"/>
        <item x="3"/>
        <item x="4"/>
        <item x="5"/>
        <item h="1" x="0"/>
        <item h="1" x="6"/>
      </items>
    </pivotField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axis="axisCol" showAll="0">
      <items count="6">
        <item x="1"/>
        <item x="2"/>
        <item x="3"/>
        <item h="1" x="4"/>
        <item h="1" x="0"/>
        <item t="default"/>
      </items>
    </pivotField>
    <pivotField showAll="0"/>
    <pivotField showAll="0"/>
    <pivotField showAll="0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44"/>
  </colFields>
  <colItems count="4">
    <i>
      <x/>
    </i>
    <i>
      <x v="1"/>
    </i>
    <i>
      <x v="2"/>
    </i>
    <i t="grand">
      <x/>
    </i>
  </colItems>
  <dataFields count="1">
    <dataField name="Nombre de Répondant" fld="42" subtotal="count" baseField="0" baseItem="0"/>
  </dataFields>
  <pivotTableStyleInfo name="PivotStyleLight16" showRowHeaders="1" showColHeaders="1" showRowStripes="0" showColStripes="0" showLastColumn="1"/>
</pivotTableDefinition>
</file>

<file path=xl/pivotTables/pivotTable11.xml><?xml version="1.0" encoding="utf-8"?>
<pivotTableDefinition xmlns="http://schemas.openxmlformats.org/spreadsheetml/2006/main" name="Tableau croisé dynamique9" cacheId="277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A90:D97" firstHeaderRow="1" firstDataRow="2" firstDataCol="1"/>
  <pivotFields count="85">
    <pivotField axis="axisRow" showAll="0" defaultSubtotal="0">
      <items count="7">
        <item x="1"/>
        <item x="2"/>
        <item x="4"/>
        <item x="3"/>
        <item x="5"/>
        <item h="1" x="0"/>
        <item h="1" x="6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axis="axisCol" showAll="0">
      <items count="5">
        <item x="1"/>
        <item x="2"/>
        <item h="1" x="0"/>
        <item h="1" x="3"/>
        <item t="default"/>
      </items>
    </pivotField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68"/>
  </colFields>
  <colItems count="3">
    <i>
      <x/>
    </i>
    <i>
      <x v="1"/>
    </i>
    <i t="grand">
      <x/>
    </i>
  </colItems>
  <dataFields count="1">
    <dataField name="Nombre de Répondant" fld="79" subtotal="count" baseField="0" baseItem="0"/>
  </dataFields>
  <pivotTableStyleInfo name="PivotStyleLight16" showRowHeaders="1" showColHeaders="1" showRowStripes="0" showColStripes="0" showLastColumn="1"/>
</pivotTableDefinition>
</file>

<file path=xl/pivotTables/pivotTable110.xml><?xml version="1.0" encoding="utf-8"?>
<pivotTableDefinition xmlns="http://schemas.openxmlformats.org/spreadsheetml/2006/main" name="Tableau croisé dynamique108" cacheId="302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H346:L350" firstHeaderRow="1" firstDataRow="2" firstDataCol="1"/>
  <pivotFields count="50">
    <pivotField axis="axisRow" showAll="0" defaultSubtotal="0">
      <items count="4">
        <item x="2"/>
        <item x="1"/>
        <item h="1" x="0"/>
        <item h="1" x="3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axis="axisCol" showAll="0">
      <items count="6">
        <item x="1"/>
        <item x="2"/>
        <item x="3"/>
        <item h="1" x="4"/>
        <item h="1" x="0"/>
        <item t="default"/>
      </items>
    </pivotField>
    <pivotField showAll="0"/>
    <pivotField showAll="0"/>
    <pivotField showAll="0"/>
  </pivotFields>
  <rowFields count="1">
    <field x="0"/>
  </rowFields>
  <rowItems count="3">
    <i>
      <x/>
    </i>
    <i>
      <x v="1"/>
    </i>
    <i t="grand">
      <x/>
    </i>
  </rowItems>
  <colFields count="1">
    <field x="46"/>
  </colFields>
  <colItems count="4">
    <i>
      <x/>
    </i>
    <i>
      <x v="1"/>
    </i>
    <i>
      <x v="2"/>
    </i>
    <i t="grand">
      <x/>
    </i>
  </colItems>
  <dataFields count="1">
    <dataField name="Nombre de Répondant" fld="44" subtotal="count" baseField="0" baseItem="0"/>
  </dataFields>
  <pivotTableStyleInfo name="PivotStyleLight16" showRowHeaders="1" showColHeaders="1" showRowStripes="0" showColStripes="0" showLastColumn="1"/>
</pivotTableDefinition>
</file>

<file path=xl/pivotTables/pivotTable111.xml><?xml version="1.0" encoding="utf-8"?>
<pivotTableDefinition xmlns="http://schemas.openxmlformats.org/spreadsheetml/2006/main" name="Tableau croisé dynamique88" cacheId="282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H146:L152" firstHeaderRow="1" firstDataRow="2" firstDataCol="1"/>
  <pivotFields count="80">
    <pivotField axis="axisRow" showAll="0" defaultSubtotal="0">
      <items count="6">
        <item x="3"/>
        <item x="2"/>
        <item x="1"/>
        <item x="4"/>
        <item h="1" x="0"/>
        <item h="1" x="5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axis="axisCol" showAll="0">
      <items count="6">
        <item x="1"/>
        <item x="2"/>
        <item x="3"/>
        <item h="1" x="4"/>
        <item h="1" x="0"/>
        <item t="default"/>
      </items>
    </pivotField>
    <pivotField showAll="0"/>
    <pivotField showAll="0"/>
    <pivotField showAl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76"/>
  </colFields>
  <colItems count="4">
    <i>
      <x/>
    </i>
    <i>
      <x v="1"/>
    </i>
    <i>
      <x v="2"/>
    </i>
    <i t="grand">
      <x/>
    </i>
  </colItems>
  <dataFields count="1">
    <dataField name="Nombre de Répondant" fld="74" subtotal="count" baseField="0" baseItem="0"/>
  </dataFields>
  <pivotTableStyleInfo name="PivotStyleLight16" showRowHeaders="1" showColHeaders="1" showRowStripes="0" showColStripes="0" showLastColumn="1"/>
</pivotTableDefinition>
</file>

<file path=xl/pivotTables/pivotTable112.xml><?xml version="1.0" encoding="utf-8"?>
<pivotTableDefinition xmlns="http://schemas.openxmlformats.org/spreadsheetml/2006/main" name="Tableau croisé dynamique114" cacheId="308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H411:L417" firstHeaderRow="1" firstDataRow="2" firstDataCol="1"/>
  <pivotFields count="44">
    <pivotField axis="axisRow" showAll="0" defaultSubtotal="0">
      <items count="6">
        <item x="1"/>
        <item x="3"/>
        <item x="4"/>
        <item x="2"/>
        <item h="1" x="0"/>
        <item h="1" x="5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axis="axisCol" showAll="0">
      <items count="6">
        <item x="1"/>
        <item x="2"/>
        <item x="3"/>
        <item h="1" x="4"/>
        <item h="1" x="0"/>
        <item t="default"/>
      </items>
    </pivotField>
    <pivotField showAll="0"/>
    <pivotField showAll="0"/>
    <pivotField showAl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40"/>
  </colFields>
  <colItems count="4">
    <i>
      <x/>
    </i>
    <i>
      <x v="1"/>
    </i>
    <i>
      <x v="2"/>
    </i>
    <i t="grand">
      <x/>
    </i>
  </colItems>
  <dataFields count="1">
    <dataField name="Nombre de Répondant" fld="38" subtotal="count" baseField="0" baseItem="0"/>
  </dataFields>
  <pivotTableStyleInfo name="PivotStyleLight16" showRowHeaders="1" showColHeaders="1" showRowStripes="0" showColStripes="0" showLastColumn="1"/>
</pivotTableDefinition>
</file>

<file path=xl/pivotTables/pivotTable12.xml><?xml version="1.0" encoding="utf-8"?>
<pivotTableDefinition xmlns="http://schemas.openxmlformats.org/spreadsheetml/2006/main" name="Tableau croisé dynamique46" cacheId="316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A477:D483" firstHeaderRow="1" firstDataRow="2" firstDataCol="1"/>
  <pivotFields count="38">
    <pivotField axis="axisRow" showAll="0" defaultSubtotal="0">
      <items count="6">
        <item x="2"/>
        <item x="4"/>
        <item x="3"/>
        <item x="5"/>
        <item h="1" x="0"/>
        <item h="1"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axis="axisCol" showAll="0">
      <items count="5">
        <item x="1"/>
        <item x="2"/>
        <item h="1" x="0"/>
        <item h="1" x="3"/>
        <item t="default"/>
      </items>
    </pivotField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21"/>
  </colFields>
  <colItems count="3">
    <i>
      <x/>
    </i>
    <i>
      <x v="1"/>
    </i>
    <i t="grand">
      <x/>
    </i>
  </colItems>
  <dataFields count="1">
    <dataField name="Nombre de Répondant" fld="32" subtotal="count" baseField="0" baseItem="0"/>
  </dataFields>
  <pivotTableStyleInfo name="PivotStyleLight16" showRowHeaders="1" showColHeaders="1" showRowStripes="0" showColStripes="0" showLastColumn="1"/>
</pivotTableDefinition>
</file>

<file path=xl/pivotTables/pivotTable13.xml><?xml version="1.0" encoding="utf-8"?>
<pivotTableDefinition xmlns="http://schemas.openxmlformats.org/spreadsheetml/2006/main" name="Tableau croisé dynamique118" cacheId="313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H443:L450" firstHeaderRow="1" firstDataRow="2" firstDataCol="1"/>
  <pivotFields count="41">
    <pivotField axis="axisRow" showAll="0" defaultSubtotal="0">
      <items count="7">
        <item x="4"/>
        <item x="1"/>
        <item x="3"/>
        <item x="2"/>
        <item x="5"/>
        <item h="1" x="0"/>
        <item h="1" x="6"/>
      </items>
    </pivotField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axis="axisCol" showAll="0">
      <items count="6">
        <item x="1"/>
        <item x="2"/>
        <item x="3"/>
        <item h="1" x="4"/>
        <item h="1" x="0"/>
        <item t="default"/>
      </items>
    </pivotField>
    <pivotField showAll="0"/>
    <pivotField showAll="0"/>
    <pivotField showAll="0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37"/>
  </colFields>
  <colItems count="4">
    <i>
      <x/>
    </i>
    <i>
      <x v="1"/>
    </i>
    <i>
      <x v="2"/>
    </i>
    <i t="grand">
      <x/>
    </i>
  </colItems>
  <dataFields count="1">
    <dataField name="Nombre de Répondant" fld="35" subtotal="count" baseField="0" baseItem="0"/>
  </dataFields>
  <pivotTableStyleInfo name="PivotStyleLight16" showRowHeaders="1" showColHeaders="1" showRowStripes="0" showColStripes="0" showLastColumn="1"/>
</pivotTableDefinition>
</file>

<file path=xl/pivotTables/pivotTable14.xml><?xml version="1.0" encoding="utf-8"?>
<pivotTableDefinition xmlns="http://schemas.openxmlformats.org/spreadsheetml/2006/main" name="Tableau croisé dynamique3" cacheId="270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A25:D31" firstHeaderRow="1" firstDataRow="2" firstDataCol="1"/>
  <pivotFields count="92">
    <pivotField axis="axisRow" showAll="0" defaultSubtotal="0">
      <items count="6">
        <item x="3"/>
        <item x="2"/>
        <item x="4"/>
        <item x="1"/>
        <item h="1" x="0"/>
        <item h="1" x="5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axis="axisCol" showAll="0">
      <items count="5">
        <item x="1"/>
        <item x="2"/>
        <item h="1" x="0"/>
        <item h="1" x="3"/>
        <item t="default"/>
      </items>
    </pivotField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75"/>
  </colFields>
  <colItems count="3">
    <i>
      <x/>
    </i>
    <i>
      <x v="1"/>
    </i>
    <i t="grand">
      <x/>
    </i>
  </colItems>
  <dataFields count="1">
    <dataField name="Nombre de Répondant" fld="86" subtotal="count" baseField="0" baseItem="0"/>
  </dataFields>
  <pivotTableStyleInfo name="PivotStyleLight16" showRowHeaders="1" showColHeaders="1" showRowStripes="0" showColStripes="0" showLastColumn="1"/>
</pivotTableDefinition>
</file>

<file path=xl/pivotTables/pivotTable15.xml><?xml version="1.0" encoding="utf-8"?>
<pivotTableDefinition xmlns="http://schemas.openxmlformats.org/spreadsheetml/2006/main" name="Tableau croisé dynamique4" cacheId="271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A35:D41" firstHeaderRow="1" firstDataRow="2" firstDataCol="1"/>
  <pivotFields count="91">
    <pivotField axis="axisRow" showAll="0" defaultSubtotal="0">
      <items count="7">
        <item x="1"/>
        <item x="2"/>
        <item x="4"/>
        <item x="3"/>
        <item h="1" x="0"/>
        <item h="1" x="6"/>
        <item h="1" x="5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axis="axisCol" showAll="0">
      <items count="5">
        <item x="1"/>
        <item x="2"/>
        <item h="1" x="0"/>
        <item h="1" x="3"/>
        <item t="default"/>
      </items>
    </pivotField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74"/>
  </colFields>
  <colItems count="3">
    <i>
      <x/>
    </i>
    <i>
      <x v="1"/>
    </i>
    <i t="grand">
      <x/>
    </i>
  </colItems>
  <dataFields count="1">
    <dataField name="Nombre de Répondant" fld="85" subtotal="count" baseField="0" baseItem="0"/>
  </dataFields>
  <pivotTableStyleInfo name="PivotStyleLight16" showRowHeaders="1" showColHeaders="1" showRowStripes="0" showColStripes="0" showLastColumn="1"/>
</pivotTableDefinition>
</file>

<file path=xl/pivotTables/pivotTable16.xml><?xml version="1.0" encoding="utf-8"?>
<pivotTableDefinition xmlns="http://schemas.openxmlformats.org/spreadsheetml/2006/main" name="Tableau croisé dynamique95" cacheId="289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H225:L231" firstHeaderRow="1" firstDataRow="2" firstDataCol="1"/>
  <pivotFields count="73">
    <pivotField axis="axisRow" showAll="0" defaultSubtotal="0">
      <items count="6">
        <item x="3"/>
        <item x="2"/>
        <item x="1"/>
        <item x="4"/>
        <item h="1" x="0"/>
        <item h="1" x="5"/>
      </items>
    </pivotField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axis="axisCol" showAll="0">
      <items count="6">
        <item x="1"/>
        <item x="2"/>
        <item x="3"/>
        <item h="1" x="4"/>
        <item h="1" x="0"/>
        <item t="default"/>
      </items>
    </pivotField>
    <pivotField showAll="0"/>
    <pivotField showAll="0"/>
    <pivotField showAl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69"/>
  </colFields>
  <colItems count="4">
    <i>
      <x/>
    </i>
    <i>
      <x v="1"/>
    </i>
    <i>
      <x v="2"/>
    </i>
    <i t="grand">
      <x/>
    </i>
  </colItems>
  <dataFields count="1">
    <dataField name="Nombre de Répondant" fld="67" subtotal="count" baseField="0" baseItem="0"/>
  </dataFields>
  <pivotTableStyleInfo name="PivotStyleLight16" showRowHeaders="1" showColHeaders="1" showRowStripes="0" showColStripes="0" showLastColumn="1"/>
</pivotTableDefinition>
</file>

<file path=xl/pivotTables/pivotTable17.xml><?xml version="1.0" encoding="utf-8"?>
<pivotTableDefinition xmlns="http://schemas.openxmlformats.org/spreadsheetml/2006/main" name="Tableau croisé dynamique94" cacheId="288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H214:L220" firstHeaderRow="1" firstDataRow="2" firstDataCol="1"/>
  <pivotFields count="74">
    <pivotField axis="axisRow" showAll="0" defaultSubtotal="0">
      <items count="6">
        <item x="4"/>
        <item x="2"/>
        <item x="3"/>
        <item x="1"/>
        <item h="1" x="0"/>
        <item h="1" x="5"/>
      </items>
    </pivotField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axis="axisCol" showAll="0">
      <items count="6">
        <item x="1"/>
        <item x="2"/>
        <item x="3"/>
        <item h="1" x="4"/>
        <item h="1" x="0"/>
        <item t="default"/>
      </items>
    </pivotField>
    <pivotField showAll="0"/>
    <pivotField showAll="0"/>
    <pivotField showAl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70"/>
  </colFields>
  <colItems count="4">
    <i>
      <x/>
    </i>
    <i>
      <x v="1"/>
    </i>
    <i>
      <x v="2"/>
    </i>
    <i t="grand">
      <x/>
    </i>
  </colItems>
  <dataFields count="1">
    <dataField name="Nombre de Répondant" fld="68" subtotal="count" baseField="0" baseItem="0"/>
  </dataFields>
  <pivotTableStyleInfo name="PivotStyleLight16" showRowHeaders="1" showColHeaders="1" showRowStripes="0" showColStripes="0" showLastColumn="1"/>
</pivotTableDefinition>
</file>

<file path=xl/pivotTables/pivotTable18.xml><?xml version="1.0" encoding="utf-8"?>
<pivotTableDefinition xmlns="http://schemas.openxmlformats.org/spreadsheetml/2006/main" name="Tableau croisé dynamique96" cacheId="290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H236:L242" firstHeaderRow="1" firstDataRow="2" firstDataCol="1"/>
  <pivotFields count="72">
    <pivotField axis="axisRow" showAll="0" defaultSubtotal="0">
      <items count="6">
        <item x="1"/>
        <item x="2"/>
        <item x="3"/>
        <item x="4"/>
        <item h="1" x="0"/>
        <item h="1" x="5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axis="axisCol" showAll="0">
      <items count="6">
        <item x="1"/>
        <item x="2"/>
        <item x="3"/>
        <item h="1" x="4"/>
        <item h="1" x="0"/>
        <item t="default"/>
      </items>
    </pivotField>
    <pivotField showAll="0"/>
    <pivotField showAll="0"/>
    <pivotField showAl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68"/>
  </colFields>
  <colItems count="4">
    <i>
      <x/>
    </i>
    <i>
      <x v="1"/>
    </i>
    <i>
      <x v="2"/>
    </i>
    <i t="grand">
      <x/>
    </i>
  </colItems>
  <dataFields count="1">
    <dataField name="Nombre de Répondant" fld="66" subtotal="count" baseField="0" baseItem="0"/>
  </dataFields>
  <pivotTableStyleInfo name="PivotStyleLight16" showRowHeaders="1" showColHeaders="1" showRowStripes="0" showColStripes="0" showLastColumn="1"/>
</pivotTableDefinition>
</file>

<file path=xl/pivotTables/pivotTable19.xml><?xml version="1.0" encoding="utf-8"?>
<pivotTableDefinition xmlns="http://schemas.openxmlformats.org/spreadsheetml/2006/main" name="Tableau croisé dynamique1" cacheId="266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A4:E9" firstHeaderRow="1" firstDataRow="2" firstDataCol="1"/>
  <pivotFields count="94">
    <pivotField axis="axisRow" showAll="0" sortType="ascending" defaultSubtotal="0">
      <items count="5">
        <item x="3"/>
        <item x="1"/>
        <item x="2"/>
        <item h="1" x="0"/>
        <item h="1" x="4"/>
      </items>
    </pivotField>
    <pivotField showAll="0" defaultSubtotal="0"/>
    <pivotField showAl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axis="axisCol" showAll="0">
      <items count="5">
        <item x="0"/>
        <item x="3"/>
        <item x="1"/>
        <item x="2"/>
        <item t="default"/>
      </items>
    </pivotField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77"/>
  </colFields>
  <colItems count="4">
    <i>
      <x v="1"/>
    </i>
    <i>
      <x v="2"/>
    </i>
    <i>
      <x v="3"/>
    </i>
    <i t="grand">
      <x/>
    </i>
  </colItems>
  <dataFields count="1">
    <dataField name="Nombre de Répondant" fld="88" subtotal="count" baseField="0" baseItem="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leau croisé dynamique89" cacheId="283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H157:L163" firstHeaderRow="1" firstDataRow="2" firstDataCol="1"/>
  <pivotFields count="79">
    <pivotField axis="axisRow" showAll="0" defaultSubtotal="0">
      <items count="6">
        <item x="3"/>
        <item x="2"/>
        <item x="1"/>
        <item x="4"/>
        <item h="1" x="0"/>
        <item h="1" x="5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axis="axisCol" showAll="0">
      <items count="6">
        <item x="1"/>
        <item x="2"/>
        <item x="3"/>
        <item h="1" x="4"/>
        <item h="1" x="0"/>
        <item t="default"/>
      </items>
    </pivotField>
    <pivotField showAll="0"/>
    <pivotField showAll="0"/>
    <pivotField showAl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75"/>
  </colFields>
  <colItems count="4">
    <i>
      <x/>
    </i>
    <i>
      <x v="1"/>
    </i>
    <i>
      <x v="2"/>
    </i>
    <i t="grand">
      <x/>
    </i>
  </colItems>
  <dataFields count="1">
    <dataField name="Nombre de Répondant" fld="73" subtotal="count" baseField="0" baseItem="0"/>
  </dataFields>
  <pivotTableStyleInfo name="PivotStyleLight16" showRowHeaders="1" showColHeaders="1" showRowStripes="0" showColStripes="0" showLastColumn="1"/>
</pivotTableDefinition>
</file>

<file path=xl/pivotTables/pivotTable20.xml><?xml version="1.0" encoding="utf-8"?>
<pivotTableDefinition xmlns="http://schemas.openxmlformats.org/spreadsheetml/2006/main" name="Tableau croisé dynamique27" cacheId="295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A283:D287" firstHeaderRow="1" firstDataRow="2" firstDataCol="1"/>
  <pivotFields count="57">
    <pivotField axis="axisRow" showAll="0" defaultSubtotal="0">
      <items count="4">
        <item x="2"/>
        <item x="1"/>
        <item h="1" x="0"/>
        <item h="1" x="3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axis="axisCol" showAll="0">
      <items count="5">
        <item x="1"/>
        <item x="2"/>
        <item x="0"/>
        <item x="3"/>
        <item t="default"/>
      </items>
    </pivotField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3">
    <i>
      <x/>
    </i>
    <i>
      <x v="1"/>
    </i>
    <i t="grand">
      <x/>
    </i>
  </rowItems>
  <colFields count="1">
    <field x="40"/>
  </colFields>
  <colItems count="3">
    <i>
      <x/>
    </i>
    <i>
      <x v="1"/>
    </i>
    <i t="grand">
      <x/>
    </i>
  </colItems>
  <dataFields count="1">
    <dataField name="Nombre de Répondant" fld="51" subtotal="count" baseField="0" baseItem="0"/>
  </dataFields>
  <pivotTableStyleInfo name="PivotStyleLight16" showRowHeaders="1" showColHeaders="1" showRowStripes="0" showColStripes="0" showLastColumn="1"/>
</pivotTableDefinition>
</file>

<file path=xl/pivotTables/pivotTable21.xml><?xml version="1.0" encoding="utf-8"?>
<pivotTableDefinition xmlns="http://schemas.openxmlformats.org/spreadsheetml/2006/main" name="Tableau croisé dynamique36" cacheId="304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A365:D372" firstHeaderRow="1" firstDataRow="2" firstDataCol="1"/>
  <pivotFields count="48">
    <pivotField axis="axisRow" showAll="0" defaultSubtotal="0">
      <items count="7">
        <item x="1"/>
        <item x="2"/>
        <item x="3"/>
        <item x="4"/>
        <item x="5"/>
        <item h="1" x="0"/>
        <item h="1" x="6"/>
      </items>
    </pivotField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axis="axisCol" showAll="0">
      <items count="5">
        <item x="1"/>
        <item x="2"/>
        <item h="1" x="0"/>
        <item h="1" x="3"/>
        <item t="default"/>
      </items>
    </pivotField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31"/>
  </colFields>
  <colItems count="3">
    <i>
      <x/>
    </i>
    <i>
      <x v="1"/>
    </i>
    <i t="grand">
      <x/>
    </i>
  </colItems>
  <dataFields count="1">
    <dataField name="Nombre de Répondant" fld="42" subtotal="count" baseField="0" baseItem="0"/>
  </dataFields>
  <pivotTableStyleInfo name="PivotStyleLight16" showRowHeaders="1" showColHeaders="1" showRowStripes="0" showColStripes="0" showLastColumn="1"/>
</pivotTableDefinition>
</file>

<file path=xl/pivotTables/pivotTable22.xml><?xml version="1.0" encoding="utf-8"?>
<pivotTableDefinition xmlns="http://schemas.openxmlformats.org/spreadsheetml/2006/main" name="Tableau croisé dynamique83" cacheId="277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H90:L97" firstHeaderRow="1" firstDataRow="2" firstDataCol="1"/>
  <pivotFields count="85">
    <pivotField axis="axisRow" showAll="0" defaultSubtotal="0">
      <items count="7">
        <item x="1"/>
        <item x="2"/>
        <item x="4"/>
        <item x="3"/>
        <item x="5"/>
        <item h="1" x="0"/>
        <item h="1" x="6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axis="axisCol" showAll="0">
      <items count="6">
        <item x="1"/>
        <item x="2"/>
        <item x="3"/>
        <item h="1" x="4"/>
        <item h="1" x="0"/>
        <item t="default"/>
      </items>
    </pivotField>
    <pivotField showAll="0"/>
    <pivotField showAll="0"/>
    <pivotField showAll="0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81"/>
  </colFields>
  <colItems count="4">
    <i>
      <x/>
    </i>
    <i>
      <x v="1"/>
    </i>
    <i>
      <x v="2"/>
    </i>
    <i t="grand">
      <x/>
    </i>
  </colItems>
  <dataFields count="1">
    <dataField name="Nombre de Répondant" fld="79" subtotal="count" baseField="0" baseItem="0"/>
  </dataFields>
  <pivotTableStyleInfo name="PivotStyleLight16" showRowHeaders="1" showColHeaders="1" showRowStripes="0" showColStripes="0" showLastColumn="1"/>
</pivotTableDefinition>
</file>

<file path=xl/pivotTables/pivotTable23.xml><?xml version="1.0" encoding="utf-8"?>
<pivotTableDefinition xmlns="http://schemas.openxmlformats.org/spreadsheetml/2006/main" name="Tableau croisé dynamique74" cacheId="269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H4:L9" firstHeaderRow="1" firstDataRow="2" firstDataCol="1"/>
  <pivotFields count="94">
    <pivotField axis="axisRow" showAll="0" defaultSubtotal="0">
      <items count="5">
        <item x="3"/>
        <item x="1"/>
        <item x="2"/>
        <item h="1" x="0"/>
        <item h="1" x="4"/>
      </items>
    </pivotField>
    <pivotField showAll="0" defaultSubtotal="0"/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axis="axisCol" showAll="0">
      <items count="6">
        <item x="1"/>
        <item x="2"/>
        <item x="3"/>
        <item h="1" x="4"/>
        <item h="1" x="0"/>
        <item t="default"/>
      </items>
    </pivotField>
    <pivotField showAll="0"/>
    <pivotField showAll="0"/>
    <pivotField showAll="0"/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90"/>
  </colFields>
  <colItems count="4">
    <i>
      <x/>
    </i>
    <i>
      <x v="1"/>
    </i>
    <i>
      <x v="2"/>
    </i>
    <i t="grand">
      <x/>
    </i>
  </colItems>
  <dataFields count="1">
    <dataField name="Nombre de Répondant" fld="88" subtotal="count" baseField="0" baseItem="0"/>
  </dataFields>
  <pivotTableStyleInfo name="PivotStyleLight16" showRowHeaders="1" showColHeaders="1" showRowStripes="0" showColStripes="0" showLastColumn="1"/>
</pivotTableDefinition>
</file>

<file path=xl/pivotTables/pivotTable24.xml><?xml version="1.0" encoding="utf-8"?>
<pivotTableDefinition xmlns="http://schemas.openxmlformats.org/spreadsheetml/2006/main" name="Tableau croisé dynamique25" cacheId="293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A265:D269" firstHeaderRow="1" firstDataRow="2" firstDataCol="1"/>
  <pivotFields count="60">
    <pivotField axis="axisRow" showAll="0" defaultSubtotal="0">
      <items count="4">
        <item x="1"/>
        <item x="2"/>
        <item h="1" x="0"/>
        <item h="1" x="3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axis="axisCol" showAll="0">
      <items count="5">
        <item x="1"/>
        <item x="2"/>
        <item x="0"/>
        <item x="3"/>
        <item t="default"/>
      </items>
    </pivotField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3">
    <i>
      <x/>
    </i>
    <i>
      <x v="1"/>
    </i>
    <i t="grand">
      <x/>
    </i>
  </rowItems>
  <colFields count="1">
    <field x="43"/>
  </colFields>
  <colItems count="3">
    <i>
      <x/>
    </i>
    <i>
      <x v="1"/>
    </i>
    <i t="grand">
      <x/>
    </i>
  </colItems>
  <dataFields count="1">
    <dataField name="Nombre de Répondant" fld="54" subtotal="count" baseField="0" baseItem="0"/>
  </dataFields>
  <pivotTableStyleInfo name="PivotStyleLight16" showRowHeaders="1" showColHeaders="1" showRowStripes="0" showColStripes="0" showLastColumn="1"/>
</pivotTableDefinition>
</file>

<file path=xl/pivotTables/pivotTable25.xml><?xml version="1.0" encoding="utf-8"?>
<pivotTableDefinition xmlns="http://schemas.openxmlformats.org/spreadsheetml/2006/main" name="Tableau croisé dynamique123" cacheId="264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H500:L504" firstHeaderRow="1" firstDataRow="2" firstDataCol="1"/>
  <pivotFields count="34">
    <pivotField axis="axisRow" showAll="0" defaultSubtotal="0">
      <items count="4">
        <item x="2"/>
        <item x="1"/>
        <item h="1" x="0"/>
        <item h="1" x="3"/>
      </items>
    </pivotField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axis="axisCol" showAll="0">
      <items count="6">
        <item x="1"/>
        <item x="2"/>
        <item x="3"/>
        <item h="1" x="4"/>
        <item h="1" x="0"/>
        <item t="default"/>
      </items>
    </pivotField>
    <pivotField showAll="0"/>
    <pivotField showAll="0"/>
    <pivotField showAll="0"/>
  </pivotFields>
  <rowFields count="1">
    <field x="0"/>
  </rowFields>
  <rowItems count="3">
    <i>
      <x/>
    </i>
    <i>
      <x v="1"/>
    </i>
    <i t="grand">
      <x/>
    </i>
  </rowItems>
  <colFields count="1">
    <field x="30"/>
  </colFields>
  <colItems count="4">
    <i>
      <x/>
    </i>
    <i>
      <x v="1"/>
    </i>
    <i>
      <x v="2"/>
    </i>
    <i t="grand">
      <x/>
    </i>
  </colItems>
  <dataFields count="1">
    <dataField name="Nombre de Répondant" fld="28" subtotal="count" baseField="0" baseItem="0"/>
  </dataFields>
  <pivotTableStyleInfo name="PivotStyleLight16" showRowHeaders="1" showColHeaders="1" showRowStripes="0" showColStripes="0" showLastColumn="1"/>
</pivotTableDefinition>
</file>

<file path=xl/pivotTables/pivotTable26.xml><?xml version="1.0" encoding="utf-8"?>
<pivotTableDefinition xmlns="http://schemas.openxmlformats.org/spreadsheetml/2006/main" name="Tableau croisé dynamique103" cacheId="297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H301:L305" firstHeaderRow="1" firstDataRow="2" firstDataCol="1"/>
  <pivotFields count="55">
    <pivotField axis="axisRow" showAll="0" defaultSubtotal="0">
      <items count="4">
        <item x="1"/>
        <item x="2"/>
        <item h="1" x="0"/>
        <item h="1" x="3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axis="axisCol" showAll="0">
      <items count="6">
        <item x="1"/>
        <item x="2"/>
        <item x="3"/>
        <item h="1" x="4"/>
        <item h="1" x="0"/>
        <item t="default"/>
      </items>
    </pivotField>
    <pivotField showAll="0"/>
    <pivotField showAll="0"/>
    <pivotField showAll="0"/>
  </pivotFields>
  <rowFields count="1">
    <field x="0"/>
  </rowFields>
  <rowItems count="3">
    <i>
      <x/>
    </i>
    <i>
      <x v="1"/>
    </i>
    <i t="grand">
      <x/>
    </i>
  </rowItems>
  <colFields count="1">
    <field x="51"/>
  </colFields>
  <colItems count="4">
    <i>
      <x/>
    </i>
    <i>
      <x v="1"/>
    </i>
    <i>
      <x v="2"/>
    </i>
    <i t="grand">
      <x/>
    </i>
  </colItems>
  <dataFields count="1">
    <dataField name="Nombre de Répondant" fld="49" subtotal="count" baseField="0" baseItem="0"/>
  </dataFields>
  <pivotTableStyleInfo name="PivotStyleLight16" showRowHeaders="1" showColHeaders="1" showRowStripes="0" showColStripes="0" showLastColumn="1"/>
</pivotTableDefinition>
</file>

<file path=xl/pivotTables/pivotTable27.xml><?xml version="1.0" encoding="utf-8"?>
<pivotTableDefinition xmlns="http://schemas.openxmlformats.org/spreadsheetml/2006/main" name="Tableau croisé dynamique80" cacheId="274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H57:L64" firstHeaderRow="1" firstDataRow="2" firstDataCol="1"/>
  <pivotFields count="88">
    <pivotField axis="axisRow" showAll="0" defaultSubtotal="0">
      <items count="7">
        <item x="4"/>
        <item x="3"/>
        <item x="5"/>
        <item x="2"/>
        <item x="1"/>
        <item h="1" x="0"/>
        <item h="1" x="6"/>
      </items>
    </pivotField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axis="axisCol" showAll="0">
      <items count="6">
        <item x="1"/>
        <item x="2"/>
        <item x="3"/>
        <item h="1" x="4"/>
        <item h="1" x="0"/>
        <item t="default"/>
      </items>
    </pivotField>
    <pivotField showAll="0"/>
    <pivotField showAll="0"/>
    <pivotField showAll="0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84"/>
  </colFields>
  <colItems count="4">
    <i>
      <x/>
    </i>
    <i>
      <x v="1"/>
    </i>
    <i>
      <x v="2"/>
    </i>
    <i t="grand">
      <x/>
    </i>
  </colItems>
  <dataFields count="1">
    <dataField name="Nombre de Répondant" fld="82" subtotal="count" baseField="0" baseItem="0"/>
  </dataFields>
  <pivotTableStyleInfo name="PivotStyleLight16" showRowHeaders="1" showColHeaders="1" showRowStripes="0" showColStripes="0" showLastColumn="1"/>
</pivotTableDefinition>
</file>

<file path=xl/pivotTables/pivotTable28.xml><?xml version="1.0" encoding="utf-8"?>
<pivotTableDefinition xmlns="http://schemas.openxmlformats.org/spreadsheetml/2006/main" name="Tableau croisé dynamique82" cacheId="276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H79:L86" firstHeaderRow="1" firstDataRow="2" firstDataCol="1"/>
  <pivotFields count="86">
    <pivotField axis="axisRow" showAll="0" defaultSubtotal="0">
      <items count="7">
        <item x="2"/>
        <item x="3"/>
        <item x="4"/>
        <item x="1"/>
        <item x="5"/>
        <item h="1" x="0"/>
        <item h="1" x="6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axis="axisCol" showAll="0">
      <items count="6">
        <item x="1"/>
        <item x="2"/>
        <item x="3"/>
        <item h="1" x="4"/>
        <item h="1" x="0"/>
        <item t="default"/>
      </items>
    </pivotField>
    <pivotField showAll="0"/>
    <pivotField showAll="0"/>
    <pivotField showAll="0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82"/>
  </colFields>
  <colItems count="4">
    <i>
      <x/>
    </i>
    <i>
      <x v="1"/>
    </i>
    <i>
      <x v="2"/>
    </i>
    <i t="grand">
      <x/>
    </i>
  </colItems>
  <dataFields count="1">
    <dataField name="Nombre de Répondant" fld="80" subtotal="count" baseField="0" baseItem="0"/>
  </dataFields>
  <pivotTableStyleInfo name="PivotStyleLight16" showRowHeaders="1" showColHeaders="1" showRowStripes="0" showColStripes="0" showLastColumn="1"/>
</pivotTableDefinition>
</file>

<file path=xl/pivotTables/pivotTable29.xml><?xml version="1.0" encoding="utf-8"?>
<pivotTableDefinition xmlns="http://schemas.openxmlformats.org/spreadsheetml/2006/main" name="Tableau croisé dynamique26" cacheId="294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A274:D278" firstHeaderRow="1" firstDataRow="2" firstDataCol="1"/>
  <pivotFields count="58">
    <pivotField axis="axisRow" showAll="0" defaultSubtotal="0">
      <items count="4">
        <item x="2"/>
        <item x="1"/>
        <item h="1" x="0"/>
        <item h="1" x="3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axis="axisCol" showAll="0">
      <items count="5">
        <item x="1"/>
        <item x="2"/>
        <item h="1" x="0"/>
        <item h="1" x="3"/>
        <item t="default"/>
      </items>
    </pivotField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3">
    <i>
      <x/>
    </i>
    <i>
      <x v="1"/>
    </i>
    <i t="grand">
      <x/>
    </i>
  </rowItems>
  <colFields count="1">
    <field x="41"/>
  </colFields>
  <colItems count="3">
    <i>
      <x/>
    </i>
    <i>
      <x v="1"/>
    </i>
    <i t="grand">
      <x/>
    </i>
  </colItems>
  <dataFields count="1">
    <dataField name="Nombre de Répondant" fld="52" subtotal="count" baseField="0" baseItem="0"/>
  </dataField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Tableau croisé dynamique22" cacheId="290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A236:D242" firstHeaderRow="1" firstDataRow="2" firstDataCol="1"/>
  <pivotFields count="72">
    <pivotField axis="axisRow" showAll="0" defaultSubtotal="0">
      <items count="6">
        <item x="1"/>
        <item x="2"/>
        <item x="3"/>
        <item x="4"/>
        <item h="1" x="0"/>
        <item h="1" x="5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axis="axisCol" showAll="0">
      <items count="5">
        <item x="1"/>
        <item x="2"/>
        <item h="1" x="0"/>
        <item h="1" x="3"/>
        <item t="default"/>
      </items>
    </pivotField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55"/>
  </colFields>
  <colItems count="3">
    <i>
      <x/>
    </i>
    <i>
      <x v="1"/>
    </i>
    <i t="grand">
      <x/>
    </i>
  </colItems>
  <dataFields count="1">
    <dataField name="Nombre de Répondant" fld="66" subtotal="count" baseField="0" baseItem="0"/>
  </dataFields>
  <pivotTableStyleInfo name="PivotStyleLight16" showRowHeaders="1" showColHeaders="1" showRowStripes="0" showColStripes="0" showLastColumn="1"/>
</pivotTableDefinition>
</file>

<file path=xl/pivotTables/pivotTable30.xml><?xml version="1.0" encoding="utf-8"?>
<pivotTableDefinition xmlns="http://schemas.openxmlformats.org/spreadsheetml/2006/main" name="Tableau croisé dynamique79" cacheId="273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H46:L52" firstHeaderRow="1" firstDataRow="2" firstDataCol="1"/>
  <pivotFields count="89">
    <pivotField axis="axisRow" showAll="0" defaultSubtotal="0">
      <items count="6">
        <item x="1"/>
        <item x="2"/>
        <item x="3"/>
        <item x="4"/>
        <item h="1" x="0"/>
        <item h="1" x="5"/>
      </items>
    </pivotField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axis="axisCol" showAll="0">
      <items count="6">
        <item x="1"/>
        <item x="2"/>
        <item x="3"/>
        <item h="1" x="4"/>
        <item h="1" x="0"/>
        <item t="default"/>
      </items>
    </pivotField>
    <pivotField showAll="0"/>
    <pivotField showAll="0"/>
    <pivotField showAl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85"/>
  </colFields>
  <colItems count="4">
    <i>
      <x/>
    </i>
    <i>
      <x v="1"/>
    </i>
    <i>
      <x v="2"/>
    </i>
    <i t="grand">
      <x/>
    </i>
  </colItems>
  <dataFields count="1">
    <dataField name="Nombre de Répondant" fld="83" subtotal="count" baseField="0" baseItem="0"/>
  </dataFields>
  <pivotTableStyleInfo name="PivotStyleLight16" showRowHeaders="1" showColHeaders="1" showRowStripes="0" showColStripes="0" showLastColumn="1"/>
</pivotTableDefinition>
</file>

<file path=xl/pivotTables/pivotTable31.xml><?xml version="1.0" encoding="utf-8"?>
<pivotTableDefinition xmlns="http://schemas.openxmlformats.org/spreadsheetml/2006/main" name="Tableau croisé dynamique122" cacheId="265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H488:L492" firstHeaderRow="1" firstDataRow="2" firstDataCol="1"/>
  <pivotFields count="35">
    <pivotField axis="axisRow" showAll="0" defaultSubtotal="0">
      <items count="4">
        <item x="1"/>
        <item x="2"/>
        <item h="1" x="0"/>
        <item h="1" x="3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axis="axisCol" showAll="0">
      <items count="6">
        <item x="1"/>
        <item x="2"/>
        <item x="3"/>
        <item h="1" x="4"/>
        <item h="1" x="0"/>
        <item t="default"/>
      </items>
    </pivotField>
    <pivotField showAll="0"/>
    <pivotField showAll="0"/>
    <pivotField showAll="0"/>
  </pivotFields>
  <rowFields count="1">
    <field x="0"/>
  </rowFields>
  <rowItems count="3">
    <i>
      <x/>
    </i>
    <i>
      <x v="1"/>
    </i>
    <i t="grand">
      <x/>
    </i>
  </rowItems>
  <colFields count="1">
    <field x="31"/>
  </colFields>
  <colItems count="4">
    <i>
      <x/>
    </i>
    <i>
      <x v="1"/>
    </i>
    <i>
      <x v="2"/>
    </i>
    <i t="grand">
      <x/>
    </i>
  </colItems>
  <dataFields count="1">
    <dataField name="Nombre de Répondant" fld="29" subtotal="count" baseField="0" baseItem="0"/>
  </dataFields>
  <pivotTableStyleInfo name="PivotStyleLight16" showRowHeaders="1" showColHeaders="1" showRowStripes="0" showColStripes="0" showLastColumn="1"/>
</pivotTableDefinition>
</file>

<file path=xl/pivotTables/pivotTable32.xml><?xml version="1.0" encoding="utf-8"?>
<pivotTableDefinition xmlns="http://schemas.openxmlformats.org/spreadsheetml/2006/main" name="Tableau croisé dynamique84" cacheId="278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H102:L109" firstHeaderRow="1" firstDataRow="2" firstDataCol="1"/>
  <pivotFields count="84">
    <pivotField axis="axisRow" showAll="0" defaultSubtotal="0">
      <items count="7">
        <item x="1"/>
        <item x="2"/>
        <item x="5"/>
        <item x="3"/>
        <item x="4"/>
        <item h="1" x="0"/>
        <item h="1" x="6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axis="axisCol" showAll="0">
      <items count="6">
        <item x="1"/>
        <item x="2"/>
        <item x="3"/>
        <item h="1" x="4"/>
        <item h="1" x="0"/>
        <item t="default"/>
      </items>
    </pivotField>
    <pivotField showAll="0"/>
    <pivotField showAll="0"/>
    <pivotField showAll="0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80"/>
  </colFields>
  <colItems count="4">
    <i>
      <x/>
    </i>
    <i>
      <x v="1"/>
    </i>
    <i>
      <x v="2"/>
    </i>
    <i t="grand">
      <x/>
    </i>
  </colItems>
  <dataFields count="1">
    <dataField name="Nombre de Répondant" fld="78" subtotal="count" baseField="0" baseItem="0"/>
  </dataFields>
  <pivotTableStyleInfo name="PivotStyleLight16" showRowHeaders="1" showColHeaders="1" showRowStripes="0" showColStripes="0" showLastColumn="1"/>
</pivotTableDefinition>
</file>

<file path=xl/pivotTables/pivotTable33.xml><?xml version="1.0" encoding="utf-8"?>
<pivotTableDefinition xmlns="http://schemas.openxmlformats.org/spreadsheetml/2006/main" name="Tableau croisé dynamique37" cacheId="305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A377:D384" firstHeaderRow="1" firstDataRow="2" firstDataCol="1"/>
  <pivotFields count="47">
    <pivotField axis="axisRow" showAll="0" defaultSubtotal="0">
      <items count="7">
        <item x="3"/>
        <item x="5"/>
        <item x="4"/>
        <item x="2"/>
        <item x="1"/>
        <item h="1" x="0"/>
        <item h="1" x="6"/>
      </items>
    </pivotField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axis="axisCol" showAll="0">
      <items count="5">
        <item x="1"/>
        <item x="2"/>
        <item h="1" x="0"/>
        <item h="1" x="3"/>
        <item t="default"/>
      </items>
    </pivotField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30"/>
  </colFields>
  <colItems count="3">
    <i>
      <x/>
    </i>
    <i>
      <x v="1"/>
    </i>
    <i t="grand">
      <x/>
    </i>
  </colItems>
  <dataFields count="1">
    <dataField name="Nombre de Répondant" fld="41" subtotal="count" baseField="0" baseItem="0"/>
  </dataFields>
  <pivotTableStyleInfo name="PivotStyleLight16" showRowHeaders="1" showColHeaders="1" showRowStripes="0" showColStripes="0" showLastColumn="1"/>
</pivotTableDefinition>
</file>

<file path=xl/pivotTables/pivotTable34.xml><?xml version="1.0" encoding="utf-8"?>
<pivotTableDefinition xmlns="http://schemas.openxmlformats.org/spreadsheetml/2006/main" name="Tableau croisé dynamique130" cacheId="257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H559:L565" firstHeaderRow="1" firstDataRow="2" firstDataCol="1"/>
  <pivotFields count="27">
    <pivotField axis="axisRow" showAll="0" defaultSubtotal="0">
      <items count="6">
        <item x="1"/>
        <item x="2"/>
        <item x="3"/>
        <item x="4"/>
        <item h="1" x="0"/>
        <item h="1" x="5"/>
      </items>
    </pivotField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axis="axisCol" showAll="0">
      <items count="6">
        <item x="1"/>
        <item x="2"/>
        <item x="3"/>
        <item h="1" x="4"/>
        <item h="1" x="0"/>
        <item t="default"/>
      </items>
    </pivotField>
    <pivotField showAll="0"/>
    <pivotField showAll="0"/>
    <pivotField showAl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23"/>
  </colFields>
  <colItems count="4">
    <i>
      <x/>
    </i>
    <i>
      <x v="1"/>
    </i>
    <i>
      <x v="2"/>
    </i>
    <i t="grand">
      <x/>
    </i>
  </colItems>
  <dataFields count="1">
    <dataField name="Nombre de Répondant" fld="21" subtotal="count" baseField="0" baseItem="0"/>
  </dataFields>
  <pivotTableStyleInfo name="PivotStyleLight16" showRowHeaders="1" showColHeaders="1" showRowStripes="0" showColStripes="0" showLastColumn="1"/>
</pivotTableDefinition>
</file>

<file path=xl/pivotTables/pivotTable35.xml><?xml version="1.0" encoding="utf-8"?>
<pivotTableDefinition xmlns="http://schemas.openxmlformats.org/spreadsheetml/2006/main" name="Tableau croisé dynamique41" cacheId="309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A421:D428" firstHeaderRow="1" firstDataRow="2" firstDataCol="1"/>
  <pivotFields count="43">
    <pivotField axis="axisRow" showAll="0" defaultSubtotal="0">
      <items count="7">
        <item x="3"/>
        <item x="5"/>
        <item x="4"/>
        <item x="1"/>
        <item x="2"/>
        <item h="1" x="0"/>
        <item h="1" x="6"/>
      </items>
    </pivotField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axis="axisCol" showAll="0">
      <items count="5">
        <item x="1"/>
        <item x="2"/>
        <item h="1" x="0"/>
        <item h="1" x="3"/>
        <item t="default"/>
      </items>
    </pivotField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26"/>
  </colFields>
  <colItems count="3">
    <i>
      <x/>
    </i>
    <i>
      <x v="1"/>
    </i>
    <i t="grand">
      <x/>
    </i>
  </colItems>
  <dataFields count="1">
    <dataField name="Nombre de Répondant" fld="37" subtotal="count" baseField="0" baseItem="0"/>
  </dataFields>
  <pivotTableStyleInfo name="PivotStyleLight16" showRowHeaders="1" showColHeaders="1" showRowStripes="0" showColStripes="0" showLastColumn="1"/>
</pivotTableDefinition>
</file>

<file path=xl/pivotTables/pivotTable36.xml><?xml version="1.0" encoding="utf-8"?>
<pivotTableDefinition xmlns="http://schemas.openxmlformats.org/spreadsheetml/2006/main" name="Tableau croisé dynamique19" cacheId="287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A203:D209" firstHeaderRow="1" firstDataRow="2" firstDataCol="1"/>
  <pivotFields count="75">
    <pivotField axis="axisRow" showAll="0" defaultSubtotal="0">
      <items count="6">
        <item x="2"/>
        <item x="1"/>
        <item x="3"/>
        <item x="4"/>
        <item h="1" x="0"/>
        <item h="1" x="5"/>
      </items>
    </pivotField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axis="axisCol" showAll="0">
      <items count="5">
        <item x="1"/>
        <item x="2"/>
        <item h="1" x="0"/>
        <item h="1" x="3"/>
        <item t="default"/>
      </items>
    </pivotField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58"/>
  </colFields>
  <colItems count="3">
    <i>
      <x/>
    </i>
    <i>
      <x v="1"/>
    </i>
    <i t="grand">
      <x/>
    </i>
  </colItems>
  <dataFields count="1">
    <dataField name="Nombre de Répondant" fld="69" subtotal="count" baseField="0" baseItem="0"/>
  </dataFields>
  <pivotTableStyleInfo name="PivotStyleLight16" showRowHeaders="1" showColHeaders="1" showRowStripes="0" showColStripes="0" showLastColumn="1"/>
</pivotTableDefinition>
</file>

<file path=xl/pivotTables/pivotTable37.xml><?xml version="1.0" encoding="utf-8"?>
<pivotTableDefinition xmlns="http://schemas.openxmlformats.org/spreadsheetml/2006/main" name="Tableau croisé dynamique75" cacheId="268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H14:L20" firstHeaderRow="1" firstDataRow="2" firstDataCol="1"/>
  <pivotFields count="93">
    <pivotField axis="axisRow" showAll="0" defaultSubtotal="0">
      <items count="6">
        <item x="1"/>
        <item x="3"/>
        <item x="2"/>
        <item x="5"/>
        <item h="1" x="0"/>
        <item h="1" x="4"/>
      </items>
    </pivotField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axis="axisCol" showAll="0">
      <items count="6">
        <item x="1"/>
        <item x="2"/>
        <item x="3"/>
        <item h="1" x="4"/>
        <item h="1" x="0"/>
        <item t="default"/>
      </items>
    </pivotField>
    <pivotField showAll="0"/>
    <pivotField showAll="0"/>
    <pivotField showAl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89"/>
  </colFields>
  <colItems count="4">
    <i>
      <x/>
    </i>
    <i>
      <x v="1"/>
    </i>
    <i>
      <x v="2"/>
    </i>
    <i t="grand">
      <x/>
    </i>
  </colItems>
  <dataFields count="1">
    <dataField name="Nombre de Répondant" fld="87" subtotal="count" baseField="0" baseItem="0"/>
  </dataFields>
  <pivotTableStyleInfo name="PivotStyleLight16" showRowHeaders="1" showColHeaders="1" showRowStripes="0" showColStripes="0" showLastColumn="1"/>
</pivotTableDefinition>
</file>

<file path=xl/pivotTables/pivotTable38.xml><?xml version="1.0" encoding="utf-8"?>
<pivotTableDefinition xmlns="http://schemas.openxmlformats.org/spreadsheetml/2006/main" name="Tableau croisé dynamique8" cacheId="276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A79:D86" firstHeaderRow="1" firstDataRow="2" firstDataCol="1"/>
  <pivotFields count="86">
    <pivotField axis="axisRow" showAll="0" defaultSubtotal="0">
      <items count="7">
        <item x="2"/>
        <item x="3"/>
        <item x="4"/>
        <item x="1"/>
        <item x="5"/>
        <item h="1" x="0"/>
        <item h="1" x="6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axis="axisCol" showAll="0">
      <items count="5">
        <item x="1"/>
        <item x="2"/>
        <item h="1" x="0"/>
        <item h="1" x="3"/>
        <item t="default"/>
      </items>
    </pivotField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69"/>
  </colFields>
  <colItems count="3">
    <i>
      <x/>
    </i>
    <i>
      <x v="1"/>
    </i>
    <i t="grand">
      <x/>
    </i>
  </colItems>
  <dataFields count="1">
    <dataField name="Nombre de Répondant" fld="80" subtotal="count" baseField="0" baseItem="0"/>
  </dataFields>
  <pivotTableStyleInfo name="PivotStyleLight16" showRowHeaders="1" showColHeaders="1" showRowStripes="0" showColStripes="0" showLastColumn="1"/>
</pivotTableDefinition>
</file>

<file path=xl/pivotTables/pivotTable39.xml><?xml version="1.0" encoding="utf-8"?>
<pivotTableDefinition xmlns="http://schemas.openxmlformats.org/spreadsheetml/2006/main" name="Tableau croisé dynamique109" cacheId="303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H355:L359" firstHeaderRow="1" firstDataRow="2" firstDataCol="1"/>
  <pivotFields count="49">
    <pivotField axis="axisRow" showAll="0" defaultSubtotal="0">
      <items count="4">
        <item x="2"/>
        <item x="3"/>
        <item h="1" x="0"/>
        <item h="1" x="1"/>
      </items>
    </pivotField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axis="axisCol" showAll="0">
      <items count="6">
        <item x="1"/>
        <item x="2"/>
        <item x="3"/>
        <item h="1" x="4"/>
        <item h="1" x="0"/>
        <item t="default"/>
      </items>
    </pivotField>
    <pivotField showAll="0"/>
    <pivotField showAll="0"/>
    <pivotField showAll="0"/>
  </pivotFields>
  <rowFields count="1">
    <field x="0"/>
  </rowFields>
  <rowItems count="3">
    <i>
      <x/>
    </i>
    <i>
      <x v="1"/>
    </i>
    <i t="grand">
      <x/>
    </i>
  </rowItems>
  <colFields count="1">
    <field x="45"/>
  </colFields>
  <colItems count="4">
    <i>
      <x/>
    </i>
    <i>
      <x v="1"/>
    </i>
    <i>
      <x v="2"/>
    </i>
    <i t="grand">
      <x/>
    </i>
  </colItems>
  <dataFields count="1">
    <dataField name="Nombre de Répondant" fld="43" subtotal="count" baseField="0" baseItem="0"/>
  </dataField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Tableau croisé dynamique57" cacheId="256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A571:D575" firstHeaderRow="1" firstDataRow="2" firstDataCol="1"/>
  <pivotFields count="24">
    <pivotField axis="axisRow" showAll="0" defaultSubtotal="0">
      <items count="4">
        <item x="1"/>
        <item x="2"/>
        <item h="1" x="0"/>
        <item h="1" x="3"/>
      </items>
    </pivotField>
    <pivotField showAll="0" defaultSubtotal="0"/>
    <pivotField showAll="0"/>
    <pivotField showAll="0" defaultSubtotal="0"/>
    <pivotField showAll="0"/>
    <pivotField showAll="0"/>
    <pivotField showAll="0"/>
    <pivotField axis="axisCol" showAll="0">
      <items count="5">
        <item x="1"/>
        <item x="2"/>
        <item h="1" x="0"/>
        <item h="1" x="3"/>
        <item t="default"/>
      </items>
    </pivotField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3">
    <i>
      <x/>
    </i>
    <i>
      <x v="1"/>
    </i>
    <i t="grand">
      <x/>
    </i>
  </rowItems>
  <colFields count="1">
    <field x="7"/>
  </colFields>
  <colItems count="3">
    <i>
      <x/>
    </i>
    <i>
      <x v="1"/>
    </i>
    <i t="grand">
      <x/>
    </i>
  </colItems>
  <dataFields count="1">
    <dataField name="Nombre de Répondant" fld="18" subtotal="count" baseField="0" baseItem="0"/>
  </dataFields>
  <pivotTableStyleInfo name="PivotStyleLight16" showRowHeaders="1" showColHeaders="1" showRowStripes="0" showColStripes="0" showLastColumn="1"/>
</pivotTableDefinition>
</file>

<file path=xl/pivotTables/pivotTable40.xml><?xml version="1.0" encoding="utf-8"?>
<pivotTableDefinition xmlns="http://schemas.openxmlformats.org/spreadsheetml/2006/main" name="Tableau croisé dynamique100" cacheId="294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H274:L278" firstHeaderRow="1" firstDataRow="2" firstDataCol="1"/>
  <pivotFields count="58">
    <pivotField axis="axisRow" showAll="0" defaultSubtotal="0">
      <items count="4">
        <item x="2"/>
        <item x="1"/>
        <item h="1" x="0"/>
        <item h="1" x="3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axis="axisCol" showAll="0">
      <items count="6">
        <item x="1"/>
        <item x="2"/>
        <item x="3"/>
        <item h="1" x="4"/>
        <item h="1" x="0"/>
        <item t="default"/>
      </items>
    </pivotField>
    <pivotField showAll="0"/>
    <pivotField showAll="0"/>
    <pivotField showAll="0"/>
  </pivotFields>
  <rowFields count="1">
    <field x="0"/>
  </rowFields>
  <rowItems count="3">
    <i>
      <x/>
    </i>
    <i>
      <x v="1"/>
    </i>
    <i t="grand">
      <x/>
    </i>
  </rowItems>
  <colFields count="1">
    <field x="54"/>
  </colFields>
  <colItems count="4">
    <i>
      <x/>
    </i>
    <i>
      <x v="1"/>
    </i>
    <i>
      <x v="2"/>
    </i>
    <i t="grand">
      <x/>
    </i>
  </colItems>
  <dataFields count="1">
    <dataField name="Nombre de Répondant" fld="52" subtotal="count" baseField="0" baseItem="0"/>
  </dataFields>
  <pivotTableStyleInfo name="PivotStyleLight16" showRowHeaders="1" showColHeaders="1" showRowStripes="0" showColStripes="0" showLastColumn="1"/>
</pivotTableDefinition>
</file>

<file path=xl/pivotTables/pivotTable41.xml><?xml version="1.0" encoding="utf-8"?>
<pivotTableDefinition xmlns="http://schemas.openxmlformats.org/spreadsheetml/2006/main" name="Tableau croisé dynamique53" cacheId="260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A540:D544" firstHeaderRow="1" firstDataRow="2" firstDataCol="1"/>
  <pivotFields count="29">
    <pivotField axis="axisRow" showAll="0" defaultSubtotal="0">
      <items count="4">
        <item x="1"/>
        <item x="2"/>
        <item h="1" x="0"/>
        <item h="1" x="3"/>
      </items>
    </pivotField>
    <pivotField showAll="0" defaultSubtotal="0"/>
    <pivotField showAll="0" sortType="ascending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axis="axisCol" showAll="0">
      <items count="5">
        <item x="1"/>
        <item x="2"/>
        <item h="1" x="0"/>
        <item h="1" x="3"/>
        <item t="default"/>
      </items>
    </pivotField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3">
    <i>
      <x/>
    </i>
    <i>
      <x v="1"/>
    </i>
    <i t="grand">
      <x/>
    </i>
  </rowItems>
  <colFields count="1">
    <field x="12"/>
  </colFields>
  <colItems count="3">
    <i>
      <x/>
    </i>
    <i>
      <x v="1"/>
    </i>
    <i t="grand">
      <x/>
    </i>
  </colItems>
  <dataFields count="1">
    <dataField name="Nombre de Répondant" fld="23" subtotal="count" baseField="0" baseItem="0"/>
  </dataFields>
  <pivotTableStyleInfo name="PivotStyleLight16" showRowHeaders="1" showColHeaders="1" showRowStripes="0" showColStripes="0" showLastColumn="1"/>
</pivotTableDefinition>
</file>

<file path=xl/pivotTables/pivotTable42.xml><?xml version="1.0" encoding="utf-8"?>
<pivotTableDefinition xmlns="http://schemas.openxmlformats.org/spreadsheetml/2006/main" name="Tableau croisé dynamique91" cacheId="285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H181:L187" firstHeaderRow="1" firstDataRow="2" firstDataCol="1"/>
  <pivotFields count="77">
    <pivotField axis="axisRow" showAll="0" defaultSubtotal="0">
      <items count="6">
        <item x="1"/>
        <item x="2"/>
        <item x="3"/>
        <item x="4"/>
        <item h="1" x="0"/>
        <item h="1" x="5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axis="axisCol" showAll="0">
      <items count="6">
        <item x="1"/>
        <item x="2"/>
        <item x="3"/>
        <item h="1" x="4"/>
        <item h="1" x="0"/>
        <item t="default"/>
      </items>
    </pivotField>
    <pivotField showAll="0"/>
    <pivotField showAll="0"/>
    <pivotField showAl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73"/>
  </colFields>
  <colItems count="4">
    <i>
      <x/>
    </i>
    <i>
      <x v="1"/>
    </i>
    <i>
      <x v="2"/>
    </i>
    <i t="grand">
      <x/>
    </i>
  </colItems>
  <dataFields count="1">
    <dataField name="Nombre de Répondant" fld="71" subtotal="count" baseField="0" baseItem="0"/>
  </dataFields>
  <pivotTableStyleInfo name="PivotStyleLight16" showRowHeaders="1" showColHeaders="1" showRowStripes="0" showColStripes="0" showLastColumn="1"/>
</pivotTableDefinition>
</file>

<file path=xl/pivotTables/pivotTable43.xml><?xml version="1.0" encoding="utf-8"?>
<pivotTableDefinition xmlns="http://schemas.openxmlformats.org/spreadsheetml/2006/main" name="Tableau croisé dynamique104" cacheId="298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H310:L315" firstHeaderRow="1" firstDataRow="2" firstDataCol="1"/>
  <pivotFields count="54">
    <pivotField axis="axisRow" showAll="0" defaultSubtotal="0">
      <items count="4">
        <item x="1"/>
        <item x="2"/>
        <item x="0"/>
        <item x="3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axis="axisCol" showAll="0">
      <items count="6">
        <item x="1"/>
        <item x="2"/>
        <item x="3"/>
        <item h="1" x="4"/>
        <item h="1" x="0"/>
        <item t="default"/>
      </items>
    </pivotField>
    <pivotField showAll="0"/>
    <pivotField showAll="0"/>
    <pivotField showAll="0"/>
  </pivotFields>
  <rowFields count="1">
    <field x="0"/>
  </rowFields>
  <rowItems count="4">
    <i>
      <x/>
    </i>
    <i>
      <x v="1"/>
    </i>
    <i>
      <x v="3"/>
    </i>
    <i t="grand">
      <x/>
    </i>
  </rowItems>
  <colFields count="1">
    <field x="50"/>
  </colFields>
  <colItems count="4">
    <i>
      <x/>
    </i>
    <i>
      <x v="1"/>
    </i>
    <i>
      <x v="2"/>
    </i>
    <i t="grand">
      <x/>
    </i>
  </colItems>
  <dataFields count="1">
    <dataField name="Nombre de Répondant" fld="48" subtotal="count" baseField="0" baseItem="0"/>
  </dataFields>
  <pivotTableStyleInfo name="PivotStyleLight16" showRowHeaders="1" showColHeaders="1" showRowStripes="0" showColStripes="0" showLastColumn="1"/>
</pivotTableDefinition>
</file>

<file path=xl/pivotTables/pivotTable44.xml><?xml version="1.0" encoding="utf-8"?>
<pivotTableDefinition xmlns="http://schemas.openxmlformats.org/spreadsheetml/2006/main" name="Tableau croisé dynamique127" cacheId="261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H531:L535" firstHeaderRow="1" firstDataRow="2" firstDataCol="1"/>
  <pivotFields count="30">
    <pivotField axis="axisRow" showAll="0" defaultSubtotal="0">
      <items count="4">
        <item x="1"/>
        <item x="2"/>
        <item h="1" x="0"/>
        <item h="1" x="3"/>
      </items>
    </pivotField>
    <pivotField showAll="0" defaultSubtota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axis="axisCol" showAll="0">
      <items count="6">
        <item x="1"/>
        <item x="2"/>
        <item x="3"/>
        <item h="1" x="4"/>
        <item h="1" x="0"/>
        <item t="default"/>
      </items>
    </pivotField>
    <pivotField showAll="0"/>
    <pivotField showAll="0"/>
    <pivotField showAll="0"/>
  </pivotFields>
  <rowFields count="1">
    <field x="0"/>
  </rowFields>
  <rowItems count="3">
    <i>
      <x/>
    </i>
    <i>
      <x v="1"/>
    </i>
    <i t="grand">
      <x/>
    </i>
  </rowItems>
  <colFields count="1">
    <field x="26"/>
  </colFields>
  <colItems count="4">
    <i>
      <x/>
    </i>
    <i>
      <x v="1"/>
    </i>
    <i>
      <x v="2"/>
    </i>
    <i t="grand">
      <x/>
    </i>
  </colItems>
  <dataFields count="1">
    <dataField name="Nombre de Répondant" fld="24" subtotal="count" baseField="0" baseItem="0"/>
  </dataFields>
  <pivotTableStyleInfo name="PivotStyleLight16" showRowHeaders="1" showColHeaders="1" showRowStripes="0" showColStripes="0" showLastColumn="1"/>
</pivotTableDefinition>
</file>

<file path=xl/pivotTables/pivotTable45.xml><?xml version="1.0" encoding="utf-8"?>
<pivotTableDefinition xmlns="http://schemas.openxmlformats.org/spreadsheetml/2006/main" name="Tableau croisé dynamique6" cacheId="274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A57:E64" firstHeaderRow="1" firstDataRow="2" firstDataCol="1"/>
  <pivotFields count="88">
    <pivotField axis="axisRow" showAll="0" defaultSubtotal="0">
      <items count="7">
        <item x="4"/>
        <item x="3"/>
        <item x="5"/>
        <item x="2"/>
        <item x="1"/>
        <item h="1" x="0"/>
        <item h="1" x="6"/>
      </items>
    </pivotField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axis="axisCol" showAll="0">
      <items count="5">
        <item x="1"/>
        <item x="2"/>
        <item x="0"/>
        <item x="3"/>
        <item t="default"/>
      </items>
    </pivotField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71"/>
  </colFields>
  <colItems count="4">
    <i>
      <x/>
    </i>
    <i>
      <x v="1"/>
    </i>
    <i>
      <x v="3"/>
    </i>
    <i t="grand">
      <x/>
    </i>
  </colItems>
  <dataFields count="1">
    <dataField name="Nombre de Répondant" fld="82" subtotal="count" baseField="0" baseItem="0"/>
  </dataFields>
  <pivotTableStyleInfo name="PivotStyleLight16" showRowHeaders="1" showColHeaders="1" showRowStripes="0" showColStripes="0" showLastColumn="1"/>
</pivotTableDefinition>
</file>

<file path=xl/pivotTables/pivotTable46.xml><?xml version="1.0" encoding="utf-8"?>
<pivotTableDefinition xmlns="http://schemas.openxmlformats.org/spreadsheetml/2006/main" name="Tableau croisé dynamique98" cacheId="292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H256:L260" firstHeaderRow="1" firstDataRow="2" firstDataCol="1"/>
  <pivotFields count="70">
    <pivotField axis="axisRow" showAll="0" defaultSubtotal="0">
      <items count="4">
        <item x="1"/>
        <item x="2"/>
        <item h="1" x="0"/>
        <item h="1" x="3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axis="axisCol" showAll="0">
      <items count="6">
        <item x="1"/>
        <item x="2"/>
        <item x="3"/>
        <item h="1" x="4"/>
        <item h="1" x="0"/>
        <item t="default"/>
      </items>
    </pivotField>
    <pivotField showAll="0"/>
    <pivotField showAll="0"/>
    <pivotField showAll="0"/>
  </pivotFields>
  <rowFields count="1">
    <field x="0"/>
  </rowFields>
  <rowItems count="3">
    <i>
      <x/>
    </i>
    <i>
      <x v="1"/>
    </i>
    <i t="grand">
      <x/>
    </i>
  </rowItems>
  <colFields count="1">
    <field x="66"/>
  </colFields>
  <colItems count="4">
    <i>
      <x/>
    </i>
    <i>
      <x v="1"/>
    </i>
    <i>
      <x v="2"/>
    </i>
    <i t="grand">
      <x/>
    </i>
  </colItems>
  <dataFields count="1">
    <dataField name="Nombre de Répondant" fld="64" subtotal="count" baseField="0" baseItem="0"/>
  </dataFields>
  <pivotTableStyleInfo name="PivotStyleLight16" showRowHeaders="1" showColHeaders="1" showRowStripes="0" showColStripes="0" showLastColumn="1"/>
</pivotTableDefinition>
</file>

<file path=xl/pivotTables/pivotTable47.xml><?xml version="1.0" encoding="utf-8"?>
<pivotTableDefinition xmlns="http://schemas.openxmlformats.org/spreadsheetml/2006/main" name="Tableau croisé dynamique39" cacheId="307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A400:D406" firstHeaderRow="1" firstDataRow="2" firstDataCol="1"/>
  <pivotFields count="45">
    <pivotField axis="axisRow" showAll="0" defaultSubtotal="0">
      <items count="6">
        <item x="2"/>
        <item x="4"/>
        <item x="3"/>
        <item x="1"/>
        <item h="1" x="0"/>
        <item h="1" x="5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axis="axisCol" showAll="0">
      <items count="5">
        <item x="1"/>
        <item x="2"/>
        <item h="1" x="0"/>
        <item h="1" x="3"/>
        <item t="default"/>
      </items>
    </pivotField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28"/>
  </colFields>
  <colItems count="3">
    <i>
      <x/>
    </i>
    <i>
      <x v="1"/>
    </i>
    <i t="grand">
      <x/>
    </i>
  </colItems>
  <dataFields count="1">
    <dataField name="Nombre de Répondant" fld="39" subtotal="count" baseField="0" baseItem="0"/>
  </dataFields>
  <pivotTableStyleInfo name="PivotStyleLight16" showRowHeaders="1" showColHeaders="1" showRowStripes="0" showColStripes="0" showLastColumn="1"/>
</pivotTableDefinition>
</file>

<file path=xl/pivotTables/pivotTable48.xml><?xml version="1.0" encoding="utf-8"?>
<pivotTableDefinition xmlns="http://schemas.openxmlformats.org/spreadsheetml/2006/main" name="Tableau croisé dynamique126" cacheId="262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H521:L525" firstHeaderRow="1" firstDataRow="2" firstDataCol="1"/>
  <pivotFields count="31">
    <pivotField axis="axisRow" showAll="0" defaultSubtotal="0">
      <items count="4">
        <item x="2"/>
        <item x="1"/>
        <item h="1" x="0"/>
        <item h="1" x="3"/>
      </items>
    </pivotField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axis="axisCol" showAll="0">
      <items count="6">
        <item x="1"/>
        <item x="2"/>
        <item x="3"/>
        <item h="1" x="4"/>
        <item h="1" x="0"/>
        <item t="default"/>
      </items>
    </pivotField>
    <pivotField showAll="0"/>
    <pivotField showAll="0"/>
    <pivotField showAll="0"/>
  </pivotFields>
  <rowFields count="1">
    <field x="0"/>
  </rowFields>
  <rowItems count="3">
    <i>
      <x/>
    </i>
    <i>
      <x v="1"/>
    </i>
    <i t="grand">
      <x/>
    </i>
  </rowItems>
  <colFields count="1">
    <field x="27"/>
  </colFields>
  <colItems count="4">
    <i>
      <x/>
    </i>
    <i>
      <x v="1"/>
    </i>
    <i>
      <x v="2"/>
    </i>
    <i t="grand">
      <x/>
    </i>
  </colItems>
  <dataFields count="1">
    <dataField name="Nombre de Répondant" fld="25" subtotal="count" baseField="0" baseItem="0"/>
  </dataFields>
  <pivotTableStyleInfo name="PivotStyleLight16" showRowHeaders="1" showColHeaders="1" showRowStripes="0" showColStripes="0" showLastColumn="1"/>
</pivotTableDefinition>
</file>

<file path=xl/pivotTables/pivotTable49.xml><?xml version="1.0" encoding="utf-8"?>
<pivotTableDefinition xmlns="http://schemas.openxmlformats.org/spreadsheetml/2006/main" name="Tableau croisé dynamique18" cacheId="286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A192:D198" firstHeaderRow="1" firstDataRow="2" firstDataCol="1"/>
  <pivotFields count="76">
    <pivotField axis="axisRow" showAll="0" defaultSubtotal="0">
      <items count="6">
        <item x="3"/>
        <item x="1"/>
        <item x="2"/>
        <item x="4"/>
        <item h="1" x="0"/>
        <item h="1" x="5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axis="axisCol" showAll="0">
      <items count="5">
        <item x="1"/>
        <item x="2"/>
        <item h="1" x="0"/>
        <item h="1" x="3"/>
        <item t="default"/>
      </items>
    </pivotField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59"/>
  </colFields>
  <colItems count="3">
    <i>
      <x/>
    </i>
    <i>
      <x v="1"/>
    </i>
    <i t="grand">
      <x/>
    </i>
  </colItems>
  <dataFields count="1">
    <dataField name="Nombre de Répondant" fld="70" subtotal="count" baseField="0" baseItem="0"/>
  </dataFields>
  <pivotTableStyleInfo name="PivotStyleLight1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Tableau croisé dynamique107" cacheId="301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H337:L341" firstHeaderRow="1" firstDataRow="2" firstDataCol="1"/>
  <pivotFields count="51">
    <pivotField axis="axisRow" showAll="0" defaultSubtotal="0">
      <items count="4">
        <item x="2"/>
        <item x="1"/>
        <item h="1" x="0"/>
        <item h="1" x="3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axis="axisCol" showAll="0">
      <items count="6">
        <item x="1"/>
        <item x="2"/>
        <item x="3"/>
        <item h="1" x="4"/>
        <item h="1" x="0"/>
        <item t="default"/>
      </items>
    </pivotField>
    <pivotField showAll="0"/>
    <pivotField showAll="0"/>
    <pivotField showAll="0"/>
  </pivotFields>
  <rowFields count="1">
    <field x="0"/>
  </rowFields>
  <rowItems count="3">
    <i>
      <x/>
    </i>
    <i>
      <x v="1"/>
    </i>
    <i t="grand">
      <x/>
    </i>
  </rowItems>
  <colFields count="1">
    <field x="47"/>
  </colFields>
  <colItems count="4">
    <i>
      <x/>
    </i>
    <i>
      <x v="1"/>
    </i>
    <i>
      <x v="2"/>
    </i>
    <i t="grand">
      <x/>
    </i>
  </colItems>
  <dataFields count="1">
    <dataField name="Nombre de Répondant" fld="45" subtotal="count" baseField="0" baseItem="0"/>
  </dataFields>
  <pivotTableStyleInfo name="PivotStyleLight16" showRowHeaders="1" showColHeaders="1" showRowStripes="0" showColStripes="0" showLastColumn="1"/>
</pivotTableDefinition>
</file>

<file path=xl/pivotTables/pivotTable50.xml><?xml version="1.0" encoding="utf-8"?>
<pivotTableDefinition xmlns="http://schemas.openxmlformats.org/spreadsheetml/2006/main" name="Tableau croisé dynamique33" cacheId="301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A337:D341" firstHeaderRow="1" firstDataRow="2" firstDataCol="1"/>
  <pivotFields count="51">
    <pivotField axis="axisRow" showAll="0" defaultSubtotal="0">
      <items count="4">
        <item x="2"/>
        <item x="1"/>
        <item h="1" x="0"/>
        <item h="1" x="3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axis="axisCol" showAll="0">
      <items count="5">
        <item x="1"/>
        <item x="2"/>
        <item h="1" x="0"/>
        <item h="1" x="3"/>
        <item t="default"/>
      </items>
    </pivotField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3">
    <i>
      <x/>
    </i>
    <i>
      <x v="1"/>
    </i>
    <i t="grand">
      <x/>
    </i>
  </rowItems>
  <colFields count="1">
    <field x="34"/>
  </colFields>
  <colItems count="3">
    <i>
      <x/>
    </i>
    <i>
      <x v="1"/>
    </i>
    <i t="grand">
      <x/>
    </i>
  </colItems>
  <dataFields count="1">
    <dataField name="Nombre de Répondant" fld="45" subtotal="count" baseField="0" baseItem="0"/>
  </dataFields>
  <pivotTableStyleInfo name="PivotStyleLight16" showRowHeaders="1" showColHeaders="1" showRowStripes="0" showColStripes="0" showLastColumn="1"/>
</pivotTableDefinition>
</file>

<file path=xl/pivotTables/pivotTable51.xml><?xml version="1.0" encoding="utf-8"?>
<pivotTableDefinition xmlns="http://schemas.openxmlformats.org/spreadsheetml/2006/main" name="Tableau croisé dynamique29" cacheId="297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A301:D305" firstHeaderRow="1" firstDataRow="2" firstDataCol="1"/>
  <pivotFields count="55">
    <pivotField axis="axisRow" showAll="0" defaultSubtotal="0">
      <items count="4">
        <item x="1"/>
        <item x="2"/>
        <item h="1" x="0"/>
        <item h="1" x="3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axis="axisCol" showAll="0">
      <items count="5">
        <item x="1"/>
        <item x="2"/>
        <item x="0"/>
        <item x="3"/>
        <item t="default"/>
      </items>
    </pivotField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3">
    <i>
      <x/>
    </i>
    <i>
      <x v="1"/>
    </i>
    <i t="grand">
      <x/>
    </i>
  </rowItems>
  <colFields count="1">
    <field x="38"/>
  </colFields>
  <colItems count="3">
    <i>
      <x/>
    </i>
    <i>
      <x v="1"/>
    </i>
    <i t="grand">
      <x/>
    </i>
  </colItems>
  <dataFields count="1">
    <dataField name="Nombre de Répondant" fld="49" subtotal="count" baseField="0" baseItem="0"/>
  </dataFields>
  <pivotTableStyleInfo name="PivotStyleLight16" showRowHeaders="1" showColHeaders="1" showRowStripes="0" showColStripes="0" showLastColumn="1"/>
</pivotTableDefinition>
</file>

<file path=xl/pivotTables/pivotTable52.xml><?xml version="1.0" encoding="utf-8"?>
<pivotTableDefinition xmlns="http://schemas.openxmlformats.org/spreadsheetml/2006/main" name="Tableau croisé dynamique112" cacheId="306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H389:L396" firstHeaderRow="1" firstDataRow="2" firstDataCol="1"/>
  <pivotFields count="46">
    <pivotField axis="axisRow" showAll="0" defaultSubtotal="0">
      <items count="7">
        <item x="2"/>
        <item x="3"/>
        <item x="4"/>
        <item x="1"/>
        <item x="5"/>
        <item h="1" x="0"/>
        <item h="1" x="6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axis="axisCol" showAll="0">
      <items count="6">
        <item x="1"/>
        <item x="2"/>
        <item x="3"/>
        <item h="1" x="4"/>
        <item h="1" x="0"/>
        <item t="default"/>
      </items>
    </pivotField>
    <pivotField showAll="0"/>
    <pivotField showAll="0"/>
    <pivotField showAll="0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42"/>
  </colFields>
  <colItems count="4">
    <i>
      <x/>
    </i>
    <i>
      <x v="1"/>
    </i>
    <i>
      <x v="2"/>
    </i>
    <i t="grand">
      <x/>
    </i>
  </colItems>
  <dataFields count="1">
    <dataField name="Nombre de Répondant" fld="40" subtotal="count" baseField="0" baseItem="0"/>
  </dataFields>
  <pivotTableStyleInfo name="PivotStyleLight16" showRowHeaders="1" showColHeaders="1" showRowStripes="0" showColStripes="0" showLastColumn="1"/>
</pivotTableDefinition>
</file>

<file path=xl/pivotTables/pivotTable53.xml><?xml version="1.0" encoding="utf-8"?>
<pivotTableDefinition xmlns="http://schemas.openxmlformats.org/spreadsheetml/2006/main" name="Tableau croisé dynamique10" cacheId="278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A102:D109" firstHeaderRow="1" firstDataRow="2" firstDataCol="1"/>
  <pivotFields count="84">
    <pivotField axis="axisRow" showAll="0" defaultSubtotal="0">
      <items count="7">
        <item x="1"/>
        <item x="2"/>
        <item x="5"/>
        <item x="3"/>
        <item x="4"/>
        <item h="1" x="0"/>
        <item h="1" x="6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axis="axisCol" showAll="0">
      <items count="5">
        <item x="1"/>
        <item x="2"/>
        <item x="0"/>
        <item x="3"/>
        <item t="default"/>
      </items>
    </pivotField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67"/>
  </colFields>
  <colItems count="3">
    <i>
      <x/>
    </i>
    <i>
      <x v="1"/>
    </i>
    <i t="grand">
      <x/>
    </i>
  </colItems>
  <dataFields count="1">
    <dataField name="Nombre de Répondant" fld="78" subtotal="count" baseField="0" baseItem="0"/>
  </dataFields>
  <pivotTableStyleInfo name="PivotStyleLight16" showRowHeaders="1" showColHeaders="1" showRowStripes="0" showColStripes="0" showLastColumn="1"/>
</pivotTableDefinition>
</file>

<file path=xl/pivotTables/pivotTable54.xml><?xml version="1.0" encoding="utf-8"?>
<pivotTableDefinition xmlns="http://schemas.openxmlformats.org/spreadsheetml/2006/main" name="Tableau croisé dynamique31" cacheId="299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A319:D323" firstHeaderRow="1" firstDataRow="2" firstDataCol="1"/>
  <pivotFields count="53">
    <pivotField axis="axisRow" showAll="0" defaultSubtotal="0">
      <items count="4">
        <item x="2"/>
        <item x="1"/>
        <item h="1" x="0"/>
        <item h="1" x="3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axis="axisCol" showAll="0">
      <items count="5">
        <item x="1"/>
        <item x="2"/>
        <item h="1" x="0"/>
        <item h="1" x="3"/>
        <item t="default"/>
      </items>
    </pivotField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3">
    <i>
      <x/>
    </i>
    <i>
      <x v="1"/>
    </i>
    <i t="grand">
      <x/>
    </i>
  </rowItems>
  <colFields count="1">
    <field x="36"/>
  </colFields>
  <colItems count="3">
    <i>
      <x/>
    </i>
    <i>
      <x v="1"/>
    </i>
    <i t="grand">
      <x/>
    </i>
  </colItems>
  <dataFields count="1">
    <dataField name="Nombre de Répondant" fld="47" subtotal="count" baseField="0" baseItem="0"/>
  </dataFields>
  <pivotTableStyleInfo name="PivotStyleLight16" showRowHeaders="1" showColHeaders="1" showRowStripes="0" showColStripes="0" showLastColumn="1"/>
</pivotTableDefinition>
</file>

<file path=xl/pivotTables/pivotTable55.xml><?xml version="1.0" encoding="utf-8"?>
<pivotTableDefinition xmlns="http://schemas.openxmlformats.org/spreadsheetml/2006/main" name="Tableau croisé dynamique116" cacheId="309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H421:L428" firstHeaderRow="1" firstDataRow="2" firstDataCol="1"/>
  <pivotFields count="43">
    <pivotField axis="axisRow" showAll="0" defaultSubtotal="0">
      <items count="7">
        <item x="3"/>
        <item x="5"/>
        <item x="4"/>
        <item x="1"/>
        <item x="2"/>
        <item h="1" x="0"/>
        <item h="1" x="6"/>
      </items>
    </pivotField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axis="axisCol" showAll="0">
      <items count="6">
        <item x="1"/>
        <item x="2"/>
        <item x="3"/>
        <item h="1" x="4"/>
        <item h="1" x="0"/>
        <item t="default"/>
      </items>
    </pivotField>
    <pivotField showAll="0"/>
    <pivotField showAll="0"/>
    <pivotField showAll="0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39"/>
  </colFields>
  <colItems count="4">
    <i>
      <x/>
    </i>
    <i>
      <x v="1"/>
    </i>
    <i>
      <x v="2"/>
    </i>
    <i t="grand">
      <x/>
    </i>
  </colItems>
  <dataFields count="1">
    <dataField name="Nombre de Répondant" fld="37" subtotal="count" baseField="0" baseItem="0"/>
  </dataFields>
  <pivotTableStyleInfo name="PivotStyleLight16" showRowHeaders="1" showColHeaders="1" showRowStripes="0" showColStripes="0" showLastColumn="1"/>
</pivotTableDefinition>
</file>

<file path=xl/pivotTables/pivotTable56.xml><?xml version="1.0" encoding="utf-8"?>
<pivotTableDefinition xmlns="http://schemas.openxmlformats.org/spreadsheetml/2006/main" name="Tableau croisé dynamique38" cacheId="306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A389:D396" firstHeaderRow="1" firstDataRow="2" firstDataCol="1"/>
  <pivotFields count="46">
    <pivotField axis="axisRow" showAll="0" defaultSubtotal="0">
      <items count="7">
        <item x="2"/>
        <item x="3"/>
        <item x="4"/>
        <item x="1"/>
        <item x="5"/>
        <item h="1" x="0"/>
        <item h="1" x="6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axis="axisCol" showAll="0">
      <items count="5">
        <item x="1"/>
        <item x="2"/>
        <item x="0"/>
        <item x="3"/>
        <item t="default"/>
      </items>
    </pivotField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29"/>
  </colFields>
  <colItems count="3">
    <i>
      <x/>
    </i>
    <i>
      <x v="1"/>
    </i>
    <i t="grand">
      <x/>
    </i>
  </colItems>
  <dataFields count="1">
    <dataField name="Nombre de Répondant" fld="40" subtotal="count" baseField="0" baseItem="0"/>
  </dataFields>
  <pivotTableStyleInfo name="PivotStyleLight16" showRowHeaders="1" showColHeaders="1" showRowStripes="0" showColStripes="0" showLastColumn="1"/>
</pivotTableDefinition>
</file>

<file path=xl/pivotTables/pivotTable57.xml><?xml version="1.0" encoding="utf-8"?>
<pivotTableDefinition xmlns="http://schemas.openxmlformats.org/spreadsheetml/2006/main" name="Tableau croisé dynamique85" cacheId="279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H113:L119" firstHeaderRow="1" firstDataRow="2" firstDataCol="1"/>
  <pivotFields count="83">
    <pivotField axis="axisRow" showAll="0" defaultSubtotal="0">
      <items count="6">
        <item x="4"/>
        <item x="1"/>
        <item x="2"/>
        <item x="3"/>
        <item h="1" x="0"/>
        <item h="1" x="5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axis="axisCol" showAll="0">
      <items count="6">
        <item x="1"/>
        <item x="2"/>
        <item x="3"/>
        <item h="1" x="4"/>
        <item h="1" x="0"/>
        <item t="default"/>
      </items>
    </pivotField>
    <pivotField showAll="0"/>
    <pivotField showAll="0"/>
    <pivotField showAl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79"/>
  </colFields>
  <colItems count="4">
    <i>
      <x/>
    </i>
    <i>
      <x v="1"/>
    </i>
    <i>
      <x v="2"/>
    </i>
    <i t="grand">
      <x/>
    </i>
  </colItems>
  <dataFields count="1">
    <dataField name="Nombre de Répondant" fld="77" subtotal="count" baseField="0" baseItem="0"/>
  </dataFields>
  <pivotTableStyleInfo name="PivotStyleLight16" showRowHeaders="1" showColHeaders="1" showRowStripes="0" showColStripes="0" showLastColumn="1"/>
</pivotTableDefinition>
</file>

<file path=xl/pivotTables/pivotTable58.xml><?xml version="1.0" encoding="utf-8"?>
<pivotTableDefinition xmlns="http://schemas.openxmlformats.org/spreadsheetml/2006/main" name="Tableau croisé dynamique55" cacheId="257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A559:D565" firstHeaderRow="1" firstDataRow="2" firstDataCol="1"/>
  <pivotFields count="27">
    <pivotField axis="axisRow" showAll="0" defaultSubtotal="0">
      <items count="6">
        <item x="1"/>
        <item x="2"/>
        <item x="3"/>
        <item x="4"/>
        <item h="1" x="0"/>
        <item h="1" x="5"/>
      </items>
    </pivotField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axis="axisCol" showAll="0">
      <items count="5">
        <item x="1"/>
        <item x="2"/>
        <item h="1" x="0"/>
        <item h="1" x="3"/>
        <item t="default"/>
      </items>
    </pivotField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10"/>
  </colFields>
  <colItems count="3">
    <i>
      <x/>
    </i>
    <i>
      <x v="1"/>
    </i>
    <i t="grand">
      <x/>
    </i>
  </colItems>
  <dataFields count="1">
    <dataField name="Nombre de Répondant" fld="21" subtotal="count" baseField="0" baseItem="0"/>
  </dataFields>
  <pivotTableStyleInfo name="PivotStyleLight16" showRowHeaders="1" showColHeaders="1" showRowStripes="0" showColStripes="0" showLastColumn="1"/>
</pivotTableDefinition>
</file>

<file path=xl/pivotTables/pivotTable59.xml><?xml version="1.0" encoding="utf-8"?>
<pivotTableDefinition xmlns="http://schemas.openxmlformats.org/spreadsheetml/2006/main" name="Tableau croisé dynamique90" cacheId="284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H168:L174" firstHeaderRow="1" firstDataRow="2" firstDataCol="1"/>
  <pivotFields count="78">
    <pivotField axis="axisRow" showAll="0" defaultSubtotal="0">
      <items count="6">
        <item x="2"/>
        <item x="1"/>
        <item x="3"/>
        <item x="4"/>
        <item h="1" x="0"/>
        <item h="1" x="5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axis="axisCol" showAll="0">
      <items count="6">
        <item x="1"/>
        <item x="2"/>
        <item x="3"/>
        <item h="1" x="4"/>
        <item h="1" x="0"/>
        <item t="default"/>
      </items>
    </pivotField>
    <pivotField showAll="0"/>
    <pivotField showAll="0"/>
    <pivotField showAl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74"/>
  </colFields>
  <colItems count="4">
    <i>
      <x/>
    </i>
    <i>
      <x v="1"/>
    </i>
    <i>
      <x v="2"/>
    </i>
    <i t="grand">
      <x/>
    </i>
  </colItems>
  <dataFields count="1">
    <dataField name="Nombre de Répondant" fld="72" subtotal="count" baseField="0" baseItem="0"/>
  </dataFields>
  <pivotTableStyleInfo name="PivotStyleLight16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Tableau croisé dynamique101" cacheId="295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H283:L287" firstHeaderRow="1" firstDataRow="2" firstDataCol="1"/>
  <pivotFields count="57">
    <pivotField axis="axisRow" showAll="0" defaultSubtotal="0">
      <items count="4">
        <item x="2"/>
        <item x="1"/>
        <item h="1" x="0"/>
        <item h="1" x="3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axis="axisCol" showAll="0">
      <items count="6">
        <item x="1"/>
        <item x="2"/>
        <item x="3"/>
        <item h="1" x="4"/>
        <item h="1" x="0"/>
        <item t="default"/>
      </items>
    </pivotField>
    <pivotField showAll="0"/>
    <pivotField showAll="0"/>
    <pivotField showAll="0"/>
  </pivotFields>
  <rowFields count="1">
    <field x="0"/>
  </rowFields>
  <rowItems count="3">
    <i>
      <x/>
    </i>
    <i>
      <x v="1"/>
    </i>
    <i t="grand">
      <x/>
    </i>
  </rowItems>
  <colFields count="1">
    <field x="53"/>
  </colFields>
  <colItems count="4">
    <i>
      <x/>
    </i>
    <i>
      <x v="1"/>
    </i>
    <i>
      <x v="2"/>
    </i>
    <i t="grand">
      <x/>
    </i>
  </colItems>
  <dataFields count="1">
    <dataField name="Nombre de Répondant" fld="51" subtotal="count" baseField="0" baseItem="0"/>
  </dataFields>
  <pivotTableStyleInfo name="PivotStyleLight16" showRowHeaders="1" showColHeaders="1" showRowStripes="0" showColStripes="0" showLastColumn="1"/>
</pivotTableDefinition>
</file>

<file path=xl/pivotTables/pivotTable60.xml><?xml version="1.0" encoding="utf-8"?>
<pivotTableDefinition xmlns="http://schemas.openxmlformats.org/spreadsheetml/2006/main" name="Tableau croisé dynamique7" cacheId="275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A68:D75" firstHeaderRow="1" firstDataRow="2" firstDataCol="1"/>
  <pivotFields count="87">
    <pivotField axis="axisRow" showAll="0" defaultSubtotal="0">
      <items count="7">
        <item x="3"/>
        <item x="2"/>
        <item x="1"/>
        <item x="5"/>
        <item x="4"/>
        <item h="1" x="0"/>
        <item h="1" x="6"/>
      </items>
    </pivotField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axis="axisCol" showAll="0">
      <items count="5">
        <item x="1"/>
        <item x="2"/>
        <item x="0"/>
        <item x="3"/>
        <item t="default"/>
      </items>
    </pivotField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70"/>
  </colFields>
  <colItems count="3">
    <i>
      <x/>
    </i>
    <i>
      <x v="1"/>
    </i>
    <i t="grand">
      <x/>
    </i>
  </colItems>
  <dataFields count="1">
    <dataField name="Nombre de Répondant" fld="81" subtotal="count" baseField="0" baseItem="0"/>
  </dataFields>
  <pivotTableStyleInfo name="PivotStyleLight16" showRowHeaders="1" showColHeaders="1" showRowStripes="0" showColStripes="0" showLastColumn="1"/>
</pivotTableDefinition>
</file>

<file path=xl/pivotTables/pivotTable61.xml><?xml version="1.0" encoding="utf-8"?>
<pivotTableDefinition xmlns="http://schemas.openxmlformats.org/spreadsheetml/2006/main" name="Tableau croisé dynamique120" cacheId="315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H465:L471" firstHeaderRow="1" firstDataRow="2" firstDataCol="1"/>
  <pivotFields count="39">
    <pivotField axis="axisRow" showAll="0" defaultSubtotal="0">
      <items count="6">
        <item x="1"/>
        <item x="2"/>
        <item x="3"/>
        <item x="4"/>
        <item h="1" x="0"/>
        <item h="1" x="5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axis="axisCol" showAll="0">
      <items count="6">
        <item x="1"/>
        <item x="2"/>
        <item x="3"/>
        <item h="1" x="4"/>
        <item h="1" x="0"/>
        <item t="default"/>
      </items>
    </pivotField>
    <pivotField showAll="0"/>
    <pivotField showAll="0"/>
    <pivotField showAl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35"/>
  </colFields>
  <colItems count="4">
    <i>
      <x/>
    </i>
    <i>
      <x v="1"/>
    </i>
    <i>
      <x v="2"/>
    </i>
    <i t="grand">
      <x/>
    </i>
  </colItems>
  <dataFields count="1">
    <dataField name="Nombre de Répondant" fld="33" subtotal="count" baseField="0" baseItem="0"/>
  </dataFields>
  <pivotTableStyleInfo name="PivotStyleLight16" showRowHeaders="1" showColHeaders="1" showRowStripes="0" showColStripes="0" showLastColumn="1"/>
</pivotTableDefinition>
</file>

<file path=xl/pivotTables/pivotTable62.xml><?xml version="1.0" encoding="utf-8"?>
<pivotTableDefinition xmlns="http://schemas.openxmlformats.org/spreadsheetml/2006/main" name="Tableau croisé dynamique77" cacheId="270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H25:L31" firstHeaderRow="1" firstDataRow="2" firstDataCol="1"/>
  <pivotFields count="92">
    <pivotField axis="axisRow" showAll="0" defaultSubtotal="0">
      <items count="6">
        <item x="3"/>
        <item x="2"/>
        <item x="4"/>
        <item x="1"/>
        <item x="0"/>
        <item x="5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axis="axisCol" showAll="0">
      <items count="6">
        <item x="1"/>
        <item x="2"/>
        <item x="3"/>
        <item h="1" x="4"/>
        <item h="1" x="0"/>
        <item t="default"/>
      </items>
    </pivotField>
    <pivotField showAll="0"/>
    <pivotField showAll="0"/>
    <pivotField showAl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88"/>
  </colFields>
  <colItems count="4">
    <i>
      <x/>
    </i>
    <i>
      <x v="1"/>
    </i>
    <i>
      <x v="2"/>
    </i>
    <i t="grand">
      <x/>
    </i>
  </colItems>
  <dataFields count="1">
    <dataField name="Nombre de Répondant" fld="86" subtotal="count" baseField="0" baseItem="0"/>
  </dataFields>
  <pivotTableStyleInfo name="PivotStyleLight16" showRowHeaders="1" showColHeaders="1" showRowStripes="0" showColStripes="0" showLastColumn="1"/>
</pivotTableDefinition>
</file>

<file path=xl/pivotTables/pivotTable63.xml><?xml version="1.0" encoding="utf-8"?>
<pivotTableDefinition xmlns="http://schemas.openxmlformats.org/spreadsheetml/2006/main" name="Tableau croisé dynamique132" cacheId="256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H571:L575" firstHeaderRow="1" firstDataRow="2" firstDataCol="1"/>
  <pivotFields count="24">
    <pivotField axis="axisRow" showAll="0" defaultSubtotal="0">
      <items count="4">
        <item x="1"/>
        <item x="2"/>
        <item h="1" x="0"/>
        <item h="1" x="3"/>
      </items>
    </pivotField>
    <pivotField showAll="0" defaultSubtota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axis="axisCol" showAll="0">
      <items count="6">
        <item x="1"/>
        <item x="2"/>
        <item x="3"/>
        <item h="1" x="4"/>
        <item h="1" x="0"/>
        <item t="default"/>
      </items>
    </pivotField>
    <pivotField showAll="0"/>
    <pivotField showAll="0"/>
    <pivotField showAll="0"/>
  </pivotFields>
  <rowFields count="1">
    <field x="0"/>
  </rowFields>
  <rowItems count="3">
    <i>
      <x/>
    </i>
    <i>
      <x v="1"/>
    </i>
    <i t="grand">
      <x/>
    </i>
  </rowItems>
  <colFields count="1">
    <field x="20"/>
  </colFields>
  <colItems count="4">
    <i>
      <x/>
    </i>
    <i>
      <x v="1"/>
    </i>
    <i>
      <x v="2"/>
    </i>
    <i t="grand">
      <x/>
    </i>
  </colItems>
  <dataFields count="1">
    <dataField name="Nombre de Répondant" fld="18" subtotal="count" baseField="0" baseItem="0"/>
  </dataFields>
  <pivotTableStyleInfo name="PivotStyleLight16" showRowHeaders="1" showColHeaders="1" showRowStripes="0" showColStripes="0" showLastColumn="1"/>
</pivotTableDefinition>
</file>

<file path=xl/pivotTables/pivotTable64.xml><?xml version="1.0" encoding="utf-8"?>
<pivotTableDefinition xmlns="http://schemas.openxmlformats.org/spreadsheetml/2006/main" name="Tableau croisé dynamique16" cacheId="284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A168:D174" firstHeaderRow="1" firstDataRow="2" firstDataCol="1"/>
  <pivotFields count="78">
    <pivotField axis="axisRow" showAll="0" defaultSubtotal="0">
      <items count="6">
        <item x="2"/>
        <item x="1"/>
        <item x="3"/>
        <item x="4"/>
        <item h="1" x="0"/>
        <item h="1" x="5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axis="axisCol" showAll="0">
      <items count="5">
        <item x="1"/>
        <item x="2"/>
        <item h="1" x="0"/>
        <item h="1" x="3"/>
        <item t="default"/>
      </items>
    </pivotField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61"/>
  </colFields>
  <colItems count="3">
    <i>
      <x/>
    </i>
    <i>
      <x v="1"/>
    </i>
    <i t="grand">
      <x/>
    </i>
  </colItems>
  <dataFields count="1">
    <dataField name="Nombre de Répondant" fld="72" subtotal="count" baseField="0" baseItem="0"/>
  </dataFields>
  <pivotTableStyleInfo name="PivotStyleLight16" showRowHeaders="1" showColHeaders="1" showRowStripes="0" showColStripes="0" showLastColumn="1"/>
</pivotTableDefinition>
</file>

<file path=xl/pivotTables/pivotTable65.xml><?xml version="1.0" encoding="utf-8"?>
<pivotTableDefinition xmlns="http://schemas.openxmlformats.org/spreadsheetml/2006/main" name="Tableau croisé dynamique44" cacheId="314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A454:D461" firstHeaderRow="1" firstDataRow="2" firstDataCol="1"/>
  <pivotFields count="40">
    <pivotField axis="axisRow" showAll="0" defaultSubtotal="0">
      <items count="7">
        <item x="2"/>
        <item x="1"/>
        <item x="4"/>
        <item x="3"/>
        <item x="5"/>
        <item h="1" x="0"/>
        <item h="1" x="6"/>
      </items>
    </pivotField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axis="axisCol" showAll="0">
      <items count="5">
        <item x="1"/>
        <item x="2"/>
        <item h="1" x="0"/>
        <item h="1" x="3"/>
        <item t="default"/>
      </items>
    </pivotField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23"/>
  </colFields>
  <colItems count="3">
    <i>
      <x/>
    </i>
    <i>
      <x v="1"/>
    </i>
    <i t="grand">
      <x/>
    </i>
  </colItems>
  <dataFields count="1">
    <dataField name="Nombre de Répondant" fld="34" subtotal="count" baseField="0" baseItem="0"/>
  </dataFields>
  <pivotTableStyleInfo name="PivotStyleLight16" showRowHeaders="1" showColHeaders="1" showRowStripes="0" showColStripes="0" showLastColumn="1"/>
</pivotTableDefinition>
</file>

<file path=xl/pivotTables/pivotTable66.xml><?xml version="1.0" encoding="utf-8"?>
<pivotTableDefinition xmlns="http://schemas.openxmlformats.org/spreadsheetml/2006/main" name="Tableau croisé dynamique49" cacheId="263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A510:D514" firstHeaderRow="1" firstDataRow="2" firstDataCol="1"/>
  <pivotFields count="33">
    <pivotField axis="axisRow" showAll="0" defaultSubtotal="0">
      <items count="4">
        <item x="1"/>
        <item x="2"/>
        <item h="1" x="0"/>
        <item h="1" x="3"/>
      </items>
    </pivotField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axis="axisCol" showAll="0">
      <items count="5">
        <item x="1"/>
        <item x="2"/>
        <item h="1" x="0"/>
        <item h="1" x="3"/>
        <item t="default"/>
      </items>
    </pivotField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3">
    <i>
      <x/>
    </i>
    <i>
      <x v="1"/>
    </i>
    <i t="grand">
      <x/>
    </i>
  </rowItems>
  <colFields count="1">
    <field x="16"/>
  </colFields>
  <colItems count="3">
    <i>
      <x/>
    </i>
    <i>
      <x v="1"/>
    </i>
    <i t="grand">
      <x/>
    </i>
  </colItems>
  <dataFields count="1">
    <dataField name="Nombre de Répondant" fld="27" subtotal="count" baseField="0" baseItem="0"/>
  </dataFields>
  <pivotTableStyleInfo name="PivotStyleLight16" showRowHeaders="1" showColHeaders="1" showRowStripes="0" showColStripes="0" showLastColumn="1"/>
</pivotTableDefinition>
</file>

<file path=xl/pivotTables/pivotTable67.xml><?xml version="1.0" encoding="utf-8"?>
<pivotTableDefinition xmlns="http://schemas.openxmlformats.org/spreadsheetml/2006/main" name="Tableau croisé dynamique48" cacheId="264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A500:D504" firstHeaderRow="1" firstDataRow="2" firstDataCol="1"/>
  <pivotFields count="34">
    <pivotField axis="axisRow" showAll="0" defaultSubtotal="0">
      <items count="4">
        <item x="2"/>
        <item x="1"/>
        <item h="1" x="0"/>
        <item h="1" x="3"/>
      </items>
    </pivotField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axis="axisCol" showAll="0">
      <items count="5">
        <item x="1"/>
        <item x="2"/>
        <item h="1" x="0"/>
        <item h="1" x="3"/>
        <item t="default"/>
      </items>
    </pivotField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3">
    <i>
      <x/>
    </i>
    <i>
      <x v="1"/>
    </i>
    <i t="grand">
      <x/>
    </i>
  </rowItems>
  <colFields count="1">
    <field x="17"/>
  </colFields>
  <colItems count="3">
    <i>
      <x/>
    </i>
    <i>
      <x v="1"/>
    </i>
    <i t="grand">
      <x/>
    </i>
  </colItems>
  <dataFields count="1">
    <dataField name="Nombre de Répondant" fld="28" subtotal="count" baseField="0" baseItem="0"/>
  </dataFields>
  <pivotTableStyleInfo name="PivotStyleLight16" showRowHeaders="1" showColHeaders="1" showRowStripes="0" showColStripes="0" showLastColumn="1"/>
</pivotTableDefinition>
</file>

<file path=xl/pivotTables/pivotTable68.xml><?xml version="1.0" encoding="utf-8"?>
<pivotTableDefinition xmlns="http://schemas.openxmlformats.org/spreadsheetml/2006/main" name="Tableau croisé dynamique28" cacheId="296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A292:D296" firstHeaderRow="1" firstDataRow="2" firstDataCol="1"/>
  <pivotFields count="56">
    <pivotField axis="axisRow" showAll="0" defaultSubtotal="0">
      <items count="4">
        <item x="1"/>
        <item x="2"/>
        <item h="1" x="0"/>
        <item h="1" x="3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axis="axisCol" showAll="0">
      <items count="5">
        <item x="1"/>
        <item x="2"/>
        <item x="0"/>
        <item x="3"/>
        <item t="default"/>
      </items>
    </pivotField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3">
    <i>
      <x/>
    </i>
    <i>
      <x v="1"/>
    </i>
    <i t="grand">
      <x/>
    </i>
  </rowItems>
  <colFields count="1">
    <field x="39"/>
  </colFields>
  <colItems count="3">
    <i>
      <x/>
    </i>
    <i>
      <x v="1"/>
    </i>
    <i t="grand">
      <x/>
    </i>
  </colItems>
  <dataFields count="1">
    <dataField name="Nombre de Répondant" fld="50" subtotal="count" baseField="0" baseItem="0"/>
  </dataFields>
  <pivotTableStyleInfo name="PivotStyleLight16" showRowHeaders="1" showColHeaders="1" showRowStripes="0" showColStripes="0" showLastColumn="1"/>
</pivotTableDefinition>
</file>

<file path=xl/pivotTables/pivotTable69.xml><?xml version="1.0" encoding="utf-8"?>
<pivotTableDefinition xmlns="http://schemas.openxmlformats.org/spreadsheetml/2006/main" name="Tableau croisé dynamique78" cacheId="271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H35:L42" firstHeaderRow="1" firstDataRow="2" firstDataCol="1"/>
  <pivotFields count="91">
    <pivotField axis="axisRow" showAll="0" defaultSubtotal="0">
      <items count="7">
        <item x="1"/>
        <item x="2"/>
        <item x="4"/>
        <item x="3"/>
        <item x="0"/>
        <item x="6"/>
        <item x="5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axis="axisCol" showAll="0">
      <items count="6">
        <item x="1"/>
        <item x="2"/>
        <item x="3"/>
        <item h="1" x="4"/>
        <item h="1" x="0"/>
        <item t="default"/>
      </items>
    </pivotField>
    <pivotField showAll="0"/>
    <pivotField showAll="0"/>
    <pivotField showAll="0"/>
  </pivotFields>
  <rowFields count="1">
    <field x="0"/>
  </rowFields>
  <rowItems count="6">
    <i>
      <x/>
    </i>
    <i>
      <x v="1"/>
    </i>
    <i>
      <x v="2"/>
    </i>
    <i>
      <x v="3"/>
    </i>
    <i>
      <x v="6"/>
    </i>
    <i t="grand">
      <x/>
    </i>
  </rowItems>
  <colFields count="1">
    <field x="87"/>
  </colFields>
  <colItems count="4">
    <i>
      <x/>
    </i>
    <i>
      <x v="1"/>
    </i>
    <i>
      <x v="2"/>
    </i>
    <i t="grand">
      <x/>
    </i>
  </colItems>
  <dataFields count="1">
    <dataField name="Nombre de Répondant" fld="85" subtotal="count" baseField="0" baseItem="0"/>
  </dataFields>
  <pivotTableStyleInfo name="PivotStyleLight16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Tableau croisé dynamique129" cacheId="258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H550:L554" firstHeaderRow="1" firstDataRow="2" firstDataCol="1"/>
  <pivotFields count="28">
    <pivotField axis="axisRow" showAll="0" defaultSubtotal="0">
      <items count="4">
        <item x="2"/>
        <item x="1"/>
        <item h="1" x="0"/>
        <item h="1" x="3"/>
      </items>
    </pivotField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axis="axisCol" showAll="0">
      <items count="6">
        <item x="1"/>
        <item x="2"/>
        <item x="3"/>
        <item h="1" x="4"/>
        <item h="1" x="0"/>
        <item t="default"/>
      </items>
    </pivotField>
    <pivotField showAll="0"/>
    <pivotField showAll="0"/>
    <pivotField showAll="0"/>
  </pivotFields>
  <rowFields count="1">
    <field x="0"/>
  </rowFields>
  <rowItems count="3">
    <i>
      <x/>
    </i>
    <i>
      <x v="1"/>
    </i>
    <i t="grand">
      <x/>
    </i>
  </rowItems>
  <colFields count="1">
    <field x="24"/>
  </colFields>
  <colItems count="4">
    <i>
      <x/>
    </i>
    <i>
      <x v="1"/>
    </i>
    <i>
      <x v="2"/>
    </i>
    <i t="grand">
      <x/>
    </i>
  </colItems>
  <dataFields count="1">
    <dataField name="Nombre de Répondant" fld="22" subtotal="count" baseField="0" baseItem="0"/>
  </dataFields>
  <pivotTableStyleInfo name="PivotStyleLight16" showRowHeaders="1" showColHeaders="1" showRowStripes="0" showColStripes="0" showLastColumn="1"/>
</pivotTableDefinition>
</file>

<file path=xl/pivotTables/pivotTable70.xml><?xml version="1.0" encoding="utf-8"?>
<pivotTableDefinition xmlns="http://schemas.openxmlformats.org/spreadsheetml/2006/main" name="Tableau croisé dynamique24" cacheId="292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A256:D260" firstHeaderRow="1" firstDataRow="2" firstDataCol="1"/>
  <pivotFields count="70">
    <pivotField axis="axisRow" showAll="0" defaultSubtotal="0">
      <items count="4">
        <item x="1"/>
        <item x="2"/>
        <item h="1" x="0"/>
        <item h="1" x="3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axis="axisCol" showAll="0">
      <items count="5">
        <item x="1"/>
        <item x="2"/>
        <item h="1" x="0"/>
        <item h="1" x="3"/>
        <item t="default"/>
      </items>
    </pivotField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3">
    <i>
      <x/>
    </i>
    <i>
      <x v="1"/>
    </i>
    <i t="grand">
      <x/>
    </i>
  </rowItems>
  <colFields count="1">
    <field x="53"/>
  </colFields>
  <colItems count="3">
    <i>
      <x/>
    </i>
    <i>
      <x v="1"/>
    </i>
    <i t="grand">
      <x/>
    </i>
  </colItems>
  <dataFields count="1">
    <dataField name="Nombre de Répondant" fld="64" subtotal="count" baseField="0" baseItem="0"/>
  </dataFields>
  <pivotTableStyleInfo name="PivotStyleLight16" showRowHeaders="1" showColHeaders="1" showRowStripes="0" showColStripes="0" showLastColumn="1"/>
</pivotTableDefinition>
</file>

<file path=xl/pivotTables/pivotTable71.xml><?xml version="1.0" encoding="utf-8"?>
<pivotTableDefinition xmlns="http://schemas.openxmlformats.org/spreadsheetml/2006/main" name="Tableau croisé dynamique51" cacheId="262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A521:D525" firstHeaderRow="1" firstDataRow="2" firstDataCol="1"/>
  <pivotFields count="31">
    <pivotField axis="axisRow" showAll="0" defaultSubtotal="0">
      <items count="4">
        <item x="2"/>
        <item x="1"/>
        <item h="1" x="0"/>
        <item h="1" x="3"/>
      </items>
    </pivotField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axis="axisCol" showAll="0">
      <items count="5">
        <item x="1"/>
        <item x="2"/>
        <item h="1" x="0"/>
        <item h="1" x="3"/>
        <item t="default"/>
      </items>
    </pivotField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3">
    <i>
      <x/>
    </i>
    <i>
      <x v="1"/>
    </i>
    <i t="grand">
      <x/>
    </i>
  </rowItems>
  <colFields count="1">
    <field x="14"/>
  </colFields>
  <colItems count="3">
    <i>
      <x/>
    </i>
    <i>
      <x v="1"/>
    </i>
    <i t="grand">
      <x/>
    </i>
  </colItems>
  <dataFields count="1">
    <dataField name="Nombre de Répondant" fld="25" subtotal="count" baseField="0" baseItem="0"/>
  </dataFields>
  <pivotTableStyleInfo name="PivotStyleLight16" showRowHeaders="1" showColHeaders="1" showRowStripes="0" showColStripes="0" showLastColumn="1"/>
</pivotTableDefinition>
</file>

<file path=xl/pivotTables/pivotTable72.xml><?xml version="1.0" encoding="utf-8"?>
<pivotTableDefinition xmlns="http://schemas.openxmlformats.org/spreadsheetml/2006/main" name="Tableau croisé dynamique97" cacheId="291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H247:L251" firstHeaderRow="1" firstDataRow="2" firstDataCol="1"/>
  <pivotFields count="71">
    <pivotField axis="axisRow" showAll="0" defaultSubtotal="0">
      <items count="4">
        <item x="1"/>
        <item x="2"/>
        <item h="1" x="0"/>
        <item h="1" x="3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axis="axisCol" showAll="0">
      <items count="6">
        <item x="1"/>
        <item x="2"/>
        <item x="3"/>
        <item h="1" x="4"/>
        <item h="1" x="0"/>
        <item t="default"/>
      </items>
    </pivotField>
    <pivotField showAll="0"/>
    <pivotField showAll="0"/>
    <pivotField showAll="0"/>
  </pivotFields>
  <rowFields count="1">
    <field x="0"/>
  </rowFields>
  <rowItems count="3">
    <i>
      <x/>
    </i>
    <i>
      <x v="1"/>
    </i>
    <i t="grand">
      <x/>
    </i>
  </rowItems>
  <colFields count="1">
    <field x="67"/>
  </colFields>
  <colItems count="4">
    <i>
      <x/>
    </i>
    <i>
      <x v="1"/>
    </i>
    <i>
      <x v="2"/>
    </i>
    <i t="grand">
      <x/>
    </i>
  </colItems>
  <dataFields count="1">
    <dataField name="Nombre de Répondant" fld="65" subtotal="count" baseField="0" baseItem="0"/>
  </dataFields>
  <pivotTableStyleInfo name="PivotStyleLight16" showRowHeaders="1" showColHeaders="1" showRowStripes="0" showColStripes="0" showLastColumn="1"/>
</pivotTableDefinition>
</file>

<file path=xl/pivotTables/pivotTable73.xml><?xml version="1.0" encoding="utf-8"?>
<pivotTableDefinition xmlns="http://schemas.openxmlformats.org/spreadsheetml/2006/main" name="Tableau croisé dynamique113" cacheId="307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H400:L406" firstHeaderRow="1" firstDataRow="2" firstDataCol="1"/>
  <pivotFields count="45">
    <pivotField axis="axisRow" showAll="0" defaultSubtotal="0">
      <items count="6">
        <item x="2"/>
        <item x="4"/>
        <item x="3"/>
        <item x="1"/>
        <item h="1" x="0"/>
        <item h="1" x="5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axis="axisCol" showAll="0">
      <items count="6">
        <item x="1"/>
        <item x="2"/>
        <item x="3"/>
        <item h="1" x="4"/>
        <item h="1" x="0"/>
        <item t="default"/>
      </items>
    </pivotField>
    <pivotField showAll="0"/>
    <pivotField showAll="0"/>
    <pivotField showAl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41"/>
  </colFields>
  <colItems count="4">
    <i>
      <x/>
    </i>
    <i>
      <x v="1"/>
    </i>
    <i>
      <x v="2"/>
    </i>
    <i t="grand">
      <x/>
    </i>
  </colItems>
  <dataFields count="1">
    <dataField name="Nombre de Répondant" fld="39" subtotal="count" baseField="0" baseItem="0"/>
  </dataFields>
  <pivotTableStyleInfo name="PivotStyleLight16" showRowHeaders="1" showColHeaders="1" showRowStripes="0" showColStripes="0" showLastColumn="1"/>
</pivotTableDefinition>
</file>

<file path=xl/pivotTables/pivotTable74.xml><?xml version="1.0" encoding="utf-8"?>
<pivotTableDefinition xmlns="http://schemas.openxmlformats.org/spreadsheetml/2006/main" name="Tableau croisé dynamique47" cacheId="265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A488:D492" firstHeaderRow="1" firstDataRow="2" firstDataCol="1"/>
  <pivotFields count="35">
    <pivotField axis="axisRow" showAll="0" defaultSubtotal="0">
      <items count="4">
        <item x="1"/>
        <item x="2"/>
        <item h="1" x="0"/>
        <item h="1" x="3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axis="axisCol" showAll="0">
      <items count="5">
        <item x="1"/>
        <item x="2"/>
        <item h="1" x="0"/>
        <item h="1" x="3"/>
        <item t="default"/>
      </items>
    </pivotField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3">
    <i>
      <x/>
    </i>
    <i>
      <x v="1"/>
    </i>
    <i t="grand">
      <x/>
    </i>
  </rowItems>
  <colFields count="1">
    <field x="18"/>
  </colFields>
  <colItems count="3">
    <i>
      <x/>
    </i>
    <i>
      <x v="1"/>
    </i>
    <i t="grand">
      <x/>
    </i>
  </colItems>
  <dataFields count="1">
    <dataField name="Nombre de Répondant" fld="29" subtotal="count" baseField="0" baseItem="0"/>
  </dataFields>
  <pivotTableStyleInfo name="PivotStyleLight16" showRowHeaders="1" showColHeaders="1" showRowStripes="0" showColStripes="0" showLastColumn="1"/>
</pivotTableDefinition>
</file>

<file path=xl/pivotTables/pivotTable75.xml><?xml version="1.0" encoding="utf-8"?>
<pivotTableDefinition xmlns="http://schemas.openxmlformats.org/spreadsheetml/2006/main" name="Tableau croisé dynamique99" cacheId="293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H265:L269" firstHeaderRow="1" firstDataRow="2" firstDataCol="1"/>
  <pivotFields count="60">
    <pivotField axis="axisRow" showAll="0" defaultSubtotal="0">
      <items count="4">
        <item x="1"/>
        <item x="2"/>
        <item h="1" x="0"/>
        <item h="1" x="3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axis="axisCol" showAll="0">
      <items count="6">
        <item x="1"/>
        <item x="2"/>
        <item x="3"/>
        <item h="1" x="4"/>
        <item h="1" x="0"/>
        <item t="default"/>
      </items>
    </pivotField>
    <pivotField showAll="0"/>
    <pivotField showAll="0"/>
    <pivotField showAll="0"/>
  </pivotFields>
  <rowFields count="1">
    <field x="0"/>
  </rowFields>
  <rowItems count="3">
    <i>
      <x/>
    </i>
    <i>
      <x v="1"/>
    </i>
    <i t="grand">
      <x/>
    </i>
  </rowItems>
  <colFields count="1">
    <field x="56"/>
  </colFields>
  <colItems count="4">
    <i>
      <x/>
    </i>
    <i>
      <x v="1"/>
    </i>
    <i>
      <x v="2"/>
    </i>
    <i t="grand">
      <x/>
    </i>
  </colItems>
  <dataFields count="1">
    <dataField name="Nombre de Répondant" fld="54" subtotal="count" baseField="0" baseItem="0"/>
  </dataFields>
  <pivotTableStyleInfo name="PivotStyleLight16" showRowHeaders="1" showColHeaders="1" showRowStripes="0" showColStripes="0" showLastColumn="1"/>
</pivotTableDefinition>
</file>

<file path=xl/pivotTables/pivotTable76.xml><?xml version="1.0" encoding="utf-8"?>
<pivotTableDefinition xmlns="http://schemas.openxmlformats.org/spreadsheetml/2006/main" name="Tableau croisé dynamique59" cacheId="267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A582:D590" firstHeaderRow="1" firstDataRow="2" firstDataCol="1"/>
  <pivotFields count="20">
    <pivotField axis="axisRow" showAll="0" defaultSubtotal="0">
      <items count="9">
        <item h="1" m="1" x="8"/>
        <item x="4"/>
        <item x="1"/>
        <item x="5"/>
        <item x="2"/>
        <item x="3"/>
        <item x="6"/>
        <item h="1" x="0"/>
        <item h="1" x="7"/>
      </items>
    </pivotField>
    <pivotField showAll="0" defaultSubtotal="0"/>
    <pivotField showAll="0" defaultSubtotal="0"/>
    <pivotField axis="axisCol" showAll="0">
      <items count="5">
        <item x="1"/>
        <item x="2"/>
        <item x="0"/>
        <item x="3"/>
        <item t="default"/>
      </items>
    </pivotField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7"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3"/>
  </colFields>
  <colItems count="3">
    <i>
      <x/>
    </i>
    <i>
      <x v="1"/>
    </i>
    <i t="grand">
      <x/>
    </i>
  </colItems>
  <dataFields count="1">
    <dataField name="Nombre de Répondant" fld="14" subtotal="count" baseField="0" baseItem="0"/>
  </dataFields>
  <pivotTableStyleInfo name="PivotStyleLight16" showRowHeaders="1" showColHeaders="1" showRowStripes="0" showColStripes="0" showLastColumn="1"/>
</pivotTableDefinition>
</file>

<file path=xl/pivotTables/pivotTable77.xml><?xml version="1.0" encoding="utf-8"?>
<pivotTableDefinition xmlns="http://schemas.openxmlformats.org/spreadsheetml/2006/main" name="Tableau croisé dynamique12" cacheId="280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A124:D130" firstHeaderRow="1" firstDataRow="2" firstDataCol="1"/>
  <pivotFields count="82">
    <pivotField axis="axisRow" showAll="0" defaultSubtotal="0">
      <items count="6">
        <item x="1"/>
        <item x="2"/>
        <item x="4"/>
        <item x="3"/>
        <item h="1" x="0"/>
        <item h="1" x="5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axis="axisCol" showAll="0">
      <items count="5">
        <item x="1"/>
        <item x="2"/>
        <item x="0"/>
        <item x="3"/>
        <item t="default"/>
      </items>
    </pivotField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65"/>
  </colFields>
  <colItems count="3">
    <i>
      <x/>
    </i>
    <i>
      <x v="1"/>
    </i>
    <i t="grand">
      <x/>
    </i>
  </colItems>
  <dataFields count="1">
    <dataField name="Nombre de Répondant" fld="76" subtotal="count" baseField="0" baseItem="0"/>
  </dataFields>
  <pivotTableStyleInfo name="PivotStyleLight16" showRowHeaders="1" showColHeaders="1" showRowStripes="0" showColStripes="0" showLastColumn="1"/>
</pivotTableDefinition>
</file>

<file path=xl/pivotTables/pivotTable78.xml><?xml version="1.0" encoding="utf-8"?>
<pivotTableDefinition xmlns="http://schemas.openxmlformats.org/spreadsheetml/2006/main" name="Tableau croisé dynamique43" cacheId="312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A443:D450" firstHeaderRow="1" firstDataRow="2" firstDataCol="1"/>
  <pivotFields count="41">
    <pivotField axis="axisRow" showAll="0" defaultSubtotal="0">
      <items count="7">
        <item x="4"/>
        <item x="1"/>
        <item x="3"/>
        <item x="2"/>
        <item x="5"/>
        <item h="1" x="0"/>
        <item h="1" x="6"/>
      </items>
    </pivotField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axis="axisCol" showAll="0">
      <items count="5">
        <item x="1"/>
        <item x="2"/>
        <item h="1" x="0"/>
        <item h="1" x="3"/>
        <item t="default"/>
      </items>
    </pivotField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24"/>
  </colFields>
  <colItems count="3">
    <i>
      <x/>
    </i>
    <i>
      <x v="1"/>
    </i>
    <i t="grand">
      <x/>
    </i>
  </colItems>
  <dataFields count="1">
    <dataField name="Nombre de Répondant" fld="35" subtotal="count" baseField="0" baseItem="0"/>
  </dataFields>
  <pivotTableStyleInfo name="PivotStyleLight16" showRowHeaders="1" showColHeaders="1" showRowStripes="0" showColStripes="0" showLastColumn="1"/>
</pivotTableDefinition>
</file>

<file path=xl/pivotTables/pivotTable79.xml><?xml version="1.0" encoding="utf-8"?>
<pivotTableDefinition xmlns="http://schemas.openxmlformats.org/spreadsheetml/2006/main" name="Tableau croisé dynamique106" cacheId="300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H328:L332" firstHeaderRow="1" firstDataRow="2" firstDataCol="1"/>
  <pivotFields count="52">
    <pivotField axis="axisRow" showAll="0" defaultSubtotal="0">
      <items count="4">
        <item x="1"/>
        <item x="2"/>
        <item h="1" x="0"/>
        <item h="1" x="3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axis="axisCol" showAll="0">
      <items count="6">
        <item x="1"/>
        <item x="2"/>
        <item x="3"/>
        <item h="1" x="4"/>
        <item h="1" x="0"/>
        <item t="default"/>
      </items>
    </pivotField>
    <pivotField showAll="0"/>
    <pivotField showAll="0"/>
    <pivotField showAll="0"/>
  </pivotFields>
  <rowFields count="1">
    <field x="0"/>
  </rowFields>
  <rowItems count="3">
    <i>
      <x/>
    </i>
    <i>
      <x v="1"/>
    </i>
    <i t="grand">
      <x/>
    </i>
  </rowItems>
  <colFields count="1">
    <field x="48"/>
  </colFields>
  <colItems count="4">
    <i>
      <x/>
    </i>
    <i>
      <x v="1"/>
    </i>
    <i>
      <x v="2"/>
    </i>
    <i t="grand">
      <x/>
    </i>
  </colItems>
  <dataFields count="1">
    <dataField name="Nombre de Répondant" fld="46" subtotal="count" baseField="0" baseItem="0"/>
  </dataFields>
  <pivotTableStyleInfo name="PivotStyleLight16" showRowHeaders="1" showColHeaders="1" showRowStripes="0" showColStripes="0" showLastColumn="1"/>
</pivotTableDefinition>
</file>

<file path=xl/pivotTables/pivotTable8.xml><?xml version="1.0" encoding="utf-8"?>
<pivotTableDefinition xmlns="http://schemas.openxmlformats.org/spreadsheetml/2006/main" name="Tableau croisé dynamique17" cacheId="285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A181:D187" firstHeaderRow="1" firstDataRow="2" firstDataCol="1"/>
  <pivotFields count="77">
    <pivotField axis="axisRow" showAll="0" defaultSubtotal="0">
      <items count="6">
        <item x="1"/>
        <item x="2"/>
        <item x="3"/>
        <item x="4"/>
        <item h="1" x="0"/>
        <item h="1" x="5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axis="axisCol" showAll="0">
      <items count="5">
        <item x="1"/>
        <item x="2"/>
        <item h="1" x="0"/>
        <item h="1" x="3"/>
        <item t="default"/>
      </items>
    </pivotField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60"/>
  </colFields>
  <colItems count="3">
    <i>
      <x/>
    </i>
    <i>
      <x v="1"/>
    </i>
    <i t="grand">
      <x/>
    </i>
  </colItems>
  <dataFields count="1">
    <dataField name="Nombre de Répondant" fld="71" subtotal="count" baseField="0" baseItem="0"/>
  </dataFields>
  <pivotTableStyleInfo name="PivotStyleLight16" showRowHeaders="1" showColHeaders="1" showRowStripes="0" showColStripes="0" showLastColumn="1"/>
</pivotTableDefinition>
</file>

<file path=xl/pivotTables/pivotTable80.xml><?xml version="1.0" encoding="utf-8"?>
<pivotTableDefinition xmlns="http://schemas.openxmlformats.org/spreadsheetml/2006/main" name="Tableau croisé dynamique52" cacheId="261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A531:D535" firstHeaderRow="1" firstDataRow="2" firstDataCol="1"/>
  <pivotFields count="30">
    <pivotField axis="axisRow" showAll="0" defaultSubtotal="0">
      <items count="4">
        <item x="1"/>
        <item x="2"/>
        <item h="1" x="0"/>
        <item h="1" x="3"/>
      </items>
    </pivotField>
    <pivotField showAll="0" defaultSubtota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axis="axisCol" showAll="0">
      <items count="5">
        <item x="1"/>
        <item x="2"/>
        <item h="1" x="0"/>
        <item h="1" x="3"/>
        <item t="default"/>
      </items>
    </pivotField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3">
    <i>
      <x/>
    </i>
    <i>
      <x v="1"/>
    </i>
    <i t="grand">
      <x/>
    </i>
  </rowItems>
  <colFields count="1">
    <field x="13"/>
  </colFields>
  <colItems count="3">
    <i>
      <x/>
    </i>
    <i>
      <x v="1"/>
    </i>
    <i t="grand">
      <x/>
    </i>
  </colItems>
  <dataFields count="1">
    <dataField name="Nombre de Répondant" fld="24" subtotal="count" baseField="0" baseItem="0"/>
  </dataFields>
  <pivotTableStyleInfo name="PivotStyleLight16" showRowHeaders="1" showColHeaders="1" showRowStripes="0" showColStripes="0" showLastColumn="1"/>
</pivotTableDefinition>
</file>

<file path=xl/pivotTables/pivotTable81.xml><?xml version="1.0" encoding="utf-8"?>
<pivotTableDefinition xmlns="http://schemas.openxmlformats.org/spreadsheetml/2006/main" name="Tableau croisé dynamique34" cacheId="302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A346:D350" firstHeaderRow="1" firstDataRow="2" firstDataCol="1"/>
  <pivotFields count="50">
    <pivotField axis="axisRow" showAll="0" defaultSubtotal="0">
      <items count="4">
        <item x="2"/>
        <item x="1"/>
        <item h="1" x="0"/>
        <item h="1" x="3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axis="axisCol" showAll="0">
      <items count="5">
        <item x="1"/>
        <item x="2"/>
        <item h="1" x="0"/>
        <item h="1" x="3"/>
        <item t="default"/>
      </items>
    </pivotField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3">
    <i>
      <x/>
    </i>
    <i>
      <x v="1"/>
    </i>
    <i t="grand">
      <x/>
    </i>
  </rowItems>
  <colFields count="1">
    <field x="33"/>
  </colFields>
  <colItems count="3">
    <i>
      <x/>
    </i>
    <i>
      <x v="1"/>
    </i>
    <i t="grand">
      <x/>
    </i>
  </colItems>
  <dataFields count="1">
    <dataField name="Nombre de Répondant" fld="44" subtotal="count" baseField="0" baseItem="0"/>
  </dataFields>
  <pivotTableStyleInfo name="PivotStyleLight16" showRowHeaders="1" showColHeaders="1" showRowStripes="0" showColStripes="0" showLastColumn="1"/>
</pivotTableDefinition>
</file>

<file path=xl/pivotTables/pivotTable82.xml><?xml version="1.0" encoding="utf-8"?>
<pivotTableDefinition xmlns="http://schemas.openxmlformats.org/spreadsheetml/2006/main" name="Tableau croisé dynamique128" cacheId="260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H540:L544" firstHeaderRow="1" firstDataRow="2" firstDataCol="1"/>
  <pivotFields count="29">
    <pivotField axis="axisRow" showAll="0" defaultSubtotal="0">
      <items count="4">
        <item x="1"/>
        <item x="2"/>
        <item h="1" x="0"/>
        <item h="1" x="3"/>
      </items>
    </pivotField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axis="axisCol" showAll="0">
      <items count="6">
        <item x="1"/>
        <item x="2"/>
        <item x="3"/>
        <item h="1" x="4"/>
        <item h="1" x="0"/>
        <item t="default"/>
      </items>
    </pivotField>
    <pivotField showAll="0"/>
    <pivotField showAll="0"/>
    <pivotField showAll="0"/>
  </pivotFields>
  <rowFields count="1">
    <field x="0"/>
  </rowFields>
  <rowItems count="3">
    <i>
      <x/>
    </i>
    <i>
      <x v="1"/>
    </i>
    <i t="grand">
      <x/>
    </i>
  </rowItems>
  <colFields count="1">
    <field x="25"/>
  </colFields>
  <colItems count="4">
    <i>
      <x/>
    </i>
    <i>
      <x v="1"/>
    </i>
    <i>
      <x v="2"/>
    </i>
    <i t="grand">
      <x/>
    </i>
  </colItems>
  <dataFields count="1">
    <dataField name="Nombre de Répondant" fld="23" subtotal="count" baseField="0" baseItem="0"/>
  </dataFields>
  <pivotTableStyleInfo name="PivotStyleLight16" showRowHeaders="1" showColHeaders="1" showRowStripes="0" showColStripes="0" showLastColumn="1"/>
</pivotTableDefinition>
</file>

<file path=xl/pivotTables/pivotTable83.xml><?xml version="1.0" encoding="utf-8"?>
<pivotTableDefinition xmlns="http://schemas.openxmlformats.org/spreadsheetml/2006/main" name="Tableau croisé dynamique105" cacheId="299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H319:L323" firstHeaderRow="1" firstDataRow="2" firstDataCol="1"/>
  <pivotFields count="53">
    <pivotField axis="axisRow" showAll="0" defaultSubtotal="0">
      <items count="4">
        <item x="2"/>
        <item x="1"/>
        <item h="1" x="0"/>
        <item h="1" x="3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axis="axisCol" showAll="0">
      <items count="6">
        <item x="1"/>
        <item x="2"/>
        <item x="3"/>
        <item h="1" x="4"/>
        <item h="1" x="0"/>
        <item t="default"/>
      </items>
    </pivotField>
    <pivotField showAll="0"/>
    <pivotField showAll="0"/>
    <pivotField showAll="0"/>
  </pivotFields>
  <rowFields count="1">
    <field x="0"/>
  </rowFields>
  <rowItems count="3">
    <i>
      <x/>
    </i>
    <i>
      <x v="1"/>
    </i>
    <i t="grand">
      <x/>
    </i>
  </rowItems>
  <colFields count="1">
    <field x="49"/>
  </colFields>
  <colItems count="4">
    <i>
      <x/>
    </i>
    <i>
      <x v="1"/>
    </i>
    <i>
      <x v="2"/>
    </i>
    <i t="grand">
      <x/>
    </i>
  </colItems>
  <dataFields count="1">
    <dataField name="Nombre de Répondant" fld="47" subtotal="count" baseField="0" baseItem="0"/>
  </dataFields>
  <pivotTableStyleInfo name="PivotStyleLight16" showRowHeaders="1" showColHeaders="1" showRowStripes="0" showColStripes="0" showLastColumn="1"/>
</pivotTableDefinition>
</file>

<file path=xl/pivotTables/pivotTable84.xml><?xml version="1.0" encoding="utf-8"?>
<pivotTableDefinition xmlns="http://schemas.openxmlformats.org/spreadsheetml/2006/main" name="Tableau croisé dynamique119" cacheId="314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H454:L461" firstHeaderRow="1" firstDataRow="2" firstDataCol="1"/>
  <pivotFields count="40">
    <pivotField axis="axisRow" showAll="0" defaultSubtotal="0">
      <items count="7">
        <item x="2"/>
        <item x="1"/>
        <item x="4"/>
        <item x="3"/>
        <item x="5"/>
        <item h="1" x="0"/>
        <item h="1" x="6"/>
      </items>
    </pivotField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axis="axisCol" showAll="0">
      <items count="6">
        <item x="1"/>
        <item x="2"/>
        <item x="3"/>
        <item h="1" x="4"/>
        <item h="1" x="0"/>
        <item t="default"/>
      </items>
    </pivotField>
    <pivotField showAll="0"/>
    <pivotField showAll="0"/>
    <pivotField showAll="0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36"/>
  </colFields>
  <colItems count="4">
    <i>
      <x/>
    </i>
    <i>
      <x v="1"/>
    </i>
    <i>
      <x v="2"/>
    </i>
    <i t="grand">
      <x/>
    </i>
  </colItems>
  <dataFields count="1">
    <dataField name="Nombre de Répondant" fld="34" subtotal="count" baseField="0" baseItem="0"/>
  </dataFields>
  <pivotTableStyleInfo name="PivotStyleLight16" showRowHeaders="1" showColHeaders="1" showRowStripes="0" showColStripes="0" showLastColumn="1"/>
</pivotTableDefinition>
</file>

<file path=xl/pivotTables/pivotTable85.xml><?xml version="1.0" encoding="utf-8"?>
<pivotTableDefinition xmlns="http://schemas.openxmlformats.org/spreadsheetml/2006/main" name="Tableau croisé dynamique21" cacheId="289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A225:D231" firstHeaderRow="1" firstDataRow="2" firstDataCol="1"/>
  <pivotFields count="73">
    <pivotField axis="axisRow" showAll="0" defaultSubtotal="0">
      <items count="6">
        <item x="3"/>
        <item x="2"/>
        <item x="1"/>
        <item x="4"/>
        <item h="1" x="0"/>
        <item h="1" x="5"/>
      </items>
    </pivotField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axis="axisCol" showAll="0">
      <items count="5">
        <item x="1"/>
        <item x="2"/>
        <item h="1" x="0"/>
        <item h="1" x="3"/>
        <item t="default"/>
      </items>
    </pivotField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56"/>
  </colFields>
  <colItems count="3">
    <i>
      <x/>
    </i>
    <i>
      <x v="1"/>
    </i>
    <i t="grand">
      <x/>
    </i>
  </colItems>
  <dataFields count="1">
    <dataField name="Nombre de Répondant" fld="67" subtotal="count" baseField="0" baseItem="0"/>
  </dataFields>
  <pivotTableStyleInfo name="PivotStyleLight16" showRowHeaders="1" showColHeaders="1" showRowStripes="0" showColStripes="0" showLastColumn="1"/>
</pivotTableDefinition>
</file>

<file path=xl/pivotTables/pivotTable86.xml><?xml version="1.0" encoding="utf-8"?>
<pivotTableDefinition xmlns="http://schemas.openxmlformats.org/spreadsheetml/2006/main" name="Tableau croisé dynamique81" cacheId="275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H68:L76" firstHeaderRow="1" firstDataRow="2" firstDataCol="1"/>
  <pivotFields count="87">
    <pivotField axis="axisRow" showAll="0" defaultSubtotal="0">
      <items count="7">
        <item x="3"/>
        <item x="2"/>
        <item x="1"/>
        <item x="5"/>
        <item x="4"/>
        <item x="0"/>
        <item x="6"/>
      </items>
    </pivotField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axis="axisCol" showAll="0">
      <items count="6">
        <item x="1"/>
        <item x="2"/>
        <item x="3"/>
        <item h="1" x="4"/>
        <item h="1" x="0"/>
        <item t="default"/>
      </items>
    </pivotField>
    <pivotField showAll="0"/>
    <pivotField showAll="0"/>
    <pivotField showAll="0"/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6"/>
    </i>
    <i t="grand">
      <x/>
    </i>
  </rowItems>
  <colFields count="1">
    <field x="83"/>
  </colFields>
  <colItems count="4">
    <i>
      <x/>
    </i>
    <i>
      <x v="1"/>
    </i>
    <i>
      <x v="2"/>
    </i>
    <i t="grand">
      <x/>
    </i>
  </colItems>
  <dataFields count="1">
    <dataField name="Nombre de Répondant" fld="81" subtotal="count" baseField="0" baseItem="0"/>
  </dataFields>
  <pivotTableStyleInfo name="PivotStyleLight16" showRowHeaders="1" showColHeaders="1" showRowStripes="0" showColStripes="0" showLastColumn="1"/>
</pivotTableDefinition>
</file>

<file path=xl/pivotTables/pivotTable87.xml><?xml version="1.0" encoding="utf-8"?>
<pivotTableDefinition xmlns="http://schemas.openxmlformats.org/spreadsheetml/2006/main" name="Tableau croisé dynamique30" cacheId="298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A310:D314" firstHeaderRow="1" firstDataRow="2" firstDataCol="1"/>
  <pivotFields count="54">
    <pivotField axis="axisRow" showAll="0" defaultSubtotal="0">
      <items count="4">
        <item x="1"/>
        <item x="2"/>
        <item h="1" x="0"/>
        <item h="1" x="3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axis="axisCol" showAll="0">
      <items count="5">
        <item x="1"/>
        <item x="2"/>
        <item h="1" x="0"/>
        <item h="1" x="3"/>
        <item t="default"/>
      </items>
    </pivotField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3">
    <i>
      <x/>
    </i>
    <i>
      <x v="1"/>
    </i>
    <i t="grand">
      <x/>
    </i>
  </rowItems>
  <colFields count="1">
    <field x="37"/>
  </colFields>
  <colItems count="3">
    <i>
      <x/>
    </i>
    <i>
      <x v="1"/>
    </i>
    <i t="grand">
      <x/>
    </i>
  </colItems>
  <dataFields count="1">
    <dataField name="Nombre de Répondant" fld="48" subtotal="count" baseField="0" baseItem="0"/>
  </dataFields>
  <pivotTableStyleInfo name="PivotStyleLight16" showRowHeaders="1" showColHeaders="1" showRowStripes="0" showColStripes="0" showLastColumn="1"/>
</pivotTableDefinition>
</file>

<file path=xl/pivotTables/pivotTable88.xml><?xml version="1.0" encoding="utf-8"?>
<pivotTableDefinition xmlns="http://schemas.openxmlformats.org/spreadsheetml/2006/main" name="Tableau croisé dynamique117" cacheId="311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H432:L439" firstHeaderRow="1" firstDataRow="2" firstDataCol="1"/>
  <pivotFields count="42">
    <pivotField axis="axisRow" showAll="0" defaultSubtotal="0">
      <items count="7">
        <item x="2"/>
        <item x="3"/>
        <item x="4"/>
        <item x="5"/>
        <item x="1"/>
        <item h="1" x="0"/>
        <item h="1" x="6"/>
      </items>
    </pivotField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axis="axisCol" showAll="0">
      <items count="6">
        <item x="1"/>
        <item x="2"/>
        <item x="3"/>
        <item h="1" x="4"/>
        <item h="1" x="0"/>
        <item t="default"/>
      </items>
    </pivotField>
    <pivotField showAll="0"/>
    <pivotField showAll="0"/>
    <pivotField showAll="0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38"/>
  </colFields>
  <colItems count="4">
    <i>
      <x/>
    </i>
    <i>
      <x v="1"/>
    </i>
    <i>
      <x v="2"/>
    </i>
    <i t="grand">
      <x/>
    </i>
  </colItems>
  <dataFields count="1">
    <dataField name="Nombre de Répondant" fld="36" subtotal="count" baseField="0" baseItem="0"/>
  </dataFields>
  <pivotTableStyleInfo name="PivotStyleLight16" showRowHeaders="1" showColHeaders="1" showRowStripes="0" showColStripes="0" showLastColumn="1"/>
</pivotTableDefinition>
</file>

<file path=xl/pivotTables/pivotTable89.xml><?xml version="1.0" encoding="utf-8"?>
<pivotTableDefinition xmlns="http://schemas.openxmlformats.org/spreadsheetml/2006/main" name="Tableau croisé dynamique42" cacheId="310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A432:D439" firstHeaderRow="1" firstDataRow="2" firstDataCol="1"/>
  <pivotFields count="42">
    <pivotField axis="axisRow" showAll="0" defaultSubtotal="0">
      <items count="7">
        <item x="2"/>
        <item x="3"/>
        <item x="4"/>
        <item x="5"/>
        <item x="1"/>
        <item h="1" x="0"/>
        <item h="1" x="6"/>
      </items>
    </pivotField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axis="axisCol" showAll="0">
      <items count="5">
        <item x="1"/>
        <item x="2"/>
        <item h="1" x="0"/>
        <item h="1" x="3"/>
        <item t="default"/>
      </items>
    </pivotField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25"/>
  </colFields>
  <colItems count="3">
    <i>
      <x/>
    </i>
    <i>
      <x v="1"/>
    </i>
    <i t="grand">
      <x/>
    </i>
  </colItems>
  <dataFields count="1">
    <dataField name="Nombre de Répondant" fld="36" subtotal="count" baseField="0" baseItem="0"/>
  </dataFields>
  <pivotTableStyleInfo name="PivotStyleLight16" showRowHeaders="1" showColHeaders="1" showRowStripes="0" showColStripes="0" showLastColumn="1"/>
</pivotTableDefinition>
</file>

<file path=xl/pivotTables/pivotTable9.xml><?xml version="1.0" encoding="utf-8"?>
<pivotTableDefinition xmlns="http://schemas.openxmlformats.org/spreadsheetml/2006/main" name="Tableau croisé dynamique92" cacheId="286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H192:L198" firstHeaderRow="1" firstDataRow="2" firstDataCol="1"/>
  <pivotFields count="76">
    <pivotField axis="axisRow" showAll="0" defaultSubtotal="0">
      <items count="6">
        <item x="3"/>
        <item x="1"/>
        <item x="2"/>
        <item x="4"/>
        <item h="1" x="0"/>
        <item h="1" x="5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axis="axisCol" showAll="0">
      <items count="6">
        <item x="1"/>
        <item x="2"/>
        <item x="3"/>
        <item h="1" x="4"/>
        <item h="1" x="0"/>
        <item t="default"/>
      </items>
    </pivotField>
    <pivotField showAll="0"/>
    <pivotField showAll="0"/>
    <pivotField showAl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72"/>
  </colFields>
  <colItems count="4">
    <i>
      <x/>
    </i>
    <i>
      <x v="1"/>
    </i>
    <i>
      <x v="2"/>
    </i>
    <i t="grand">
      <x/>
    </i>
  </colItems>
  <dataFields count="1">
    <dataField name="Nombre de Répondant" fld="70" subtotal="count" baseField="0" baseItem="0"/>
  </dataFields>
  <pivotTableStyleInfo name="PivotStyleLight16" showRowHeaders="1" showColHeaders="1" showRowStripes="0" showColStripes="0" showLastColumn="1"/>
</pivotTableDefinition>
</file>

<file path=xl/pivotTables/pivotTable90.xml><?xml version="1.0" encoding="utf-8"?>
<pivotTableDefinition xmlns="http://schemas.openxmlformats.org/spreadsheetml/2006/main" name="Tableau croisé dynamique5" cacheId="272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A46:E52" firstHeaderRow="1" firstDataRow="2" firstDataCol="1"/>
  <pivotFields count="90">
    <pivotField showAll="0" defaultSubtotal="0"/>
    <pivotField axis="axisRow" showAll="0" defaultSubtotal="0">
      <items count="6">
        <item x="1"/>
        <item x="2"/>
        <item x="3"/>
        <item x="4"/>
        <item h="1" x="0"/>
        <item h="1" x="5"/>
      </items>
    </pivotField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axis="axisCol" showAll="0">
      <items count="5">
        <item x="1"/>
        <item x="2"/>
        <item x="0"/>
        <item x="3"/>
        <item t="default"/>
      </items>
    </pivotField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</pivotFields>
  <rowFields count="1">
    <field x="1"/>
  </rowFields>
  <rowItems count="5">
    <i>
      <x/>
    </i>
    <i>
      <x v="1"/>
    </i>
    <i>
      <x v="2"/>
    </i>
    <i>
      <x v="3"/>
    </i>
    <i t="grand">
      <x/>
    </i>
  </rowItems>
  <colFields count="1">
    <field x="73"/>
  </colFields>
  <colItems count="4">
    <i>
      <x/>
    </i>
    <i>
      <x v="1"/>
    </i>
    <i>
      <x v="3"/>
    </i>
    <i t="grand">
      <x/>
    </i>
  </colItems>
  <dataFields count="1">
    <dataField name="Nombre de Répondant" fld="84" subtotal="count" baseField="0" baseItem="0"/>
  </dataFields>
  <pivotTableStyleInfo name="PivotStyleLight16" showRowHeaders="1" showColHeaders="1" showRowStripes="0" showColStripes="0" showLastColumn="1"/>
</pivotTableDefinition>
</file>

<file path=xl/pivotTables/pivotTable91.xml><?xml version="1.0" encoding="utf-8"?>
<pivotTableDefinition xmlns="http://schemas.openxmlformats.org/spreadsheetml/2006/main" name="Tableau croisé dynamique124" cacheId="263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H510:L514" firstHeaderRow="1" firstDataRow="2" firstDataCol="1"/>
  <pivotFields count="33">
    <pivotField axis="axisRow" showAll="0" defaultSubtotal="0">
      <items count="4">
        <item x="1"/>
        <item x="2"/>
        <item h="1" x="0"/>
        <item h="1" x="3"/>
      </items>
    </pivotField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axis="axisCol" showAll="0">
      <items count="6">
        <item x="1"/>
        <item x="2"/>
        <item x="3"/>
        <item h="1" x="4"/>
        <item h="1" x="0"/>
        <item t="default"/>
      </items>
    </pivotField>
    <pivotField showAll="0"/>
    <pivotField showAll="0"/>
    <pivotField showAll="0"/>
  </pivotFields>
  <rowFields count="1">
    <field x="0"/>
  </rowFields>
  <rowItems count="3">
    <i>
      <x/>
    </i>
    <i>
      <x v="1"/>
    </i>
    <i t="grand">
      <x/>
    </i>
  </rowItems>
  <colFields count="1">
    <field x="29"/>
  </colFields>
  <colItems count="4">
    <i>
      <x/>
    </i>
    <i>
      <x v="1"/>
    </i>
    <i>
      <x v="2"/>
    </i>
    <i t="grand">
      <x/>
    </i>
  </colItems>
  <dataFields count="1">
    <dataField name="Nombre de Répondant" fld="27" subtotal="count" baseField="0" baseItem="0"/>
  </dataFields>
  <pivotTableStyleInfo name="PivotStyleLight16" showRowHeaders="1" showColHeaders="1" showRowStripes="0" showColStripes="0" showLastColumn="1"/>
</pivotTableDefinition>
</file>

<file path=xl/pivotTables/pivotTable92.xml><?xml version="1.0" encoding="utf-8"?>
<pivotTableDefinition xmlns="http://schemas.openxmlformats.org/spreadsheetml/2006/main" name="Tableau croisé dynamique15" cacheId="283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A157:D163" firstHeaderRow="1" firstDataRow="2" firstDataCol="1"/>
  <pivotFields count="79">
    <pivotField axis="axisRow" showAll="0" defaultSubtotal="0">
      <items count="6">
        <item x="3"/>
        <item x="2"/>
        <item x="1"/>
        <item x="4"/>
        <item h="1" x="0"/>
        <item h="1" x="5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axis="axisCol" showAll="0">
      <items count="5">
        <item x="1"/>
        <item x="2"/>
        <item h="1" x="0"/>
        <item h="1" x="3"/>
        <item t="default"/>
      </items>
    </pivotField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62"/>
  </colFields>
  <colItems count="3">
    <i>
      <x/>
    </i>
    <i>
      <x v="1"/>
    </i>
    <i t="grand">
      <x/>
    </i>
  </colItems>
  <dataFields count="1">
    <dataField name="Nombre de Répondant" fld="73" subtotal="count" baseField="0" baseItem="0"/>
  </dataFields>
  <pivotTableStyleInfo name="PivotStyleLight16" showRowHeaders="1" showColHeaders="1" showRowStripes="0" showColStripes="0" showLastColumn="1"/>
</pivotTableDefinition>
</file>

<file path=xl/pivotTables/pivotTable93.xml><?xml version="1.0" encoding="utf-8"?>
<pivotTableDefinition xmlns="http://schemas.openxmlformats.org/spreadsheetml/2006/main" name="Tableau croisé dynamique23" cacheId="291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A247:D251" firstHeaderRow="1" firstDataRow="2" firstDataCol="1"/>
  <pivotFields count="71">
    <pivotField axis="axisRow" showAll="0" defaultSubtotal="0">
      <items count="4">
        <item x="1"/>
        <item x="2"/>
        <item h="1" x="0"/>
        <item h="1" x="3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axis="axisCol" showAll="0">
      <items count="5">
        <item x="1"/>
        <item x="2"/>
        <item x="0"/>
        <item x="3"/>
        <item t="default"/>
      </items>
    </pivotField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3">
    <i>
      <x/>
    </i>
    <i>
      <x v="1"/>
    </i>
    <i t="grand">
      <x/>
    </i>
  </rowItems>
  <colFields count="1">
    <field x="54"/>
  </colFields>
  <colItems count="3">
    <i>
      <x/>
    </i>
    <i>
      <x v="1"/>
    </i>
    <i t="grand">
      <x/>
    </i>
  </colItems>
  <dataFields count="1">
    <dataField name="Nombre de Répondant" fld="65" subtotal="count" baseField="0" baseItem="0"/>
  </dataFields>
  <pivotTableStyleInfo name="PivotStyleLight16" showRowHeaders="1" showColHeaders="1" showRowStripes="0" showColStripes="0" showLastColumn="1"/>
</pivotTableDefinition>
</file>

<file path=xl/pivotTables/pivotTable94.xml><?xml version="1.0" encoding="utf-8"?>
<pivotTableDefinition xmlns="http://schemas.openxmlformats.org/spreadsheetml/2006/main" name="Tableau croisé dynamique45" cacheId="315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A465:D471" firstHeaderRow="1" firstDataRow="2" firstDataCol="1"/>
  <pivotFields count="39">
    <pivotField axis="axisRow" showAll="0" defaultSubtotal="0">
      <items count="6">
        <item x="1"/>
        <item x="2"/>
        <item x="3"/>
        <item x="4"/>
        <item h="1" x="0"/>
        <item h="1" x="5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axis="axisCol" showAll="0">
      <items count="5">
        <item x="1"/>
        <item x="2"/>
        <item h="1" x="0"/>
        <item h="1" x="3"/>
        <item t="default"/>
      </items>
    </pivotField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22"/>
  </colFields>
  <colItems count="3">
    <i>
      <x/>
    </i>
    <i>
      <x v="1"/>
    </i>
    <i t="grand">
      <x/>
    </i>
  </colItems>
  <dataFields count="1">
    <dataField name="Nombre de Répondant" fld="33" subtotal="count" baseField="0" baseItem="0"/>
  </dataFields>
  <pivotTableStyleInfo name="PivotStyleLight16" showRowHeaders="1" showColHeaders="1" showRowStripes="0" showColStripes="0" showLastColumn="1"/>
</pivotTableDefinition>
</file>

<file path=xl/pivotTables/pivotTable95.xml><?xml version="1.0" encoding="utf-8"?>
<pivotTableDefinition xmlns="http://schemas.openxmlformats.org/spreadsheetml/2006/main" name="Tableau croisé dynamique134" cacheId="267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H582:L590" firstHeaderRow="1" firstDataRow="2" firstDataCol="1"/>
  <pivotFields count="20">
    <pivotField axis="axisRow" showAll="0" defaultSubtotal="0">
      <items count="9">
        <item h="1" m="1" x="8"/>
        <item x="4"/>
        <item x="1"/>
        <item x="5"/>
        <item x="2"/>
        <item x="3"/>
        <item x="6"/>
        <item h="1" x="0"/>
        <item h="1" x="7"/>
      </items>
    </pivotField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axis="axisCol" showAll="0">
      <items count="6">
        <item x="1"/>
        <item x="2"/>
        <item x="3"/>
        <item h="1" x="4"/>
        <item h="1" x="0"/>
        <item t="default"/>
      </items>
    </pivotField>
    <pivotField showAll="0"/>
    <pivotField showAll="0"/>
    <pivotField showAll="0"/>
  </pivotFields>
  <rowFields count="1">
    <field x="0"/>
  </rowFields>
  <rowItems count="7"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16"/>
  </colFields>
  <colItems count="4">
    <i>
      <x/>
    </i>
    <i>
      <x v="1"/>
    </i>
    <i>
      <x v="2"/>
    </i>
    <i t="grand">
      <x/>
    </i>
  </colItems>
  <dataFields count="1">
    <dataField name="Nombre de Répondant" fld="14" subtotal="count" baseField="0" baseItem="0"/>
  </dataFields>
  <pivotTableStyleInfo name="PivotStyleLight16" showRowHeaders="1" showColHeaders="1" showRowStripes="0" showColStripes="0" showLastColumn="1"/>
</pivotTableDefinition>
</file>

<file path=xl/pivotTables/pivotTable96.xml><?xml version="1.0" encoding="utf-8"?>
<pivotTableDefinition xmlns="http://schemas.openxmlformats.org/spreadsheetml/2006/main" name="Tableau croisé dynamique93" cacheId="287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H203:L209" firstHeaderRow="1" firstDataRow="2" firstDataCol="1"/>
  <pivotFields count="75">
    <pivotField axis="axisRow" showAll="0" defaultSubtotal="0">
      <items count="6">
        <item x="2"/>
        <item x="1"/>
        <item x="3"/>
        <item x="4"/>
        <item h="1" x="0"/>
        <item h="1" x="5"/>
      </items>
    </pivotField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axis="axisCol" showAll="0">
      <items count="6">
        <item x="1"/>
        <item x="2"/>
        <item x="3"/>
        <item h="1" x="4"/>
        <item h="1" x="0"/>
        <item t="default"/>
      </items>
    </pivotField>
    <pivotField showAll="0"/>
    <pivotField showAll="0"/>
    <pivotField showAl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71"/>
  </colFields>
  <colItems count="4">
    <i>
      <x/>
    </i>
    <i>
      <x v="1"/>
    </i>
    <i>
      <x v="2"/>
    </i>
    <i t="grand">
      <x/>
    </i>
  </colItems>
  <dataFields count="1">
    <dataField name="Nombre de Répondant" fld="69" subtotal="count" baseField="0" baseItem="0"/>
  </dataFields>
  <pivotTableStyleInfo name="PivotStyleLight16" showRowHeaders="1" showColHeaders="1" showRowStripes="0" showColStripes="0" showLastColumn="1"/>
</pivotTableDefinition>
</file>

<file path=xl/pivotTables/pivotTable97.xml><?xml version="1.0" encoding="utf-8"?>
<pivotTableDefinition xmlns="http://schemas.openxmlformats.org/spreadsheetml/2006/main" name="Tableau croisé dynamique40" cacheId="308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A411:D417" firstHeaderRow="1" firstDataRow="2" firstDataCol="1"/>
  <pivotFields count="44">
    <pivotField axis="axisRow" showAll="0" defaultSubtotal="0">
      <items count="6">
        <item x="1"/>
        <item x="3"/>
        <item x="4"/>
        <item x="2"/>
        <item h="1" x="0"/>
        <item h="1" x="5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axis="axisCol" showAll="0">
      <items count="5">
        <item x="1"/>
        <item x="2"/>
        <item x="0"/>
        <item x="3"/>
        <item t="default"/>
      </items>
    </pivotField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27"/>
  </colFields>
  <colItems count="3">
    <i>
      <x/>
    </i>
    <i>
      <x v="1"/>
    </i>
    <i t="grand">
      <x/>
    </i>
  </colItems>
  <dataFields count="1">
    <dataField name="Nombre de Répondant" fld="38" subtotal="count" baseField="0" baseItem="0"/>
  </dataFields>
  <pivotTableStyleInfo name="PivotStyleLight16" showRowHeaders="1" showColHeaders="1" showRowStripes="0" showColStripes="0" showLastColumn="1"/>
</pivotTableDefinition>
</file>

<file path=xl/pivotTables/pivotTable98.xml><?xml version="1.0" encoding="utf-8"?>
<pivotTableDefinition xmlns="http://schemas.openxmlformats.org/spreadsheetml/2006/main" name="Tableau croisé dynamique111" cacheId="305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H377:L384" firstHeaderRow="1" firstDataRow="2" firstDataCol="1"/>
  <pivotFields count="47">
    <pivotField axis="axisRow" showAll="0" defaultSubtotal="0">
      <items count="7">
        <item x="3"/>
        <item x="5"/>
        <item x="4"/>
        <item x="2"/>
        <item x="1"/>
        <item h="1" x="0"/>
        <item h="1" x="6"/>
      </items>
    </pivotField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axis="axisCol" showAll="0">
      <items count="6">
        <item x="1"/>
        <item x="2"/>
        <item x="3"/>
        <item h="1" x="4"/>
        <item h="1" x="0"/>
        <item t="default"/>
      </items>
    </pivotField>
    <pivotField showAll="0"/>
    <pivotField showAll="0"/>
    <pivotField showAll="0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43"/>
  </colFields>
  <colItems count="4">
    <i>
      <x/>
    </i>
    <i>
      <x v="1"/>
    </i>
    <i>
      <x v="2"/>
    </i>
    <i t="grand">
      <x/>
    </i>
  </colItems>
  <dataFields count="1">
    <dataField name="Nombre de Répondant" fld="41" subtotal="count" baseField="0" baseItem="0"/>
  </dataFields>
  <pivotTableStyleInfo name="PivotStyleLight16" showRowHeaders="1" showColHeaders="1" showRowStripes="0" showColStripes="0" showLastColumn="1"/>
</pivotTableDefinition>
</file>

<file path=xl/pivotTables/pivotTable99.xml><?xml version="1.0" encoding="utf-8"?>
<pivotTableDefinition xmlns="http://schemas.openxmlformats.org/spreadsheetml/2006/main" name="Tableau croisé dynamique2" cacheId="268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A14:E20" firstHeaderRow="1" firstDataRow="2" firstDataCol="1"/>
  <pivotFields count="93">
    <pivotField axis="axisRow" showAll="0" defaultSubtotal="0">
      <items count="6">
        <item x="1"/>
        <item x="3"/>
        <item x="2"/>
        <item x="5"/>
        <item h="1" x="0"/>
        <item h="1" x="4"/>
      </items>
    </pivotField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axis="axisCol" showAll="0">
      <items count="5">
        <item x="1"/>
        <item x="2"/>
        <item x="0"/>
        <item x="3"/>
        <item t="default"/>
      </items>
    </pivotField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76"/>
  </colFields>
  <colItems count="4">
    <i>
      <x/>
    </i>
    <i>
      <x v="1"/>
    </i>
    <i>
      <x v="3"/>
    </i>
    <i t="grand">
      <x/>
    </i>
  </colItems>
  <dataFields count="1">
    <dataField name="Nombre de Répondant" fld="87" subtotal="count" baseField="0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6" Type="http://schemas.openxmlformats.org/officeDocument/2006/relationships/pivotTable" Target="../pivotTables/pivotTable26.xml"/><Relationship Id="rId21" Type="http://schemas.openxmlformats.org/officeDocument/2006/relationships/pivotTable" Target="../pivotTables/pivotTable21.xml"/><Relationship Id="rId42" Type="http://schemas.openxmlformats.org/officeDocument/2006/relationships/pivotTable" Target="../pivotTables/pivotTable42.xml"/><Relationship Id="rId47" Type="http://schemas.openxmlformats.org/officeDocument/2006/relationships/pivotTable" Target="../pivotTables/pivotTable47.xml"/><Relationship Id="rId63" Type="http://schemas.openxmlformats.org/officeDocument/2006/relationships/pivotTable" Target="../pivotTables/pivotTable63.xml"/><Relationship Id="rId68" Type="http://schemas.openxmlformats.org/officeDocument/2006/relationships/pivotTable" Target="../pivotTables/pivotTable68.xml"/><Relationship Id="rId84" Type="http://schemas.openxmlformats.org/officeDocument/2006/relationships/pivotTable" Target="../pivotTables/pivotTable84.xml"/><Relationship Id="rId89" Type="http://schemas.openxmlformats.org/officeDocument/2006/relationships/pivotTable" Target="../pivotTables/pivotTable89.xml"/><Relationship Id="rId112" Type="http://schemas.openxmlformats.org/officeDocument/2006/relationships/pivotTable" Target="../pivotTables/pivotTable112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29" Type="http://schemas.openxmlformats.org/officeDocument/2006/relationships/pivotTable" Target="../pivotTables/pivotTable29.xml"/><Relationship Id="rId107" Type="http://schemas.openxmlformats.org/officeDocument/2006/relationships/pivotTable" Target="../pivotTables/pivotTable107.xml"/><Relationship Id="rId11" Type="http://schemas.openxmlformats.org/officeDocument/2006/relationships/pivotTable" Target="../pivotTables/pivotTable11.xml"/><Relationship Id="rId24" Type="http://schemas.openxmlformats.org/officeDocument/2006/relationships/pivotTable" Target="../pivotTables/pivotTable24.xml"/><Relationship Id="rId32" Type="http://schemas.openxmlformats.org/officeDocument/2006/relationships/pivotTable" Target="../pivotTables/pivotTable32.xml"/><Relationship Id="rId37" Type="http://schemas.openxmlformats.org/officeDocument/2006/relationships/pivotTable" Target="../pivotTables/pivotTable37.xml"/><Relationship Id="rId40" Type="http://schemas.openxmlformats.org/officeDocument/2006/relationships/pivotTable" Target="../pivotTables/pivotTable40.xml"/><Relationship Id="rId45" Type="http://schemas.openxmlformats.org/officeDocument/2006/relationships/pivotTable" Target="../pivotTables/pivotTable45.xml"/><Relationship Id="rId53" Type="http://schemas.openxmlformats.org/officeDocument/2006/relationships/pivotTable" Target="../pivotTables/pivotTable53.xml"/><Relationship Id="rId58" Type="http://schemas.openxmlformats.org/officeDocument/2006/relationships/pivotTable" Target="../pivotTables/pivotTable58.xml"/><Relationship Id="rId66" Type="http://schemas.openxmlformats.org/officeDocument/2006/relationships/pivotTable" Target="../pivotTables/pivotTable66.xml"/><Relationship Id="rId74" Type="http://schemas.openxmlformats.org/officeDocument/2006/relationships/pivotTable" Target="../pivotTables/pivotTable74.xml"/><Relationship Id="rId79" Type="http://schemas.openxmlformats.org/officeDocument/2006/relationships/pivotTable" Target="../pivotTables/pivotTable79.xml"/><Relationship Id="rId87" Type="http://schemas.openxmlformats.org/officeDocument/2006/relationships/pivotTable" Target="../pivotTables/pivotTable87.xml"/><Relationship Id="rId102" Type="http://schemas.openxmlformats.org/officeDocument/2006/relationships/pivotTable" Target="../pivotTables/pivotTable102.xml"/><Relationship Id="rId110" Type="http://schemas.openxmlformats.org/officeDocument/2006/relationships/pivotTable" Target="../pivotTables/pivotTable110.xml"/><Relationship Id="rId5" Type="http://schemas.openxmlformats.org/officeDocument/2006/relationships/pivotTable" Target="../pivotTables/pivotTable5.xml"/><Relationship Id="rId61" Type="http://schemas.openxmlformats.org/officeDocument/2006/relationships/pivotTable" Target="../pivotTables/pivotTable61.xml"/><Relationship Id="rId82" Type="http://schemas.openxmlformats.org/officeDocument/2006/relationships/pivotTable" Target="../pivotTables/pivotTable82.xml"/><Relationship Id="rId90" Type="http://schemas.openxmlformats.org/officeDocument/2006/relationships/pivotTable" Target="../pivotTables/pivotTable90.xml"/><Relationship Id="rId95" Type="http://schemas.openxmlformats.org/officeDocument/2006/relationships/pivotTable" Target="../pivotTables/pivotTable95.xml"/><Relationship Id="rId19" Type="http://schemas.openxmlformats.org/officeDocument/2006/relationships/pivotTable" Target="../pivotTables/pivotTable19.xml"/><Relationship Id="rId14" Type="http://schemas.openxmlformats.org/officeDocument/2006/relationships/pivotTable" Target="../pivotTables/pivotTable14.xml"/><Relationship Id="rId22" Type="http://schemas.openxmlformats.org/officeDocument/2006/relationships/pivotTable" Target="../pivotTables/pivotTable22.xml"/><Relationship Id="rId27" Type="http://schemas.openxmlformats.org/officeDocument/2006/relationships/pivotTable" Target="../pivotTables/pivotTable27.xml"/><Relationship Id="rId30" Type="http://schemas.openxmlformats.org/officeDocument/2006/relationships/pivotTable" Target="../pivotTables/pivotTable30.xml"/><Relationship Id="rId35" Type="http://schemas.openxmlformats.org/officeDocument/2006/relationships/pivotTable" Target="../pivotTables/pivotTable35.xml"/><Relationship Id="rId43" Type="http://schemas.openxmlformats.org/officeDocument/2006/relationships/pivotTable" Target="../pivotTables/pivotTable43.xml"/><Relationship Id="rId48" Type="http://schemas.openxmlformats.org/officeDocument/2006/relationships/pivotTable" Target="../pivotTables/pivotTable48.xml"/><Relationship Id="rId56" Type="http://schemas.openxmlformats.org/officeDocument/2006/relationships/pivotTable" Target="../pivotTables/pivotTable56.xml"/><Relationship Id="rId64" Type="http://schemas.openxmlformats.org/officeDocument/2006/relationships/pivotTable" Target="../pivotTables/pivotTable64.xml"/><Relationship Id="rId69" Type="http://schemas.openxmlformats.org/officeDocument/2006/relationships/pivotTable" Target="../pivotTables/pivotTable69.xml"/><Relationship Id="rId77" Type="http://schemas.openxmlformats.org/officeDocument/2006/relationships/pivotTable" Target="../pivotTables/pivotTable77.xml"/><Relationship Id="rId100" Type="http://schemas.openxmlformats.org/officeDocument/2006/relationships/pivotTable" Target="../pivotTables/pivotTable100.xml"/><Relationship Id="rId105" Type="http://schemas.openxmlformats.org/officeDocument/2006/relationships/pivotTable" Target="../pivotTables/pivotTable105.xml"/><Relationship Id="rId113" Type="http://schemas.openxmlformats.org/officeDocument/2006/relationships/printerSettings" Target="../printerSettings/printerSettings18.bin"/><Relationship Id="rId8" Type="http://schemas.openxmlformats.org/officeDocument/2006/relationships/pivotTable" Target="../pivotTables/pivotTable8.xml"/><Relationship Id="rId51" Type="http://schemas.openxmlformats.org/officeDocument/2006/relationships/pivotTable" Target="../pivotTables/pivotTable51.xml"/><Relationship Id="rId72" Type="http://schemas.openxmlformats.org/officeDocument/2006/relationships/pivotTable" Target="../pivotTables/pivotTable72.xml"/><Relationship Id="rId80" Type="http://schemas.openxmlformats.org/officeDocument/2006/relationships/pivotTable" Target="../pivotTables/pivotTable80.xml"/><Relationship Id="rId85" Type="http://schemas.openxmlformats.org/officeDocument/2006/relationships/pivotTable" Target="../pivotTables/pivotTable85.xml"/><Relationship Id="rId93" Type="http://schemas.openxmlformats.org/officeDocument/2006/relationships/pivotTable" Target="../pivotTables/pivotTable93.xml"/><Relationship Id="rId98" Type="http://schemas.openxmlformats.org/officeDocument/2006/relationships/pivotTable" Target="../pivotTables/pivotTable98.xml"/><Relationship Id="rId3" Type="http://schemas.openxmlformats.org/officeDocument/2006/relationships/pivotTable" Target="../pivotTables/pivotTable3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5" Type="http://schemas.openxmlformats.org/officeDocument/2006/relationships/pivotTable" Target="../pivotTables/pivotTable25.xml"/><Relationship Id="rId33" Type="http://schemas.openxmlformats.org/officeDocument/2006/relationships/pivotTable" Target="../pivotTables/pivotTable33.xml"/><Relationship Id="rId38" Type="http://schemas.openxmlformats.org/officeDocument/2006/relationships/pivotTable" Target="../pivotTables/pivotTable38.xml"/><Relationship Id="rId46" Type="http://schemas.openxmlformats.org/officeDocument/2006/relationships/pivotTable" Target="../pivotTables/pivotTable46.xml"/><Relationship Id="rId59" Type="http://schemas.openxmlformats.org/officeDocument/2006/relationships/pivotTable" Target="../pivotTables/pivotTable59.xml"/><Relationship Id="rId67" Type="http://schemas.openxmlformats.org/officeDocument/2006/relationships/pivotTable" Target="../pivotTables/pivotTable67.xml"/><Relationship Id="rId103" Type="http://schemas.openxmlformats.org/officeDocument/2006/relationships/pivotTable" Target="../pivotTables/pivotTable103.xml"/><Relationship Id="rId108" Type="http://schemas.openxmlformats.org/officeDocument/2006/relationships/pivotTable" Target="../pivotTables/pivotTable108.xml"/><Relationship Id="rId20" Type="http://schemas.openxmlformats.org/officeDocument/2006/relationships/pivotTable" Target="../pivotTables/pivotTable20.xml"/><Relationship Id="rId41" Type="http://schemas.openxmlformats.org/officeDocument/2006/relationships/pivotTable" Target="../pivotTables/pivotTable41.xml"/><Relationship Id="rId54" Type="http://schemas.openxmlformats.org/officeDocument/2006/relationships/pivotTable" Target="../pivotTables/pivotTable54.xml"/><Relationship Id="rId62" Type="http://schemas.openxmlformats.org/officeDocument/2006/relationships/pivotTable" Target="../pivotTables/pivotTable62.xml"/><Relationship Id="rId70" Type="http://schemas.openxmlformats.org/officeDocument/2006/relationships/pivotTable" Target="../pivotTables/pivotTable70.xml"/><Relationship Id="rId75" Type="http://schemas.openxmlformats.org/officeDocument/2006/relationships/pivotTable" Target="../pivotTables/pivotTable75.xml"/><Relationship Id="rId83" Type="http://schemas.openxmlformats.org/officeDocument/2006/relationships/pivotTable" Target="../pivotTables/pivotTable83.xml"/><Relationship Id="rId88" Type="http://schemas.openxmlformats.org/officeDocument/2006/relationships/pivotTable" Target="../pivotTables/pivotTable88.xml"/><Relationship Id="rId91" Type="http://schemas.openxmlformats.org/officeDocument/2006/relationships/pivotTable" Target="../pivotTables/pivotTable91.xml"/><Relationship Id="rId96" Type="http://schemas.openxmlformats.org/officeDocument/2006/relationships/pivotTable" Target="../pivotTables/pivotTable96.xml"/><Relationship Id="rId111" Type="http://schemas.openxmlformats.org/officeDocument/2006/relationships/pivotTable" Target="../pivotTables/pivotTable111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5" Type="http://schemas.openxmlformats.org/officeDocument/2006/relationships/pivotTable" Target="../pivotTables/pivotTable15.xml"/><Relationship Id="rId23" Type="http://schemas.openxmlformats.org/officeDocument/2006/relationships/pivotTable" Target="../pivotTables/pivotTable23.xml"/><Relationship Id="rId28" Type="http://schemas.openxmlformats.org/officeDocument/2006/relationships/pivotTable" Target="../pivotTables/pivotTable28.xml"/><Relationship Id="rId36" Type="http://schemas.openxmlformats.org/officeDocument/2006/relationships/pivotTable" Target="../pivotTables/pivotTable36.xml"/><Relationship Id="rId49" Type="http://schemas.openxmlformats.org/officeDocument/2006/relationships/pivotTable" Target="../pivotTables/pivotTable49.xml"/><Relationship Id="rId57" Type="http://schemas.openxmlformats.org/officeDocument/2006/relationships/pivotTable" Target="../pivotTables/pivotTable57.xml"/><Relationship Id="rId106" Type="http://schemas.openxmlformats.org/officeDocument/2006/relationships/pivotTable" Target="../pivotTables/pivotTable106.xml"/><Relationship Id="rId114" Type="http://schemas.openxmlformats.org/officeDocument/2006/relationships/drawing" Target="../drawings/drawing1.xml"/><Relationship Id="rId10" Type="http://schemas.openxmlformats.org/officeDocument/2006/relationships/pivotTable" Target="../pivotTables/pivotTable10.xml"/><Relationship Id="rId31" Type="http://schemas.openxmlformats.org/officeDocument/2006/relationships/pivotTable" Target="../pivotTables/pivotTable31.xml"/><Relationship Id="rId44" Type="http://schemas.openxmlformats.org/officeDocument/2006/relationships/pivotTable" Target="../pivotTables/pivotTable44.xml"/><Relationship Id="rId52" Type="http://schemas.openxmlformats.org/officeDocument/2006/relationships/pivotTable" Target="../pivotTables/pivotTable52.xml"/><Relationship Id="rId60" Type="http://schemas.openxmlformats.org/officeDocument/2006/relationships/pivotTable" Target="../pivotTables/pivotTable60.xml"/><Relationship Id="rId65" Type="http://schemas.openxmlformats.org/officeDocument/2006/relationships/pivotTable" Target="../pivotTables/pivotTable65.xml"/><Relationship Id="rId73" Type="http://schemas.openxmlformats.org/officeDocument/2006/relationships/pivotTable" Target="../pivotTables/pivotTable73.xml"/><Relationship Id="rId78" Type="http://schemas.openxmlformats.org/officeDocument/2006/relationships/pivotTable" Target="../pivotTables/pivotTable78.xml"/><Relationship Id="rId81" Type="http://schemas.openxmlformats.org/officeDocument/2006/relationships/pivotTable" Target="../pivotTables/pivotTable81.xml"/><Relationship Id="rId86" Type="http://schemas.openxmlformats.org/officeDocument/2006/relationships/pivotTable" Target="../pivotTables/pivotTable86.xml"/><Relationship Id="rId94" Type="http://schemas.openxmlformats.org/officeDocument/2006/relationships/pivotTable" Target="../pivotTables/pivotTable94.xml"/><Relationship Id="rId99" Type="http://schemas.openxmlformats.org/officeDocument/2006/relationships/pivotTable" Target="../pivotTables/pivotTable99.xml"/><Relationship Id="rId101" Type="http://schemas.openxmlformats.org/officeDocument/2006/relationships/pivotTable" Target="../pivotTables/pivotTable101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3" Type="http://schemas.openxmlformats.org/officeDocument/2006/relationships/pivotTable" Target="../pivotTables/pivotTable13.xml"/><Relationship Id="rId18" Type="http://schemas.openxmlformats.org/officeDocument/2006/relationships/pivotTable" Target="../pivotTables/pivotTable18.xml"/><Relationship Id="rId39" Type="http://schemas.openxmlformats.org/officeDocument/2006/relationships/pivotTable" Target="../pivotTables/pivotTable39.xml"/><Relationship Id="rId109" Type="http://schemas.openxmlformats.org/officeDocument/2006/relationships/pivotTable" Target="../pivotTables/pivotTable109.xml"/><Relationship Id="rId34" Type="http://schemas.openxmlformats.org/officeDocument/2006/relationships/pivotTable" Target="../pivotTables/pivotTable34.xml"/><Relationship Id="rId50" Type="http://schemas.openxmlformats.org/officeDocument/2006/relationships/pivotTable" Target="../pivotTables/pivotTable50.xml"/><Relationship Id="rId55" Type="http://schemas.openxmlformats.org/officeDocument/2006/relationships/pivotTable" Target="../pivotTables/pivotTable55.xml"/><Relationship Id="rId76" Type="http://schemas.openxmlformats.org/officeDocument/2006/relationships/pivotTable" Target="../pivotTables/pivotTable76.xml"/><Relationship Id="rId97" Type="http://schemas.openxmlformats.org/officeDocument/2006/relationships/pivotTable" Target="../pivotTables/pivotTable97.xml"/><Relationship Id="rId104" Type="http://schemas.openxmlformats.org/officeDocument/2006/relationships/pivotTable" Target="../pivotTables/pivotTable104.xml"/><Relationship Id="rId7" Type="http://schemas.openxmlformats.org/officeDocument/2006/relationships/pivotTable" Target="../pivotTables/pivotTable7.xml"/><Relationship Id="rId71" Type="http://schemas.openxmlformats.org/officeDocument/2006/relationships/pivotTable" Target="../pivotTables/pivotTable71.xml"/><Relationship Id="rId92" Type="http://schemas.openxmlformats.org/officeDocument/2006/relationships/pivotTable" Target="../pivotTables/pivotTable9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Feuil1" enableFormatConditionsCalculation="0">
    <tabColor indexed="52"/>
  </sheetPr>
  <dimension ref="A1:CQ633"/>
  <sheetViews>
    <sheetView tabSelected="1"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baseColWidth="10" defaultColWidth="26" defaultRowHeight="12.75"/>
  <cols>
    <col min="1" max="1" width="26" style="123"/>
    <col min="2" max="2" width="26" style="245"/>
    <col min="3" max="3" width="26" style="246"/>
    <col min="4" max="5" width="26" style="245"/>
    <col min="6" max="6" width="26" style="263"/>
    <col min="7" max="8" width="26" style="262"/>
    <col min="9" max="10" width="26" style="247"/>
    <col min="11" max="11" width="26" style="248"/>
    <col min="12" max="12" width="26" style="247"/>
    <col min="13" max="13" width="26" style="249"/>
    <col min="14" max="14" width="26" style="247"/>
    <col min="15" max="15" width="26" style="250"/>
    <col min="16" max="16" width="26" style="247"/>
    <col min="17" max="17" width="26" style="248"/>
    <col min="18" max="18" width="26" style="247"/>
    <col min="19" max="19" width="26" style="248"/>
    <col min="20" max="20" width="26" style="247"/>
    <col min="21" max="21" width="26" style="248"/>
    <col min="22" max="23" width="26" style="247"/>
    <col min="24" max="24" width="26" style="248"/>
    <col min="25" max="25" width="26" style="247"/>
    <col min="26" max="26" width="26" style="248"/>
    <col min="27" max="27" width="26" style="247"/>
    <col min="28" max="28" width="26" style="248"/>
    <col min="29" max="29" width="26" style="247"/>
    <col min="30" max="30" width="26" style="248"/>
    <col min="31" max="31" width="26" style="247"/>
    <col min="32" max="32" width="26" style="248"/>
    <col min="33" max="33" width="26" style="247"/>
    <col min="34" max="34" width="26" style="248"/>
    <col min="35" max="35" width="26" style="247"/>
    <col min="36" max="36" width="26" style="248"/>
    <col min="37" max="40" width="26" style="247"/>
    <col min="41" max="41" width="26" style="248"/>
    <col min="42" max="42" width="26" style="247"/>
    <col min="43" max="43" width="26" style="248"/>
    <col min="44" max="44" width="26" style="247"/>
    <col min="45" max="45" width="26" style="248"/>
    <col min="46" max="46" width="26" style="247"/>
    <col min="47" max="47" width="26" style="248"/>
    <col min="48" max="48" width="26" style="247"/>
    <col min="49" max="49" width="26" style="248"/>
    <col min="50" max="50" width="26" style="247"/>
    <col min="51" max="51" width="26" style="248"/>
    <col min="52" max="52" width="26" style="247"/>
    <col min="53" max="53" width="26" style="251" customWidth="1"/>
    <col min="54" max="54" width="26" style="248"/>
    <col min="55" max="55" width="26" style="251"/>
    <col min="56" max="56" width="26" style="248"/>
    <col min="57" max="57" width="26" style="251"/>
    <col min="58" max="58" width="26" style="248"/>
    <col min="59" max="59" width="26" style="251"/>
    <col min="60" max="60" width="26" style="248"/>
    <col min="61" max="61" width="26" style="251"/>
    <col min="62" max="62" width="26" style="248"/>
    <col min="63" max="64" width="26" style="251"/>
    <col min="65" max="65" width="26" style="248"/>
    <col min="66" max="66" width="26" style="247"/>
    <col min="67" max="67" width="26" style="250"/>
    <col min="68" max="68" width="26" style="247"/>
    <col min="69" max="69" width="26" style="250"/>
    <col min="70" max="70" width="26" style="252"/>
    <col min="71" max="71" width="26" style="248"/>
    <col min="72" max="72" width="26" style="251"/>
    <col min="73" max="73" width="26" style="253"/>
    <col min="74" max="80" width="26" style="251"/>
    <col min="81" max="81" width="26" style="250"/>
    <col min="82" max="82" width="26" style="279"/>
    <col min="83" max="83" width="26" style="250"/>
    <col min="84" max="84" width="26" style="279"/>
    <col min="85" max="85" width="26" style="248"/>
    <col min="86" max="86" width="26" style="252"/>
    <col min="87" max="88" width="26" style="346"/>
    <col min="89" max="89" width="26" style="248"/>
    <col min="90" max="92" width="26" style="235" customWidth="1"/>
    <col min="93" max="94" width="26" style="254" customWidth="1"/>
    <col min="95" max="95" width="26" style="255" customWidth="1"/>
    <col min="96" max="16384" width="26" style="238"/>
  </cols>
  <sheetData>
    <row r="1" spans="1:95" s="110" customFormat="1" ht="15">
      <c r="A1" s="272">
        <v>2015</v>
      </c>
      <c r="B1" s="96" t="s">
        <v>521</v>
      </c>
      <c r="C1" s="95" t="s">
        <v>522</v>
      </c>
      <c r="D1" s="96" t="s">
        <v>127</v>
      </c>
      <c r="E1" s="96" t="s">
        <v>351</v>
      </c>
      <c r="F1" s="95" t="s">
        <v>128</v>
      </c>
      <c r="G1" s="264" t="s">
        <v>129</v>
      </c>
      <c r="H1" s="264" t="s">
        <v>524</v>
      </c>
      <c r="I1" s="96" t="s">
        <v>525</v>
      </c>
      <c r="J1" s="96" t="s">
        <v>526</v>
      </c>
      <c r="K1" s="95" t="s">
        <v>528</v>
      </c>
      <c r="L1" s="96" t="s">
        <v>130</v>
      </c>
      <c r="M1" s="97" t="s">
        <v>529</v>
      </c>
      <c r="N1" s="96" t="s">
        <v>530</v>
      </c>
      <c r="O1" s="98" t="s">
        <v>531</v>
      </c>
      <c r="P1" s="99" t="s">
        <v>532</v>
      </c>
      <c r="Q1" s="100" t="s">
        <v>533</v>
      </c>
      <c r="R1" s="99" t="s">
        <v>534</v>
      </c>
      <c r="S1" s="100" t="s">
        <v>535</v>
      </c>
      <c r="T1" s="99" t="s">
        <v>536</v>
      </c>
      <c r="U1" s="100" t="s">
        <v>537</v>
      </c>
      <c r="V1" s="99" t="s">
        <v>538</v>
      </c>
      <c r="W1" s="99" t="s">
        <v>539</v>
      </c>
      <c r="X1" s="100" t="s">
        <v>540</v>
      </c>
      <c r="Y1" s="99" t="s">
        <v>541</v>
      </c>
      <c r="Z1" s="100" t="s">
        <v>132</v>
      </c>
      <c r="AA1" s="99" t="s">
        <v>542</v>
      </c>
      <c r="AB1" s="100" t="s">
        <v>543</v>
      </c>
      <c r="AC1" s="99" t="s">
        <v>544</v>
      </c>
      <c r="AD1" s="100" t="s">
        <v>545</v>
      </c>
      <c r="AE1" s="99" t="s">
        <v>546</v>
      </c>
      <c r="AF1" s="100" t="s">
        <v>547</v>
      </c>
      <c r="AG1" s="99" t="s">
        <v>548</v>
      </c>
      <c r="AH1" s="100" t="s">
        <v>549</v>
      </c>
      <c r="AI1" s="99" t="s">
        <v>549</v>
      </c>
      <c r="AJ1" s="124" t="s">
        <v>134</v>
      </c>
      <c r="AK1" s="99" t="s">
        <v>162</v>
      </c>
      <c r="AL1" s="99" t="s">
        <v>550</v>
      </c>
      <c r="AM1" s="99" t="s">
        <v>551</v>
      </c>
      <c r="AN1" s="99" t="s">
        <v>552</v>
      </c>
      <c r="AO1" s="100" t="s">
        <v>555</v>
      </c>
      <c r="AP1" s="99" t="s">
        <v>557</v>
      </c>
      <c r="AQ1" s="100" t="s">
        <v>560</v>
      </c>
      <c r="AR1" s="99" t="s">
        <v>561</v>
      </c>
      <c r="AS1" s="100" t="s">
        <v>563</v>
      </c>
      <c r="AT1" s="99" t="s">
        <v>143</v>
      </c>
      <c r="AU1" s="100" t="s">
        <v>135</v>
      </c>
      <c r="AV1" s="99" t="s">
        <v>566</v>
      </c>
      <c r="AW1" s="100" t="s">
        <v>567</v>
      </c>
      <c r="AX1" s="99" t="s">
        <v>568</v>
      </c>
      <c r="AY1" s="100" t="s">
        <v>165</v>
      </c>
      <c r="AZ1" s="99" t="s">
        <v>136</v>
      </c>
      <c r="BA1" s="101" t="s">
        <v>137</v>
      </c>
      <c r="BB1" s="100" t="s">
        <v>570</v>
      </c>
      <c r="BC1" s="101" t="s">
        <v>571</v>
      </c>
      <c r="BD1" s="100" t="s">
        <v>572</v>
      </c>
      <c r="BE1" s="101" t="s">
        <v>139</v>
      </c>
      <c r="BF1" s="100" t="s">
        <v>140</v>
      </c>
      <c r="BG1" s="101" t="s">
        <v>719</v>
      </c>
      <c r="BH1" s="100" t="s">
        <v>720</v>
      </c>
      <c r="BI1" s="101" t="s">
        <v>574</v>
      </c>
      <c r="BJ1" s="100" t="s">
        <v>575</v>
      </c>
      <c r="BK1" s="101" t="s">
        <v>576</v>
      </c>
      <c r="BL1" s="101" t="s">
        <v>577</v>
      </c>
      <c r="BM1" s="100" t="s">
        <v>578</v>
      </c>
      <c r="BN1" s="99" t="s">
        <v>142</v>
      </c>
      <c r="BO1" s="102" t="s">
        <v>147</v>
      </c>
      <c r="BP1" s="99" t="s">
        <v>148</v>
      </c>
      <c r="BQ1" s="102" t="s">
        <v>365</v>
      </c>
      <c r="BR1" s="104" t="s">
        <v>372</v>
      </c>
      <c r="BS1" s="104" t="s">
        <v>166</v>
      </c>
      <c r="BT1" s="103" t="s">
        <v>149</v>
      </c>
      <c r="BU1" s="101" t="s">
        <v>150</v>
      </c>
      <c r="BV1" s="102" t="s">
        <v>373</v>
      </c>
      <c r="BW1" s="101" t="s">
        <v>151</v>
      </c>
      <c r="BX1" s="101" t="s">
        <v>152</v>
      </c>
      <c r="BY1" s="101" t="s">
        <v>869</v>
      </c>
      <c r="BZ1" s="101" t="s">
        <v>153</v>
      </c>
      <c r="CA1" s="101" t="s">
        <v>54</v>
      </c>
      <c r="CB1" s="101" t="s">
        <v>156</v>
      </c>
      <c r="CC1" s="101" t="s">
        <v>157</v>
      </c>
      <c r="CD1" s="277" t="s">
        <v>585</v>
      </c>
      <c r="CE1" s="101" t="s">
        <v>159</v>
      </c>
      <c r="CF1" s="277" t="s">
        <v>586</v>
      </c>
      <c r="CG1" s="101" t="s">
        <v>160</v>
      </c>
      <c r="CH1" s="103" t="s">
        <v>587</v>
      </c>
      <c r="CI1" s="104" t="s">
        <v>588</v>
      </c>
      <c r="CJ1" s="104" t="s">
        <v>589</v>
      </c>
      <c r="CK1" s="273" t="s">
        <v>590</v>
      </c>
      <c r="CL1" s="105" t="s">
        <v>109</v>
      </c>
      <c r="CM1" s="106" t="s">
        <v>101</v>
      </c>
      <c r="CN1" s="107" t="s">
        <v>934</v>
      </c>
      <c r="CO1" s="108" t="s">
        <v>111</v>
      </c>
      <c r="CP1" s="108" t="s">
        <v>112</v>
      </c>
      <c r="CQ1" s="109" t="s">
        <v>113</v>
      </c>
    </row>
    <row r="2" spans="1:95" s="110" customFormat="1" ht="150" customHeight="1" thickBot="1">
      <c r="A2" s="111" t="s">
        <v>861</v>
      </c>
      <c r="B2" s="112" t="s">
        <v>126</v>
      </c>
      <c r="C2" s="113" t="s">
        <v>523</v>
      </c>
      <c r="D2" s="112" t="s">
        <v>932</v>
      </c>
      <c r="E2" s="125" t="s">
        <v>933</v>
      </c>
      <c r="F2" s="125" t="s">
        <v>352</v>
      </c>
      <c r="G2" s="112" t="s">
        <v>353</v>
      </c>
      <c r="H2" s="112" t="s">
        <v>925</v>
      </c>
      <c r="I2" s="112" t="s">
        <v>926</v>
      </c>
      <c r="J2" s="112" t="s">
        <v>527</v>
      </c>
      <c r="K2" s="114" t="s">
        <v>354</v>
      </c>
      <c r="L2" s="112" t="s">
        <v>355</v>
      </c>
      <c r="M2" s="115" t="s">
        <v>903</v>
      </c>
      <c r="N2" s="266" t="s">
        <v>904</v>
      </c>
      <c r="O2" s="116" t="s">
        <v>905</v>
      </c>
      <c r="P2" s="114" t="s">
        <v>906</v>
      </c>
      <c r="Q2" s="116" t="s">
        <v>907</v>
      </c>
      <c r="R2" s="113" t="s">
        <v>908</v>
      </c>
      <c r="S2" s="112" t="s">
        <v>909</v>
      </c>
      <c r="T2" s="113" t="s">
        <v>910</v>
      </c>
      <c r="U2" s="112" t="s">
        <v>911</v>
      </c>
      <c r="V2" s="113" t="s">
        <v>927</v>
      </c>
      <c r="W2" s="112" t="s">
        <v>928</v>
      </c>
      <c r="X2" s="113" t="s">
        <v>929</v>
      </c>
      <c r="Y2" s="112" t="s">
        <v>356</v>
      </c>
      <c r="Z2" s="113" t="s">
        <v>133</v>
      </c>
      <c r="AA2" s="112" t="s">
        <v>168</v>
      </c>
      <c r="AB2" s="125" t="s">
        <v>169</v>
      </c>
      <c r="AC2" s="112" t="s">
        <v>170</v>
      </c>
      <c r="AD2" s="113" t="s">
        <v>171</v>
      </c>
      <c r="AE2" s="112" t="s">
        <v>172</v>
      </c>
      <c r="AF2" s="113" t="s">
        <v>357</v>
      </c>
      <c r="AG2" s="112" t="s">
        <v>173</v>
      </c>
      <c r="AH2" s="125" t="s">
        <v>174</v>
      </c>
      <c r="AI2" s="125" t="s">
        <v>930</v>
      </c>
      <c r="AJ2" s="112" t="s">
        <v>358</v>
      </c>
      <c r="AK2" s="112" t="s">
        <v>912</v>
      </c>
      <c r="AL2" s="112" t="s">
        <v>553</v>
      </c>
      <c r="AM2" s="113" t="s">
        <v>554</v>
      </c>
      <c r="AN2" s="112" t="s">
        <v>556</v>
      </c>
      <c r="AO2" s="113" t="s">
        <v>558</v>
      </c>
      <c r="AP2" s="112" t="s">
        <v>559</v>
      </c>
      <c r="AQ2" s="113" t="s">
        <v>562</v>
      </c>
      <c r="AR2" s="112" t="s">
        <v>565</v>
      </c>
      <c r="AS2" s="117" t="s">
        <v>564</v>
      </c>
      <c r="AT2" s="112" t="s">
        <v>921</v>
      </c>
      <c r="AU2" s="112" t="s">
        <v>359</v>
      </c>
      <c r="AV2" s="112" t="s">
        <v>913</v>
      </c>
      <c r="AW2" s="113" t="s">
        <v>922</v>
      </c>
      <c r="AX2" s="112" t="s">
        <v>923</v>
      </c>
      <c r="AY2" s="113" t="s">
        <v>569</v>
      </c>
      <c r="AZ2" s="345" t="s">
        <v>360</v>
      </c>
      <c r="BA2" s="118" t="s">
        <v>361</v>
      </c>
      <c r="BB2" s="113" t="s">
        <v>914</v>
      </c>
      <c r="BC2" s="118" t="s">
        <v>915</v>
      </c>
      <c r="BD2" s="113" t="s">
        <v>924</v>
      </c>
      <c r="BE2" s="118" t="s">
        <v>362</v>
      </c>
      <c r="BF2" s="113" t="s">
        <v>573</v>
      </c>
      <c r="BG2" s="118" t="s">
        <v>916</v>
      </c>
      <c r="BH2" s="112" t="s">
        <v>917</v>
      </c>
      <c r="BI2" s="118" t="s">
        <v>579</v>
      </c>
      <c r="BJ2" s="113" t="s">
        <v>363</v>
      </c>
      <c r="BK2" s="118" t="s">
        <v>918</v>
      </c>
      <c r="BL2" s="118" t="s">
        <v>919</v>
      </c>
      <c r="BM2" s="116" t="s">
        <v>364</v>
      </c>
      <c r="BN2" s="112" t="s">
        <v>580</v>
      </c>
      <c r="BO2" s="115" t="s">
        <v>581</v>
      </c>
      <c r="BP2" s="112" t="s">
        <v>920</v>
      </c>
      <c r="BQ2" s="115" t="s">
        <v>366</v>
      </c>
      <c r="BR2" s="116" t="s">
        <v>931</v>
      </c>
      <c r="BS2" s="116" t="s">
        <v>367</v>
      </c>
      <c r="BT2" s="114" t="s">
        <v>154</v>
      </c>
      <c r="BU2" s="118" t="s">
        <v>155</v>
      </c>
      <c r="BV2" s="126" t="s">
        <v>931</v>
      </c>
      <c r="BW2" s="126" t="s">
        <v>368</v>
      </c>
      <c r="BX2" s="118" t="s">
        <v>582</v>
      </c>
      <c r="BY2" s="278" t="s">
        <v>931</v>
      </c>
      <c r="BZ2" s="118" t="s">
        <v>870</v>
      </c>
      <c r="CA2" s="118" t="s">
        <v>583</v>
      </c>
      <c r="CB2" s="118" t="s">
        <v>370</v>
      </c>
      <c r="CC2" s="118" t="s">
        <v>167</v>
      </c>
      <c r="CD2" s="278" t="s">
        <v>931</v>
      </c>
      <c r="CE2" s="118" t="s">
        <v>584</v>
      </c>
      <c r="CF2" s="278" t="s">
        <v>931</v>
      </c>
      <c r="CG2" s="115" t="s">
        <v>158</v>
      </c>
      <c r="CH2" s="118" t="s">
        <v>931</v>
      </c>
      <c r="CI2" s="115" t="s">
        <v>871</v>
      </c>
      <c r="CJ2" s="118" t="s">
        <v>931</v>
      </c>
      <c r="CK2" s="114" t="s">
        <v>371</v>
      </c>
      <c r="CL2" s="119"/>
      <c r="CM2" s="119"/>
      <c r="CN2" s="120"/>
      <c r="CO2" s="121"/>
      <c r="CP2" s="121"/>
      <c r="CQ2" s="122"/>
    </row>
    <row r="3" spans="1:95" s="247" customFormat="1" ht="15">
      <c r="A3" s="541">
        <v>1</v>
      </c>
      <c r="B3" s="542"/>
      <c r="C3" s="543"/>
      <c r="D3" s="544"/>
      <c r="E3" s="543"/>
      <c r="F3" s="545"/>
      <c r="G3" s="543"/>
      <c r="H3" s="544"/>
      <c r="I3" s="543"/>
      <c r="J3" s="544"/>
      <c r="K3" s="543"/>
      <c r="L3" s="544"/>
      <c r="M3" s="543"/>
      <c r="N3" s="544"/>
      <c r="O3" s="543"/>
      <c r="P3" s="544"/>
      <c r="Q3" s="543"/>
      <c r="R3" s="544"/>
      <c r="S3" s="543"/>
      <c r="T3" s="544"/>
      <c r="U3" s="543"/>
      <c r="V3" s="544"/>
      <c r="W3" s="543"/>
      <c r="X3" s="544"/>
      <c r="Y3" s="543"/>
      <c r="Z3" s="544"/>
      <c r="AA3" s="546"/>
      <c r="AB3" s="546"/>
      <c r="AC3" s="554"/>
      <c r="AD3" s="546"/>
      <c r="AE3" s="546"/>
      <c r="AF3" s="546"/>
      <c r="AG3" s="546"/>
      <c r="AH3" s="546"/>
      <c r="AI3" s="556"/>
      <c r="AJ3" s="566"/>
      <c r="AK3" s="567"/>
      <c r="AL3" s="544"/>
      <c r="AM3" s="543"/>
      <c r="AN3" s="544"/>
      <c r="AO3" s="548"/>
      <c r="AP3" s="544"/>
      <c r="AQ3" s="548"/>
      <c r="AR3" s="544"/>
      <c r="AS3" s="548"/>
      <c r="AT3" s="546"/>
      <c r="AU3" s="546"/>
      <c r="AV3" s="550"/>
      <c r="AW3" s="551"/>
      <c r="AX3" s="550"/>
      <c r="AY3" s="546"/>
      <c r="AZ3" s="548"/>
      <c r="BA3" s="544"/>
      <c r="BB3" s="548"/>
      <c r="BC3" s="544"/>
      <c r="BD3" s="548"/>
      <c r="BE3" s="546"/>
      <c r="BF3" s="546"/>
      <c r="BG3" s="556"/>
      <c r="BH3" s="547"/>
      <c r="BI3" s="548"/>
      <c r="BJ3" s="546"/>
      <c r="BK3" s="548"/>
      <c r="BL3" s="546"/>
      <c r="BM3" s="548"/>
      <c r="BN3" s="544"/>
      <c r="BO3" s="544"/>
      <c r="BP3" s="544"/>
      <c r="BQ3" s="546"/>
      <c r="BR3" s="558"/>
      <c r="BS3" s="548"/>
      <c r="BT3" s="548"/>
      <c r="BU3" s="548"/>
      <c r="BV3" s="552"/>
      <c r="BW3" s="551"/>
      <c r="BX3" s="548"/>
      <c r="BY3" s="552"/>
      <c r="BZ3" s="546"/>
      <c r="CA3" s="548"/>
      <c r="CB3" s="546"/>
      <c r="CC3" s="548"/>
      <c r="CD3" s="552"/>
      <c r="CE3" s="544"/>
      <c r="CF3" s="556"/>
      <c r="CG3" s="548"/>
      <c r="CH3" s="549"/>
      <c r="CI3" s="347"/>
      <c r="CJ3" s="556"/>
      <c r="CK3" s="548"/>
      <c r="CL3" s="254">
        <v>1</v>
      </c>
      <c r="CM3" s="553">
        <f>$A$1-CB3</f>
        <v>2015</v>
      </c>
      <c r="CN3" s="237">
        <f>IF('Grille de saisie'!CM3&lt;18,0,IF('Grille de saisie'!CM3&lt;40,1,IF('Grille de saisie'!CM3&lt;65,2,IF('Grille de saisie'!CM3&lt;100,3,4))))</f>
        <v>4</v>
      </c>
      <c r="CO3" s="236">
        <f>IF(AND('Grille de saisie'!C3=1,'Grille de saisie'!BZ3=0),1,IF(AND('Grille de saisie'!C3="",'Grille de saisie'!BZ3=""),3,IF(AND('Grille de saisie'!C3=5),3,2)))</f>
        <v>3</v>
      </c>
      <c r="CP3" s="236">
        <f>IF(AND('Grille de saisie'!C3=1,'Grille de saisie'!BZ3=0),1,IF(AND('Grille de saisie'!C3=1,'Grille de saisie'!BZ3=1),2,IF(AND('Grille de saisie'!C3=2,'Grille de saisie'!BZ3=0),2,IF(AND('Grille de saisie'!C3=3,'Grille de saisie'!BZ3=0),3,IF(AND('Grille de saisie'!C3=2,'Grille de saisie'!BZ3=1),3,IF(AND('Grille de saisie'!C3=1,'Grille de saisie'!BZ3=2),3,IF(AND('Grille de saisie'!C3="",'Grille de saisie'!BZ3=""),5,IF(AND('Grille de saisie'!C3=5),5,4))))))))</f>
        <v>5</v>
      </c>
      <c r="CQ3" s="237">
        <f>IF('Grille de saisie'!BZ3="",3,IF('Grille de saisie'!C3=5,3,IF('Grille de saisie'!BZ3=0,1,2)))</f>
        <v>3</v>
      </c>
    </row>
    <row r="4" spans="1:95" ht="15">
      <c r="A4" s="510">
        <v>2</v>
      </c>
      <c r="B4" s="240"/>
      <c r="C4" s="513"/>
      <c r="D4" s="240"/>
      <c r="E4" s="517"/>
      <c r="F4" s="555"/>
      <c r="G4" s="513"/>
      <c r="H4" s="265"/>
      <c r="I4" s="520"/>
      <c r="J4" s="241"/>
      <c r="K4" s="520"/>
      <c r="L4" s="241"/>
      <c r="M4" s="521"/>
      <c r="N4" s="241"/>
      <c r="O4" s="521"/>
      <c r="P4" s="241"/>
      <c r="Q4" s="520"/>
      <c r="R4" s="241"/>
      <c r="S4" s="520"/>
      <c r="T4" s="241"/>
      <c r="U4" s="520"/>
      <c r="V4" s="241"/>
      <c r="W4" s="242"/>
      <c r="X4" s="241"/>
      <c r="Y4" s="242"/>
      <c r="Z4" s="241"/>
      <c r="AA4" s="241"/>
      <c r="AB4" s="275"/>
      <c r="AC4" s="522"/>
      <c r="AD4" s="257"/>
      <c r="AE4" s="241"/>
      <c r="AF4" s="241"/>
      <c r="AG4" s="241"/>
      <c r="AH4" s="241"/>
      <c r="AI4" s="241"/>
      <c r="AJ4" s="529"/>
      <c r="AK4" s="258"/>
      <c r="AL4" s="241"/>
      <c r="AM4" s="242"/>
      <c r="AN4" s="241"/>
      <c r="AO4" s="242"/>
      <c r="AP4" s="241"/>
      <c r="AQ4" s="242"/>
      <c r="AR4" s="241"/>
      <c r="AS4" s="242"/>
      <c r="AT4" s="241"/>
      <c r="AU4" s="241"/>
      <c r="AV4" s="256"/>
      <c r="AW4" s="530"/>
      <c r="AX4" s="256"/>
      <c r="AY4" s="241"/>
      <c r="AZ4" s="256"/>
      <c r="BA4" s="239"/>
      <c r="BB4" s="242"/>
      <c r="BC4" s="239"/>
      <c r="BD4" s="242"/>
      <c r="BE4" s="239"/>
      <c r="BF4" s="241"/>
      <c r="BG4" s="239"/>
      <c r="BH4" s="557"/>
      <c r="BI4" s="260"/>
      <c r="BJ4" s="241"/>
      <c r="BK4" s="260"/>
      <c r="BL4" s="239"/>
      <c r="BM4" s="256"/>
      <c r="BN4" s="241"/>
      <c r="BO4" s="243"/>
      <c r="BP4" s="241"/>
      <c r="BQ4" s="239"/>
      <c r="BR4" s="276"/>
      <c r="BS4" s="256"/>
      <c r="BT4" s="260"/>
      <c r="BU4" s="261"/>
      <c r="BV4" s="260"/>
      <c r="BW4" s="239"/>
      <c r="BX4" s="260"/>
      <c r="BY4" s="260"/>
      <c r="BZ4" s="239"/>
      <c r="CA4" s="260"/>
      <c r="CB4" s="534"/>
      <c r="CC4" s="260"/>
      <c r="CD4" s="539"/>
      <c r="CE4" s="239"/>
      <c r="CF4" s="276"/>
      <c r="CG4" s="256"/>
      <c r="CH4" s="259"/>
      <c r="CI4" s="347"/>
      <c r="CJ4" s="540"/>
      <c r="CK4" s="256"/>
      <c r="CL4" s="244">
        <v>1</v>
      </c>
      <c r="CM4" s="274">
        <f t="shared" ref="CM4:CM67" si="0">$A$1-CB4</f>
        <v>2015</v>
      </c>
      <c r="CN4" s="244">
        <f>IF('Grille de saisie'!CM4&lt;18,0,IF('Grille de saisie'!CM4&lt;40,1,IF('Grille de saisie'!CM4&lt;65,2,IF('Grille de saisie'!CM4&lt;100,3,4))))</f>
        <v>4</v>
      </c>
      <c r="CO4" s="236">
        <f>IF(AND('Grille de saisie'!C4=1,'Grille de saisie'!BZ4=0),1,IF(AND('Grille de saisie'!C4="",'Grille de saisie'!BZ4=""),3,IF(AND('Grille de saisie'!C4=5),3,2)))</f>
        <v>3</v>
      </c>
      <c r="CP4" s="236">
        <f>IF(AND('Grille de saisie'!C4=1,'Grille de saisie'!BZ4=0),1,IF(AND('Grille de saisie'!C4=1,'Grille de saisie'!BZ4=1),2,IF(AND('Grille de saisie'!C4=2,'Grille de saisie'!BZ4=0),2,IF(AND('Grille de saisie'!C4=3,'Grille de saisie'!BZ4=0),3,IF(AND('Grille de saisie'!C4=2,'Grille de saisie'!BZ4=1),3,IF(AND('Grille de saisie'!C4=1,'Grille de saisie'!BZ4=2),3,IF(AND('Grille de saisie'!C4="",'Grille de saisie'!BZ4=""),5,IF(AND('Grille de saisie'!C4=5),5,4))))))))</f>
        <v>5</v>
      </c>
      <c r="CQ4" s="237">
        <f>IF('Grille de saisie'!BZ4="",3,IF('Grille de saisie'!C4=5,3,IF('Grille de saisie'!BZ4=0,1,2)))</f>
        <v>3</v>
      </c>
    </row>
    <row r="5" spans="1:95" ht="15">
      <c r="A5" s="510">
        <v>3</v>
      </c>
      <c r="B5" s="240"/>
      <c r="C5" s="513"/>
      <c r="D5" s="240"/>
      <c r="E5" s="517"/>
      <c r="F5" s="265"/>
      <c r="G5" s="513"/>
      <c r="H5" s="265"/>
      <c r="I5" s="520"/>
      <c r="J5" s="241"/>
      <c r="K5" s="520"/>
      <c r="L5" s="241"/>
      <c r="M5" s="521"/>
      <c r="N5" s="241"/>
      <c r="O5" s="521"/>
      <c r="P5" s="241"/>
      <c r="Q5" s="520"/>
      <c r="R5" s="241"/>
      <c r="S5" s="520"/>
      <c r="T5" s="241"/>
      <c r="U5" s="520"/>
      <c r="V5" s="241"/>
      <c r="W5" s="242"/>
      <c r="X5" s="241"/>
      <c r="Y5" s="242"/>
      <c r="Z5" s="241"/>
      <c r="AA5" s="241"/>
      <c r="AB5" s="275"/>
      <c r="AC5" s="522"/>
      <c r="AD5" s="257"/>
      <c r="AE5" s="241"/>
      <c r="AF5" s="241"/>
      <c r="AG5" s="241"/>
      <c r="AH5" s="241"/>
      <c r="AI5" s="241"/>
      <c r="AJ5" s="529"/>
      <c r="AK5" s="559"/>
      <c r="AL5" s="241"/>
      <c r="AM5" s="242"/>
      <c r="AN5" s="241"/>
      <c r="AO5" s="242"/>
      <c r="AP5" s="241"/>
      <c r="AQ5" s="242"/>
      <c r="AR5" s="241"/>
      <c r="AS5" s="242"/>
      <c r="AT5" s="241"/>
      <c r="AU5" s="241"/>
      <c r="AV5" s="256"/>
      <c r="AW5" s="530"/>
      <c r="AX5" s="256"/>
      <c r="AY5" s="241"/>
      <c r="AZ5" s="256"/>
      <c r="BA5" s="239"/>
      <c r="BB5" s="242"/>
      <c r="BC5" s="239"/>
      <c r="BD5" s="242"/>
      <c r="BE5" s="239"/>
      <c r="BF5" s="241"/>
      <c r="BG5" s="239"/>
      <c r="BH5" s="241"/>
      <c r="BI5" s="260"/>
      <c r="BJ5" s="241"/>
      <c r="BK5" s="260"/>
      <c r="BL5" s="239"/>
      <c r="BM5" s="256"/>
      <c r="BN5" s="241"/>
      <c r="BO5" s="243"/>
      <c r="BP5" s="241"/>
      <c r="BQ5" s="239"/>
      <c r="BR5" s="276"/>
      <c r="BS5" s="256"/>
      <c r="BT5" s="260"/>
      <c r="BU5" s="261"/>
      <c r="BV5" s="260"/>
      <c r="BW5" s="239"/>
      <c r="BX5" s="260"/>
      <c r="BY5" s="260"/>
      <c r="BZ5" s="239"/>
      <c r="CA5" s="260"/>
      <c r="CB5" s="239"/>
      <c r="CC5" s="260"/>
      <c r="CD5" s="539"/>
      <c r="CE5" s="239"/>
      <c r="CF5" s="276"/>
      <c r="CG5" s="256"/>
      <c r="CH5" s="259"/>
      <c r="CI5" s="347"/>
      <c r="CJ5" s="540"/>
      <c r="CK5" s="256"/>
      <c r="CL5" s="244">
        <v>1</v>
      </c>
      <c r="CM5" s="274">
        <f t="shared" si="0"/>
        <v>2015</v>
      </c>
      <c r="CN5" s="244">
        <f>IF('Grille de saisie'!CM5&lt;18,0,IF('Grille de saisie'!CM5&lt;40,1,IF('Grille de saisie'!CM5&lt;65,2,IF('Grille de saisie'!CM5&lt;100,3,4))))</f>
        <v>4</v>
      </c>
      <c r="CO5" s="236">
        <f>IF(AND('Grille de saisie'!C5=1,'Grille de saisie'!BZ5=0),1,IF(AND('Grille de saisie'!C5="",'Grille de saisie'!BZ5=""),3,IF(AND('Grille de saisie'!C5=5),3,2)))</f>
        <v>3</v>
      </c>
      <c r="CP5" s="236">
        <f>IF(AND('Grille de saisie'!C5=1,'Grille de saisie'!BZ5=0),1,IF(AND('Grille de saisie'!C5=1,'Grille de saisie'!BZ5=1),2,IF(AND('Grille de saisie'!C5=2,'Grille de saisie'!BZ5=0),2,IF(AND('Grille de saisie'!C5=3,'Grille de saisie'!BZ5=0),3,IF(AND('Grille de saisie'!C5=2,'Grille de saisie'!BZ5=1),3,IF(AND('Grille de saisie'!C5=1,'Grille de saisie'!BZ5=2),3,IF(AND('Grille de saisie'!C5="",'Grille de saisie'!BZ5=""),5,IF(AND('Grille de saisie'!C5=5),5,4))))))))</f>
        <v>5</v>
      </c>
      <c r="CQ5" s="237">
        <f>IF('Grille de saisie'!BZ5="",3,IF('Grille de saisie'!C5=5,3,IF('Grille de saisie'!BZ5=0,1,2)))</f>
        <v>3</v>
      </c>
    </row>
    <row r="6" spans="1:95" ht="15">
      <c r="A6" s="511">
        <v>4</v>
      </c>
      <c r="B6" s="240"/>
      <c r="C6" s="513"/>
      <c r="D6" s="240"/>
      <c r="E6" s="517"/>
      <c r="F6" s="265"/>
      <c r="G6" s="513"/>
      <c r="H6" s="265"/>
      <c r="I6" s="520"/>
      <c r="J6" s="241"/>
      <c r="K6" s="520"/>
      <c r="L6" s="241"/>
      <c r="M6" s="521"/>
      <c r="N6" s="241"/>
      <c r="O6" s="521"/>
      <c r="P6" s="241"/>
      <c r="Q6" s="520"/>
      <c r="R6" s="241"/>
      <c r="S6" s="520"/>
      <c r="T6" s="241"/>
      <c r="U6" s="520"/>
      <c r="V6" s="241"/>
      <c r="W6" s="242"/>
      <c r="X6" s="241"/>
      <c r="Y6" s="242"/>
      <c r="Z6" s="241"/>
      <c r="AA6" s="241"/>
      <c r="AB6" s="275"/>
      <c r="AC6" s="523"/>
      <c r="AD6" s="257"/>
      <c r="AE6" s="241"/>
      <c r="AF6" s="241"/>
      <c r="AG6" s="241"/>
      <c r="AH6" s="241"/>
      <c r="AI6" s="241"/>
      <c r="AJ6" s="529"/>
      <c r="AK6" s="258"/>
      <c r="AL6" s="241"/>
      <c r="AM6" s="242"/>
      <c r="AN6" s="241"/>
      <c r="AO6" s="242"/>
      <c r="AP6" s="241"/>
      <c r="AQ6" s="242"/>
      <c r="AR6" s="241"/>
      <c r="AS6" s="242"/>
      <c r="AT6" s="241"/>
      <c r="AU6" s="241"/>
      <c r="AV6" s="256"/>
      <c r="AW6" s="530"/>
      <c r="AX6" s="256"/>
      <c r="AY6" s="241"/>
      <c r="AZ6" s="256"/>
      <c r="BA6" s="239"/>
      <c r="BB6" s="242"/>
      <c r="BC6" s="239"/>
      <c r="BD6" s="242"/>
      <c r="BE6" s="239"/>
      <c r="BF6" s="241"/>
      <c r="BG6" s="239"/>
      <c r="BH6" s="241"/>
      <c r="BI6" s="260"/>
      <c r="BJ6" s="241"/>
      <c r="BK6" s="260"/>
      <c r="BL6" s="239"/>
      <c r="BM6" s="256"/>
      <c r="BN6" s="241"/>
      <c r="BO6" s="243"/>
      <c r="BP6" s="241"/>
      <c r="BQ6" s="239"/>
      <c r="BR6" s="276"/>
      <c r="BS6" s="256"/>
      <c r="BT6" s="260"/>
      <c r="BU6" s="261"/>
      <c r="BV6" s="260"/>
      <c r="BW6" s="239"/>
      <c r="BX6" s="260"/>
      <c r="BY6" s="260"/>
      <c r="BZ6" s="239"/>
      <c r="CA6" s="260"/>
      <c r="CB6" s="239"/>
      <c r="CC6" s="260"/>
      <c r="CD6" s="539"/>
      <c r="CE6" s="239"/>
      <c r="CF6" s="276"/>
      <c r="CG6" s="256"/>
      <c r="CH6" s="259"/>
      <c r="CI6" s="347"/>
      <c r="CJ6" s="540"/>
      <c r="CK6" s="256"/>
      <c r="CL6" s="244">
        <v>1</v>
      </c>
      <c r="CM6" s="274">
        <f t="shared" si="0"/>
        <v>2015</v>
      </c>
      <c r="CN6" s="244">
        <f>IF('Grille de saisie'!CM6&lt;18,0,IF('Grille de saisie'!CM6&lt;40,1,IF('Grille de saisie'!CM6&lt;65,2,IF('Grille de saisie'!CM6&lt;100,3,4))))</f>
        <v>4</v>
      </c>
      <c r="CO6" s="236">
        <f>IF(AND('Grille de saisie'!C6=1,'Grille de saisie'!BZ6=0),1,IF(AND('Grille de saisie'!C6="",'Grille de saisie'!BZ6=""),3,IF(AND('Grille de saisie'!C6=5),3,2)))</f>
        <v>3</v>
      </c>
      <c r="CP6" s="236">
        <f>IF(AND('Grille de saisie'!C6=1,'Grille de saisie'!BZ6=0),1,IF(AND('Grille de saisie'!C6=1,'Grille de saisie'!BZ6=1),2,IF(AND('Grille de saisie'!C6=2,'Grille de saisie'!BZ6=0),2,IF(AND('Grille de saisie'!C6=3,'Grille de saisie'!BZ6=0),3,IF(AND('Grille de saisie'!C6=2,'Grille de saisie'!BZ6=1),3,IF(AND('Grille de saisie'!C6=1,'Grille de saisie'!BZ6=2),3,IF(AND('Grille de saisie'!C6="",'Grille de saisie'!BZ6=""),5,IF(AND('Grille de saisie'!C6=5),5,4))))))))</f>
        <v>5</v>
      </c>
      <c r="CQ6" s="237">
        <f>IF('Grille de saisie'!BZ6="",3,IF('Grille de saisie'!C6=5,3,IF('Grille de saisie'!BZ6=0,1,2)))</f>
        <v>3</v>
      </c>
    </row>
    <row r="7" spans="1:95" ht="15">
      <c r="A7" s="510">
        <v>5</v>
      </c>
      <c r="B7" s="240"/>
      <c r="C7" s="513"/>
      <c r="D7" s="240"/>
      <c r="E7" s="517"/>
      <c r="F7" s="265"/>
      <c r="G7" s="513"/>
      <c r="H7" s="265"/>
      <c r="I7" s="520"/>
      <c r="J7" s="241"/>
      <c r="K7" s="520"/>
      <c r="L7" s="241"/>
      <c r="M7" s="521"/>
      <c r="N7" s="241"/>
      <c r="O7" s="521"/>
      <c r="P7" s="241"/>
      <c r="Q7" s="520"/>
      <c r="R7" s="241"/>
      <c r="S7" s="520"/>
      <c r="T7" s="241"/>
      <c r="U7" s="520"/>
      <c r="V7" s="241"/>
      <c r="W7" s="242"/>
      <c r="X7" s="241"/>
      <c r="Y7" s="242"/>
      <c r="Z7" s="241"/>
      <c r="AA7" s="241"/>
      <c r="AB7" s="275"/>
      <c r="AC7" s="524"/>
      <c r="AD7" s="257"/>
      <c r="AE7" s="241"/>
      <c r="AF7" s="241"/>
      <c r="AG7" s="241"/>
      <c r="AH7" s="241"/>
      <c r="AI7" s="241"/>
      <c r="AJ7" s="529"/>
      <c r="AK7" s="258"/>
      <c r="AL7" s="241"/>
      <c r="AM7" s="242"/>
      <c r="AN7" s="241"/>
      <c r="AO7" s="242"/>
      <c r="AP7" s="241"/>
      <c r="AQ7" s="242"/>
      <c r="AR7" s="241"/>
      <c r="AS7" s="242"/>
      <c r="AT7" s="241"/>
      <c r="AU7" s="241"/>
      <c r="AV7" s="256"/>
      <c r="AW7" s="530"/>
      <c r="AX7" s="256"/>
      <c r="AY7" s="241"/>
      <c r="AZ7" s="256"/>
      <c r="BA7" s="239"/>
      <c r="BB7" s="242"/>
      <c r="BC7" s="239"/>
      <c r="BD7" s="242"/>
      <c r="BE7" s="239"/>
      <c r="BF7" s="241"/>
      <c r="BG7" s="239"/>
      <c r="BH7" s="241"/>
      <c r="BI7" s="260"/>
      <c r="BJ7" s="241"/>
      <c r="BK7" s="260"/>
      <c r="BL7" s="239"/>
      <c r="BM7" s="256"/>
      <c r="BN7" s="241"/>
      <c r="BO7" s="243"/>
      <c r="BP7" s="241"/>
      <c r="BQ7" s="239"/>
      <c r="BR7" s="276"/>
      <c r="BS7" s="256"/>
      <c r="BT7" s="260"/>
      <c r="BU7" s="261"/>
      <c r="BV7" s="260"/>
      <c r="BW7" s="239"/>
      <c r="BX7" s="260"/>
      <c r="BY7" s="260"/>
      <c r="BZ7" s="239"/>
      <c r="CA7" s="260"/>
      <c r="CB7" s="239"/>
      <c r="CC7" s="260"/>
      <c r="CD7" s="539"/>
      <c r="CE7" s="239"/>
      <c r="CF7" s="276"/>
      <c r="CG7" s="256"/>
      <c r="CH7" s="259"/>
      <c r="CI7" s="347"/>
      <c r="CJ7" s="540"/>
      <c r="CK7" s="256"/>
      <c r="CL7" s="244">
        <v>1</v>
      </c>
      <c r="CM7" s="274">
        <f t="shared" si="0"/>
        <v>2015</v>
      </c>
      <c r="CN7" s="244">
        <f>IF('Grille de saisie'!CM7&lt;18,0,IF('Grille de saisie'!CM7&lt;40,1,IF('Grille de saisie'!CM7&lt;65,2,IF('Grille de saisie'!CM7&lt;100,3,4))))</f>
        <v>4</v>
      </c>
      <c r="CO7" s="236">
        <f>IF(AND('Grille de saisie'!C7=1,'Grille de saisie'!BZ7=0),1,IF(AND('Grille de saisie'!C7="",'Grille de saisie'!BZ7=""),3,IF(AND('Grille de saisie'!C7=5),3,2)))</f>
        <v>3</v>
      </c>
      <c r="CP7" s="236">
        <f>IF(AND('Grille de saisie'!C7=1,'Grille de saisie'!BZ7=0),1,IF(AND('Grille de saisie'!C7=1,'Grille de saisie'!BZ7=1),2,IF(AND('Grille de saisie'!C7=2,'Grille de saisie'!BZ7=0),2,IF(AND('Grille de saisie'!C7=3,'Grille de saisie'!BZ7=0),3,IF(AND('Grille de saisie'!C7=2,'Grille de saisie'!BZ7=1),3,IF(AND('Grille de saisie'!C7=1,'Grille de saisie'!BZ7=2),3,IF(AND('Grille de saisie'!C7="",'Grille de saisie'!BZ7=""),5,IF(AND('Grille de saisie'!C7=5),5,4))))))))</f>
        <v>5</v>
      </c>
      <c r="CQ7" s="237">
        <f>IF('Grille de saisie'!BZ7="",3,IF('Grille de saisie'!C7=5,3,IF('Grille de saisie'!BZ7=0,1,2)))</f>
        <v>3</v>
      </c>
    </row>
    <row r="8" spans="1:95" ht="15">
      <c r="A8" s="510">
        <v>6</v>
      </c>
      <c r="B8" s="240"/>
      <c r="C8" s="513"/>
      <c r="D8" s="240"/>
      <c r="E8" s="517"/>
      <c r="F8" s="265"/>
      <c r="G8" s="513"/>
      <c r="H8" s="265"/>
      <c r="I8" s="520"/>
      <c r="J8" s="241"/>
      <c r="K8" s="520"/>
      <c r="L8" s="241"/>
      <c r="M8" s="521"/>
      <c r="N8" s="241"/>
      <c r="O8" s="521"/>
      <c r="P8" s="241"/>
      <c r="Q8" s="520"/>
      <c r="R8" s="241"/>
      <c r="S8" s="520"/>
      <c r="T8" s="241"/>
      <c r="U8" s="520"/>
      <c r="V8" s="241"/>
      <c r="W8" s="242"/>
      <c r="X8" s="241"/>
      <c r="Y8" s="242"/>
      <c r="Z8" s="241"/>
      <c r="AA8" s="241"/>
      <c r="AB8" s="275"/>
      <c r="AC8" s="524"/>
      <c r="AD8" s="257"/>
      <c r="AE8" s="241"/>
      <c r="AF8" s="241"/>
      <c r="AG8" s="241"/>
      <c r="AH8" s="241"/>
      <c r="AI8" s="241"/>
      <c r="AJ8" s="529"/>
      <c r="AK8" s="258"/>
      <c r="AL8" s="241"/>
      <c r="AM8" s="242"/>
      <c r="AN8" s="241"/>
      <c r="AO8" s="242"/>
      <c r="AP8" s="241"/>
      <c r="AQ8" s="242"/>
      <c r="AR8" s="241"/>
      <c r="AS8" s="242"/>
      <c r="AT8" s="241"/>
      <c r="AU8" s="241"/>
      <c r="AV8" s="256"/>
      <c r="AW8" s="530"/>
      <c r="AX8" s="256"/>
      <c r="AY8" s="241"/>
      <c r="AZ8" s="256"/>
      <c r="BA8" s="239"/>
      <c r="BB8" s="242"/>
      <c r="BC8" s="239"/>
      <c r="BD8" s="242"/>
      <c r="BE8" s="239"/>
      <c r="BF8" s="241"/>
      <c r="BG8" s="560"/>
      <c r="BH8" s="241"/>
      <c r="BI8" s="260"/>
      <c r="BJ8" s="241"/>
      <c r="BK8" s="260"/>
      <c r="BL8" s="239"/>
      <c r="BM8" s="256"/>
      <c r="BN8" s="241"/>
      <c r="BO8" s="243"/>
      <c r="BP8" s="241"/>
      <c r="BQ8" s="239"/>
      <c r="BR8" s="276"/>
      <c r="BS8" s="256"/>
      <c r="BT8" s="260"/>
      <c r="BU8" s="261"/>
      <c r="BV8" s="260"/>
      <c r="BW8" s="239"/>
      <c r="BX8" s="260"/>
      <c r="BY8" s="260"/>
      <c r="BZ8" s="239"/>
      <c r="CA8" s="260"/>
      <c r="CB8" s="239"/>
      <c r="CC8" s="260"/>
      <c r="CD8" s="539"/>
      <c r="CE8" s="239"/>
      <c r="CF8" s="276"/>
      <c r="CG8" s="256"/>
      <c r="CH8" s="259"/>
      <c r="CI8" s="347"/>
      <c r="CJ8" s="540"/>
      <c r="CK8" s="256"/>
      <c r="CL8" s="244">
        <v>1</v>
      </c>
      <c r="CM8" s="274">
        <f t="shared" si="0"/>
        <v>2015</v>
      </c>
      <c r="CN8" s="244">
        <f>IF('Grille de saisie'!CM8&lt;18,0,IF('Grille de saisie'!CM8&lt;40,1,IF('Grille de saisie'!CM8&lt;65,2,IF('Grille de saisie'!CM8&lt;100,3,4))))</f>
        <v>4</v>
      </c>
      <c r="CO8" s="236">
        <f>IF(AND('Grille de saisie'!C8=1,'Grille de saisie'!BZ8=0),1,IF(AND('Grille de saisie'!C8="",'Grille de saisie'!BZ8=""),3,IF(AND('Grille de saisie'!C8=5),3,2)))</f>
        <v>3</v>
      </c>
      <c r="CP8" s="236">
        <f>IF(AND('Grille de saisie'!C8=1,'Grille de saisie'!BZ8=0),1,IF(AND('Grille de saisie'!C8=1,'Grille de saisie'!BZ8=1),2,IF(AND('Grille de saisie'!C8=2,'Grille de saisie'!BZ8=0),2,IF(AND('Grille de saisie'!C8=3,'Grille de saisie'!BZ8=0),3,IF(AND('Grille de saisie'!C8=2,'Grille de saisie'!BZ8=1),3,IF(AND('Grille de saisie'!C8=1,'Grille de saisie'!BZ8=2),3,IF(AND('Grille de saisie'!C8="",'Grille de saisie'!BZ8=""),5,IF(AND('Grille de saisie'!C8=5),5,4))))))))</f>
        <v>5</v>
      </c>
      <c r="CQ8" s="237">
        <f>IF('Grille de saisie'!BZ8="",3,IF('Grille de saisie'!C8=5,3,IF('Grille de saisie'!BZ8=0,1,2)))</f>
        <v>3</v>
      </c>
    </row>
    <row r="9" spans="1:95" ht="15">
      <c r="A9" s="511">
        <v>7</v>
      </c>
      <c r="B9" s="240"/>
      <c r="C9" s="513"/>
      <c r="D9" s="240"/>
      <c r="E9" s="517"/>
      <c r="F9" s="555"/>
      <c r="G9" s="513"/>
      <c r="H9" s="265"/>
      <c r="I9" s="520"/>
      <c r="J9" s="241"/>
      <c r="K9" s="520"/>
      <c r="L9" s="241"/>
      <c r="M9" s="521"/>
      <c r="N9" s="241"/>
      <c r="O9" s="521"/>
      <c r="P9" s="241"/>
      <c r="Q9" s="520"/>
      <c r="R9" s="241"/>
      <c r="S9" s="520"/>
      <c r="T9" s="241"/>
      <c r="U9" s="520"/>
      <c r="V9" s="241"/>
      <c r="W9" s="242"/>
      <c r="X9" s="241"/>
      <c r="Y9" s="242"/>
      <c r="Z9" s="241"/>
      <c r="AA9" s="241"/>
      <c r="AB9" s="275"/>
      <c r="AC9" s="524"/>
      <c r="AD9" s="257"/>
      <c r="AE9" s="241"/>
      <c r="AF9" s="241"/>
      <c r="AG9" s="241"/>
      <c r="AH9" s="241"/>
      <c r="AI9" s="241"/>
      <c r="AJ9" s="529"/>
      <c r="AK9" s="258"/>
      <c r="AL9" s="241"/>
      <c r="AM9" s="242"/>
      <c r="AN9" s="241"/>
      <c r="AO9" s="242"/>
      <c r="AP9" s="241"/>
      <c r="AQ9" s="242"/>
      <c r="AR9" s="241"/>
      <c r="AS9" s="242"/>
      <c r="AT9" s="241"/>
      <c r="AU9" s="241"/>
      <c r="AV9" s="256"/>
      <c r="AW9" s="530"/>
      <c r="AX9" s="256"/>
      <c r="AY9" s="241"/>
      <c r="AZ9" s="256"/>
      <c r="BA9" s="239"/>
      <c r="BB9" s="242"/>
      <c r="BC9" s="239"/>
      <c r="BD9" s="242"/>
      <c r="BE9" s="239"/>
      <c r="BF9" s="241"/>
      <c r="BG9" s="239"/>
      <c r="BH9" s="557"/>
      <c r="BI9" s="260"/>
      <c r="BJ9" s="241"/>
      <c r="BK9" s="260"/>
      <c r="BL9" s="239"/>
      <c r="BM9" s="256"/>
      <c r="BN9" s="241"/>
      <c r="BO9" s="243"/>
      <c r="BP9" s="241"/>
      <c r="BQ9" s="239"/>
      <c r="BR9" s="276"/>
      <c r="BS9" s="256"/>
      <c r="BT9" s="260"/>
      <c r="BU9" s="261"/>
      <c r="BV9" s="260"/>
      <c r="BW9" s="239"/>
      <c r="BX9" s="260"/>
      <c r="BY9" s="260"/>
      <c r="BZ9" s="239"/>
      <c r="CA9" s="260"/>
      <c r="CB9" s="239"/>
      <c r="CC9" s="260"/>
      <c r="CD9" s="563"/>
      <c r="CE9" s="239"/>
      <c r="CF9" s="276"/>
      <c r="CG9" s="256"/>
      <c r="CH9" s="259"/>
      <c r="CI9" s="347"/>
      <c r="CJ9" s="540"/>
      <c r="CK9" s="256"/>
      <c r="CL9" s="244">
        <v>1</v>
      </c>
      <c r="CM9" s="274">
        <f t="shared" si="0"/>
        <v>2015</v>
      </c>
      <c r="CN9" s="244">
        <f>IF('Grille de saisie'!CM9&lt;18,0,IF('Grille de saisie'!CM9&lt;40,1,IF('Grille de saisie'!CM9&lt;65,2,IF('Grille de saisie'!CM9&lt;100,3,4))))</f>
        <v>4</v>
      </c>
      <c r="CO9" s="236">
        <f>IF(AND('Grille de saisie'!C9=1,'Grille de saisie'!BZ9=0),1,IF(AND('Grille de saisie'!C9="",'Grille de saisie'!BZ9=""),3,IF(AND('Grille de saisie'!C9=5),3,2)))</f>
        <v>3</v>
      </c>
      <c r="CP9" s="236">
        <f>IF(AND('Grille de saisie'!C9=1,'Grille de saisie'!BZ9=0),1,IF(AND('Grille de saisie'!C9=1,'Grille de saisie'!BZ9=1),2,IF(AND('Grille de saisie'!C9=2,'Grille de saisie'!BZ9=0),2,IF(AND('Grille de saisie'!C9=3,'Grille de saisie'!BZ9=0),3,IF(AND('Grille de saisie'!C9=2,'Grille de saisie'!BZ9=1),3,IF(AND('Grille de saisie'!C9=1,'Grille de saisie'!BZ9=2),3,IF(AND('Grille de saisie'!C9="",'Grille de saisie'!BZ9=""),5,IF(AND('Grille de saisie'!C9=5),5,4))))))))</f>
        <v>5</v>
      </c>
      <c r="CQ9" s="237">
        <f>IF('Grille de saisie'!BZ9="",3,IF('Grille de saisie'!C9=5,3,IF('Grille de saisie'!BZ9=0,1,2)))</f>
        <v>3</v>
      </c>
    </row>
    <row r="10" spans="1:95" ht="15">
      <c r="A10" s="510">
        <v>8</v>
      </c>
      <c r="B10" s="240"/>
      <c r="C10" s="513"/>
      <c r="D10" s="240"/>
      <c r="E10" s="517"/>
      <c r="F10" s="265"/>
      <c r="G10" s="513"/>
      <c r="H10" s="265"/>
      <c r="I10" s="520"/>
      <c r="J10" s="241"/>
      <c r="K10" s="520"/>
      <c r="L10" s="241"/>
      <c r="M10" s="521"/>
      <c r="N10" s="241"/>
      <c r="O10" s="521"/>
      <c r="P10" s="241"/>
      <c r="Q10" s="520"/>
      <c r="R10" s="241"/>
      <c r="S10" s="520"/>
      <c r="T10" s="241"/>
      <c r="U10" s="520"/>
      <c r="V10" s="241"/>
      <c r="W10" s="242"/>
      <c r="X10" s="241"/>
      <c r="Y10" s="242"/>
      <c r="Z10" s="241"/>
      <c r="AA10" s="241"/>
      <c r="AB10" s="275"/>
      <c r="AC10" s="524"/>
      <c r="AD10" s="257"/>
      <c r="AE10" s="241"/>
      <c r="AF10" s="241"/>
      <c r="AG10" s="241"/>
      <c r="AH10" s="241"/>
      <c r="AI10" s="241"/>
      <c r="AJ10" s="529"/>
      <c r="AK10" s="258"/>
      <c r="AL10" s="241"/>
      <c r="AM10" s="242"/>
      <c r="AN10" s="241"/>
      <c r="AO10" s="242"/>
      <c r="AP10" s="241"/>
      <c r="AQ10" s="242"/>
      <c r="AR10" s="241"/>
      <c r="AS10" s="242"/>
      <c r="AT10" s="241"/>
      <c r="AU10" s="241"/>
      <c r="AV10" s="256"/>
      <c r="AW10" s="530"/>
      <c r="AX10" s="256"/>
      <c r="AY10" s="241"/>
      <c r="AZ10" s="256"/>
      <c r="BA10" s="239"/>
      <c r="BB10" s="242"/>
      <c r="BC10" s="239"/>
      <c r="BD10" s="242"/>
      <c r="BE10" s="239"/>
      <c r="BF10" s="241"/>
      <c r="BG10" s="239"/>
      <c r="BH10" s="241"/>
      <c r="BI10" s="260"/>
      <c r="BJ10" s="241"/>
      <c r="BK10" s="260"/>
      <c r="BL10" s="239"/>
      <c r="BM10" s="256"/>
      <c r="BN10" s="241"/>
      <c r="BO10" s="243"/>
      <c r="BP10" s="241"/>
      <c r="BQ10" s="239"/>
      <c r="BR10" s="561"/>
      <c r="BS10" s="256"/>
      <c r="BT10" s="260"/>
      <c r="BU10" s="261"/>
      <c r="BV10" s="260"/>
      <c r="BW10" s="239"/>
      <c r="BX10" s="260"/>
      <c r="BY10" s="260"/>
      <c r="BZ10" s="239"/>
      <c r="CA10" s="260"/>
      <c r="CB10" s="239"/>
      <c r="CC10" s="260"/>
      <c r="CD10" s="539"/>
      <c r="CE10" s="239"/>
      <c r="CF10" s="276"/>
      <c r="CG10" s="256"/>
      <c r="CH10" s="259"/>
      <c r="CI10" s="347"/>
      <c r="CJ10" s="540"/>
      <c r="CK10" s="256"/>
      <c r="CL10" s="244">
        <v>1</v>
      </c>
      <c r="CM10" s="274">
        <f t="shared" si="0"/>
        <v>2015</v>
      </c>
      <c r="CN10" s="244">
        <f>IF('Grille de saisie'!CM10&lt;18,0,IF('Grille de saisie'!CM10&lt;40,1,IF('Grille de saisie'!CM10&lt;65,2,IF('Grille de saisie'!CM10&lt;100,3,4))))</f>
        <v>4</v>
      </c>
      <c r="CO10" s="236">
        <f>IF(AND('Grille de saisie'!C10=1,'Grille de saisie'!BZ10=0),1,IF(AND('Grille de saisie'!C10="",'Grille de saisie'!BZ10=""),3,IF(AND('Grille de saisie'!C10=5),3,2)))</f>
        <v>3</v>
      </c>
      <c r="CP10" s="236">
        <f>IF(AND('Grille de saisie'!C10=1,'Grille de saisie'!BZ10=0),1,IF(AND('Grille de saisie'!C10=1,'Grille de saisie'!BZ10=1),2,IF(AND('Grille de saisie'!C10=2,'Grille de saisie'!BZ10=0),2,IF(AND('Grille de saisie'!C10=3,'Grille de saisie'!BZ10=0),3,IF(AND('Grille de saisie'!C10=2,'Grille de saisie'!BZ10=1),3,IF(AND('Grille de saisie'!C10=1,'Grille de saisie'!BZ10=2),3,IF(AND('Grille de saisie'!C10="",'Grille de saisie'!BZ10=""),5,IF(AND('Grille de saisie'!C10=5),5,4))))))))</f>
        <v>5</v>
      </c>
      <c r="CQ10" s="237">
        <f>IF('Grille de saisie'!BZ10="",3,IF('Grille de saisie'!C10=5,3,IF('Grille de saisie'!BZ10=0,1,2)))</f>
        <v>3</v>
      </c>
    </row>
    <row r="11" spans="1:95" ht="15">
      <c r="A11" s="510">
        <v>9</v>
      </c>
      <c r="B11" s="240"/>
      <c r="C11" s="513"/>
      <c r="D11" s="240"/>
      <c r="E11" s="517"/>
      <c r="F11" s="265"/>
      <c r="G11" s="513"/>
      <c r="H11" s="265"/>
      <c r="I11" s="520"/>
      <c r="J11" s="241"/>
      <c r="K11" s="520"/>
      <c r="L11" s="241"/>
      <c r="M11" s="521"/>
      <c r="N11" s="241"/>
      <c r="O11" s="521"/>
      <c r="P11" s="241"/>
      <c r="Q11" s="520"/>
      <c r="R11" s="241"/>
      <c r="S11" s="520"/>
      <c r="T11" s="241"/>
      <c r="U11" s="520"/>
      <c r="V11" s="241"/>
      <c r="W11" s="242"/>
      <c r="X11" s="241"/>
      <c r="Y11" s="242"/>
      <c r="Z11" s="241"/>
      <c r="AA11" s="241"/>
      <c r="AB11" s="275"/>
      <c r="AC11" s="524"/>
      <c r="AD11" s="241"/>
      <c r="AE11" s="241"/>
      <c r="AF11" s="241"/>
      <c r="AG11" s="241"/>
      <c r="AH11" s="241"/>
      <c r="AI11" s="241"/>
      <c r="AJ11" s="529"/>
      <c r="AK11" s="258"/>
      <c r="AL11" s="241"/>
      <c r="AM11" s="242"/>
      <c r="AN11" s="241"/>
      <c r="AO11" s="242"/>
      <c r="AP11" s="241"/>
      <c r="AQ11" s="242"/>
      <c r="AR11" s="241"/>
      <c r="AS11" s="242"/>
      <c r="AT11" s="241"/>
      <c r="AU11" s="241"/>
      <c r="AV11" s="256"/>
      <c r="AW11" s="530"/>
      <c r="AX11" s="256"/>
      <c r="AY11" s="241"/>
      <c r="AZ11" s="256"/>
      <c r="BA11" s="239"/>
      <c r="BB11" s="242"/>
      <c r="BC11" s="239"/>
      <c r="BD11" s="242"/>
      <c r="BE11" s="239"/>
      <c r="BF11" s="241"/>
      <c r="BG11" s="239"/>
      <c r="BH11" s="241"/>
      <c r="BI11" s="260"/>
      <c r="BJ11" s="241"/>
      <c r="BK11" s="260"/>
      <c r="BL11" s="239"/>
      <c r="BM11" s="256"/>
      <c r="BN11" s="241"/>
      <c r="BO11" s="243"/>
      <c r="BP11" s="241"/>
      <c r="BQ11" s="239"/>
      <c r="BR11" s="276"/>
      <c r="BS11" s="256"/>
      <c r="BT11" s="260"/>
      <c r="BU11" s="261"/>
      <c r="BV11" s="260"/>
      <c r="BW11" s="239"/>
      <c r="BX11" s="521"/>
      <c r="BY11" s="562"/>
      <c r="BZ11" s="239"/>
      <c r="CA11" s="260"/>
      <c r="CB11" s="239"/>
      <c r="CC11" s="260"/>
      <c r="CD11" s="539"/>
      <c r="CE11" s="239"/>
      <c r="CF11" s="276"/>
      <c r="CG11" s="256"/>
      <c r="CH11" s="259"/>
      <c r="CI11" s="347"/>
      <c r="CJ11" s="565"/>
      <c r="CK11" s="256"/>
      <c r="CL11" s="244">
        <v>1</v>
      </c>
      <c r="CM11" s="274">
        <f t="shared" si="0"/>
        <v>2015</v>
      </c>
      <c r="CN11" s="244">
        <f>IF('Grille de saisie'!CM11&lt;18,0,IF('Grille de saisie'!CM11&lt;40,1,IF('Grille de saisie'!CM11&lt;65,2,IF('Grille de saisie'!CM11&lt;100,3,4))))</f>
        <v>4</v>
      </c>
      <c r="CO11" s="236">
        <f>IF(AND('Grille de saisie'!C11=1,'Grille de saisie'!BZ11=0),1,IF(AND('Grille de saisie'!C11="",'Grille de saisie'!BZ11=""),3,IF(AND('Grille de saisie'!C11=5),3,2)))</f>
        <v>3</v>
      </c>
      <c r="CP11" s="236">
        <f>IF(AND('Grille de saisie'!C11=1,'Grille de saisie'!BZ11=0),1,IF(AND('Grille de saisie'!C11=1,'Grille de saisie'!BZ11=1),2,IF(AND('Grille de saisie'!C11=2,'Grille de saisie'!BZ11=0),2,IF(AND('Grille de saisie'!C11=3,'Grille de saisie'!BZ11=0),3,IF(AND('Grille de saisie'!C11=2,'Grille de saisie'!BZ11=1),3,IF(AND('Grille de saisie'!C11=1,'Grille de saisie'!BZ11=2),3,IF(AND('Grille de saisie'!C11="",'Grille de saisie'!BZ11=""),5,IF(AND('Grille de saisie'!C11=5),5,4))))))))</f>
        <v>5</v>
      </c>
      <c r="CQ11" s="237">
        <f>IF('Grille de saisie'!BZ11="",3,IF('Grille de saisie'!C11=5,3,IF('Grille de saisie'!BZ11=0,1,2)))</f>
        <v>3</v>
      </c>
    </row>
    <row r="12" spans="1:95" ht="15">
      <c r="A12" s="512">
        <v>10</v>
      </c>
      <c r="B12" s="240"/>
      <c r="C12" s="513"/>
      <c r="D12" s="240"/>
      <c r="E12" s="517"/>
      <c r="F12" s="265"/>
      <c r="G12" s="513"/>
      <c r="H12" s="265"/>
      <c r="I12" s="520"/>
      <c r="J12" s="241"/>
      <c r="K12" s="520"/>
      <c r="L12" s="241"/>
      <c r="M12" s="521"/>
      <c r="N12" s="241"/>
      <c r="O12" s="521"/>
      <c r="P12" s="241"/>
      <c r="Q12" s="520"/>
      <c r="R12" s="241"/>
      <c r="S12" s="520"/>
      <c r="T12" s="241"/>
      <c r="U12" s="520"/>
      <c r="V12" s="241"/>
      <c r="W12" s="242"/>
      <c r="X12" s="241"/>
      <c r="Y12" s="242"/>
      <c r="Z12" s="241"/>
      <c r="AA12" s="241"/>
      <c r="AB12" s="275"/>
      <c r="AC12" s="524"/>
      <c r="AD12" s="241"/>
      <c r="AE12" s="241"/>
      <c r="AF12" s="241"/>
      <c r="AG12" s="241"/>
      <c r="AH12" s="241"/>
      <c r="AI12" s="241"/>
      <c r="AJ12" s="529"/>
      <c r="AK12" s="258"/>
      <c r="AL12" s="241"/>
      <c r="AM12" s="242"/>
      <c r="AN12" s="241"/>
      <c r="AO12" s="242"/>
      <c r="AP12" s="241"/>
      <c r="AQ12" s="242"/>
      <c r="AR12" s="241"/>
      <c r="AS12" s="242"/>
      <c r="AT12" s="241"/>
      <c r="AU12" s="241"/>
      <c r="AV12" s="256"/>
      <c r="AW12" s="530"/>
      <c r="AX12" s="256"/>
      <c r="AY12" s="241"/>
      <c r="AZ12" s="256"/>
      <c r="BA12" s="239"/>
      <c r="BB12" s="242"/>
      <c r="BC12" s="239"/>
      <c r="BD12" s="242"/>
      <c r="BE12" s="239"/>
      <c r="BF12" s="241"/>
      <c r="BG12" s="239"/>
      <c r="BH12" s="241"/>
      <c r="BI12" s="260"/>
      <c r="BJ12" s="241"/>
      <c r="BK12" s="260"/>
      <c r="BL12" s="239"/>
      <c r="BM12" s="256"/>
      <c r="BN12" s="241"/>
      <c r="BO12" s="243"/>
      <c r="BP12" s="241"/>
      <c r="BQ12" s="239"/>
      <c r="BR12" s="276"/>
      <c r="BS12" s="256"/>
      <c r="BT12" s="260"/>
      <c r="BU12" s="261"/>
      <c r="BV12" s="562"/>
      <c r="BW12" s="239"/>
      <c r="BX12" s="521"/>
      <c r="BY12" s="260"/>
      <c r="BZ12" s="239"/>
      <c r="CA12" s="260"/>
      <c r="CB12" s="239"/>
      <c r="CC12" s="260"/>
      <c r="CD12" s="539"/>
      <c r="CE12" s="239"/>
      <c r="CF12" s="561"/>
      <c r="CG12" s="256"/>
      <c r="CH12" s="564"/>
      <c r="CI12" s="347"/>
      <c r="CJ12" s="540"/>
      <c r="CK12" s="256"/>
      <c r="CL12" s="244">
        <v>1</v>
      </c>
      <c r="CM12" s="274">
        <f t="shared" si="0"/>
        <v>2015</v>
      </c>
      <c r="CN12" s="244">
        <f>IF('Grille de saisie'!CM12&lt;18,0,IF('Grille de saisie'!CM12&lt;40,1,IF('Grille de saisie'!CM12&lt;65,2,IF('Grille de saisie'!CM12&lt;100,3,4))))</f>
        <v>4</v>
      </c>
      <c r="CO12" s="236">
        <f>IF(AND('Grille de saisie'!C12=1,'Grille de saisie'!BZ12=0),1,IF(AND('Grille de saisie'!C12="",'Grille de saisie'!BZ12=""),3,IF(AND('Grille de saisie'!C12=5),3,2)))</f>
        <v>3</v>
      </c>
      <c r="CP12" s="236">
        <f>IF(AND('Grille de saisie'!C12=1,'Grille de saisie'!BZ12=0),1,IF(AND('Grille de saisie'!C12=1,'Grille de saisie'!BZ12=1),2,IF(AND('Grille de saisie'!C12=2,'Grille de saisie'!BZ12=0),2,IF(AND('Grille de saisie'!C12=3,'Grille de saisie'!BZ12=0),3,IF(AND('Grille de saisie'!C12=2,'Grille de saisie'!BZ12=1),3,IF(AND('Grille de saisie'!C12=1,'Grille de saisie'!BZ12=2),3,IF(AND('Grille de saisie'!C12="",'Grille de saisie'!BZ12=""),5,IF(AND('Grille de saisie'!C12=5),5,4))))))))</f>
        <v>5</v>
      </c>
      <c r="CQ12" s="237">
        <f>IF('Grille de saisie'!BZ12="",3,IF('Grille de saisie'!C12=5,3,IF('Grille de saisie'!BZ12=0,1,2)))</f>
        <v>3</v>
      </c>
    </row>
    <row r="13" spans="1:95" ht="15">
      <c r="A13" s="512">
        <v>11</v>
      </c>
      <c r="B13" s="328"/>
      <c r="C13" s="514"/>
      <c r="D13" s="332"/>
      <c r="E13" s="518"/>
      <c r="F13" s="334"/>
      <c r="G13" s="518"/>
      <c r="H13" s="332"/>
      <c r="I13" s="518"/>
      <c r="J13" s="334"/>
      <c r="K13" s="518"/>
      <c r="L13" s="334"/>
      <c r="M13" s="518"/>
      <c r="N13" s="334"/>
      <c r="O13" s="518"/>
      <c r="P13" s="334"/>
      <c r="Q13" s="518"/>
      <c r="R13" s="334"/>
      <c r="S13" s="518"/>
      <c r="T13" s="334"/>
      <c r="U13" s="518"/>
      <c r="V13" s="334"/>
      <c r="W13" s="333"/>
      <c r="X13" s="334"/>
      <c r="Y13" s="333"/>
      <c r="Z13" s="334"/>
      <c r="AA13" s="525"/>
      <c r="AB13" s="525"/>
      <c r="AC13" s="526"/>
      <c r="AD13" s="526"/>
      <c r="AE13" s="526"/>
      <c r="AF13" s="526"/>
      <c r="AG13" s="526"/>
      <c r="AH13" s="526"/>
      <c r="AI13" s="526"/>
      <c r="AJ13" s="331"/>
      <c r="AK13" s="342"/>
      <c r="AL13" s="334"/>
      <c r="AM13" s="342"/>
      <c r="AN13" s="334"/>
      <c r="AO13" s="333"/>
      <c r="AP13" s="334"/>
      <c r="AQ13" s="333"/>
      <c r="AR13" s="334"/>
      <c r="AS13" s="333"/>
      <c r="AT13" s="525"/>
      <c r="AU13" s="525"/>
      <c r="AV13" s="333"/>
      <c r="AW13" s="525"/>
      <c r="AX13" s="333"/>
      <c r="AY13" s="525"/>
      <c r="AZ13" s="333"/>
      <c r="BA13" s="334"/>
      <c r="BB13" s="333"/>
      <c r="BC13" s="334"/>
      <c r="BD13" s="333"/>
      <c r="BE13" s="526"/>
      <c r="BF13" s="526"/>
      <c r="BG13" s="531"/>
      <c r="BH13" s="531"/>
      <c r="BI13" s="331"/>
      <c r="BJ13" s="526"/>
      <c r="BK13" s="331"/>
      <c r="BL13" s="525"/>
      <c r="BM13" s="331"/>
      <c r="BN13" s="335"/>
      <c r="BO13" s="331"/>
      <c r="BP13" s="335"/>
      <c r="BQ13" s="526"/>
      <c r="BR13" s="332"/>
      <c r="BS13" s="331"/>
      <c r="BT13" s="331"/>
      <c r="BU13" s="331"/>
      <c r="BV13" s="342"/>
      <c r="BW13" s="526"/>
      <c r="BX13" s="514"/>
      <c r="BY13" s="331"/>
      <c r="BZ13" s="526"/>
      <c r="CA13" s="331"/>
      <c r="CB13" s="535"/>
      <c r="CC13" s="331"/>
      <c r="CD13" s="342"/>
      <c r="CE13" s="335"/>
      <c r="CF13" s="531"/>
      <c r="CG13" s="331"/>
      <c r="CH13" s="342"/>
      <c r="CI13" s="332"/>
      <c r="CJ13" s="531"/>
      <c r="CK13" s="331"/>
      <c r="CL13" s="244">
        <v>1</v>
      </c>
      <c r="CM13" s="274">
        <f t="shared" si="0"/>
        <v>2015</v>
      </c>
      <c r="CN13" s="244">
        <f>IF('Grille de saisie'!CM13&lt;18,0,IF('Grille de saisie'!CM13&lt;40,1,IF('Grille de saisie'!CM13&lt;65,2,IF('Grille de saisie'!CM13&lt;100,3,4))))</f>
        <v>4</v>
      </c>
      <c r="CO13" s="236">
        <f>IF(AND('Grille de saisie'!C13=1,'Grille de saisie'!BZ13=0),1,IF(AND('Grille de saisie'!C13="",'Grille de saisie'!BZ13=""),3,IF(AND('Grille de saisie'!C13=5),3,2)))</f>
        <v>3</v>
      </c>
      <c r="CP13" s="236">
        <f>IF(AND('Grille de saisie'!C13=1,'Grille de saisie'!BZ13=0),1,IF(AND('Grille de saisie'!C13=1,'Grille de saisie'!BZ13=1),2,IF(AND('Grille de saisie'!C13=2,'Grille de saisie'!BZ13=0),2,IF(AND('Grille de saisie'!C13=3,'Grille de saisie'!BZ13=0),3,IF(AND('Grille de saisie'!C13=2,'Grille de saisie'!BZ13=1),3,IF(AND('Grille de saisie'!C13=1,'Grille de saisie'!BZ13=2),3,IF(AND('Grille de saisie'!C13="",'Grille de saisie'!BZ13=""),5,IF(AND('Grille de saisie'!C13=5),5,4))))))))</f>
        <v>5</v>
      </c>
      <c r="CQ13" s="237">
        <f>IF('Grille de saisie'!BZ13="",3,IF('Grille de saisie'!C13=5,3,IF('Grille de saisie'!BZ13=0,1,2)))</f>
        <v>3</v>
      </c>
    </row>
    <row r="14" spans="1:95" ht="15">
      <c r="A14" s="512">
        <v>12</v>
      </c>
      <c r="B14" s="329"/>
      <c r="C14" s="515"/>
      <c r="D14" s="337"/>
      <c r="E14" s="515"/>
      <c r="F14" s="338"/>
      <c r="G14" s="515"/>
      <c r="H14" s="337"/>
      <c r="I14" s="515"/>
      <c r="J14" s="338"/>
      <c r="K14" s="515"/>
      <c r="L14" s="338"/>
      <c r="M14" s="515"/>
      <c r="N14" s="338"/>
      <c r="O14" s="515"/>
      <c r="P14" s="338"/>
      <c r="Q14" s="515"/>
      <c r="R14" s="338"/>
      <c r="S14" s="515"/>
      <c r="T14" s="338"/>
      <c r="U14" s="515"/>
      <c r="V14" s="338"/>
      <c r="W14" s="336"/>
      <c r="X14" s="338"/>
      <c r="Y14" s="336"/>
      <c r="Z14" s="338"/>
      <c r="AA14" s="527"/>
      <c r="AB14" s="527"/>
      <c r="AC14" s="527"/>
      <c r="AD14" s="527"/>
      <c r="AE14" s="527"/>
      <c r="AF14" s="527"/>
      <c r="AG14" s="527"/>
      <c r="AH14" s="527"/>
      <c r="AI14" s="527"/>
      <c r="AJ14" s="336"/>
      <c r="AK14" s="343"/>
      <c r="AL14" s="338"/>
      <c r="AM14" s="343"/>
      <c r="AN14" s="338"/>
      <c r="AO14" s="336"/>
      <c r="AP14" s="338"/>
      <c r="AQ14" s="336"/>
      <c r="AR14" s="338"/>
      <c r="AS14" s="336"/>
      <c r="AT14" s="527"/>
      <c r="AU14" s="527"/>
      <c r="AV14" s="336"/>
      <c r="AW14" s="527"/>
      <c r="AX14" s="336"/>
      <c r="AY14" s="527"/>
      <c r="AZ14" s="336"/>
      <c r="BA14" s="338"/>
      <c r="BB14" s="336"/>
      <c r="BC14" s="338"/>
      <c r="BD14" s="336"/>
      <c r="BE14" s="527"/>
      <c r="BF14" s="527"/>
      <c r="BG14" s="532"/>
      <c r="BH14" s="532"/>
      <c r="BI14" s="336"/>
      <c r="BJ14" s="527"/>
      <c r="BK14" s="336"/>
      <c r="BL14" s="527"/>
      <c r="BM14" s="336"/>
      <c r="BN14" s="338"/>
      <c r="BO14" s="336"/>
      <c r="BP14" s="338"/>
      <c r="BQ14" s="527"/>
      <c r="BR14" s="337"/>
      <c r="BS14" s="336"/>
      <c r="BT14" s="336"/>
      <c r="BU14" s="336"/>
      <c r="BV14" s="343"/>
      <c r="BW14" s="527"/>
      <c r="BX14" s="515"/>
      <c r="BY14" s="336"/>
      <c r="BZ14" s="536"/>
      <c r="CA14" s="336"/>
      <c r="CB14" s="537"/>
      <c r="CC14" s="336"/>
      <c r="CD14" s="343"/>
      <c r="CE14" s="338"/>
      <c r="CF14" s="532"/>
      <c r="CG14" s="336"/>
      <c r="CH14" s="343"/>
      <c r="CI14" s="337"/>
      <c r="CJ14" s="532"/>
      <c r="CK14" s="336"/>
      <c r="CL14" s="244">
        <v>1</v>
      </c>
      <c r="CM14" s="274">
        <f t="shared" si="0"/>
        <v>2015</v>
      </c>
      <c r="CN14" s="244">
        <f>IF('Grille de saisie'!CM14&lt;18,0,IF('Grille de saisie'!CM14&lt;40,1,IF('Grille de saisie'!CM14&lt;65,2,IF('Grille de saisie'!CM14&lt;100,3,4))))</f>
        <v>4</v>
      </c>
      <c r="CO14" s="236">
        <f>IF(AND('Grille de saisie'!C14=1,'Grille de saisie'!BZ14=0),1,IF(AND('Grille de saisie'!C14="",'Grille de saisie'!BZ14=""),3,IF(AND('Grille de saisie'!C14=5),3,2)))</f>
        <v>3</v>
      </c>
      <c r="CP14" s="236">
        <f>IF(AND('Grille de saisie'!C14=1,'Grille de saisie'!BZ14=0),1,IF(AND('Grille de saisie'!C14=1,'Grille de saisie'!BZ14=1),2,IF(AND('Grille de saisie'!C14=2,'Grille de saisie'!BZ14=0),2,IF(AND('Grille de saisie'!C14=3,'Grille de saisie'!BZ14=0),3,IF(AND('Grille de saisie'!C14=2,'Grille de saisie'!BZ14=1),3,IF(AND('Grille de saisie'!C14=1,'Grille de saisie'!BZ14=2),3,IF(AND('Grille de saisie'!C14="",'Grille de saisie'!BZ14=""),5,IF(AND('Grille de saisie'!C14=5),5,4))))))))</f>
        <v>5</v>
      </c>
      <c r="CQ14" s="237">
        <f>IF('Grille de saisie'!BZ14="",3,IF('Grille de saisie'!C14=5,3,IF('Grille de saisie'!BZ14=0,1,2)))</f>
        <v>3</v>
      </c>
    </row>
    <row r="15" spans="1:95" ht="15">
      <c r="A15" s="512">
        <v>13</v>
      </c>
      <c r="B15" s="329"/>
      <c r="C15" s="515"/>
      <c r="D15" s="337"/>
      <c r="E15" s="515"/>
      <c r="F15" s="338"/>
      <c r="G15" s="515"/>
      <c r="H15" s="337"/>
      <c r="I15" s="515"/>
      <c r="J15" s="338"/>
      <c r="K15" s="515"/>
      <c r="L15" s="338"/>
      <c r="M15" s="515"/>
      <c r="N15" s="338"/>
      <c r="O15" s="515"/>
      <c r="P15" s="338"/>
      <c r="Q15" s="515"/>
      <c r="R15" s="338"/>
      <c r="S15" s="515"/>
      <c r="T15" s="338"/>
      <c r="U15" s="515"/>
      <c r="V15" s="338"/>
      <c r="W15" s="336"/>
      <c r="X15" s="338"/>
      <c r="Y15" s="336"/>
      <c r="Z15" s="338"/>
      <c r="AA15" s="527"/>
      <c r="AB15" s="527"/>
      <c r="AC15" s="527"/>
      <c r="AD15" s="527"/>
      <c r="AE15" s="527"/>
      <c r="AF15" s="527"/>
      <c r="AG15" s="527"/>
      <c r="AH15" s="527"/>
      <c r="AI15" s="527"/>
      <c r="AJ15" s="336"/>
      <c r="AK15" s="343"/>
      <c r="AL15" s="338"/>
      <c r="AM15" s="343"/>
      <c r="AN15" s="338"/>
      <c r="AO15" s="336"/>
      <c r="AP15" s="338"/>
      <c r="AQ15" s="336"/>
      <c r="AR15" s="338"/>
      <c r="AS15" s="336"/>
      <c r="AT15" s="527"/>
      <c r="AU15" s="527"/>
      <c r="AV15" s="336"/>
      <c r="AW15" s="527"/>
      <c r="AX15" s="336"/>
      <c r="AY15" s="527"/>
      <c r="AZ15" s="336"/>
      <c r="BA15" s="338"/>
      <c r="BB15" s="336"/>
      <c r="BC15" s="338"/>
      <c r="BD15" s="336"/>
      <c r="BE15" s="527"/>
      <c r="BF15" s="527"/>
      <c r="BG15" s="532"/>
      <c r="BH15" s="532"/>
      <c r="BI15" s="336"/>
      <c r="BJ15" s="527"/>
      <c r="BK15" s="336"/>
      <c r="BL15" s="527"/>
      <c r="BM15" s="336"/>
      <c r="BN15" s="338"/>
      <c r="BO15" s="336"/>
      <c r="BP15" s="338"/>
      <c r="BQ15" s="527"/>
      <c r="BR15" s="337"/>
      <c r="BS15" s="336"/>
      <c r="BT15" s="336"/>
      <c r="BU15" s="336"/>
      <c r="BV15" s="343"/>
      <c r="BW15" s="527"/>
      <c r="BX15" s="336"/>
      <c r="BY15" s="336"/>
      <c r="BZ15" s="527"/>
      <c r="CA15" s="336"/>
      <c r="CB15" s="537"/>
      <c r="CC15" s="336"/>
      <c r="CD15" s="343"/>
      <c r="CE15" s="338"/>
      <c r="CF15" s="532"/>
      <c r="CG15" s="336"/>
      <c r="CH15" s="343"/>
      <c r="CI15" s="337"/>
      <c r="CJ15" s="532"/>
      <c r="CK15" s="336"/>
      <c r="CL15" s="244">
        <v>1</v>
      </c>
      <c r="CM15" s="274">
        <f t="shared" si="0"/>
        <v>2015</v>
      </c>
      <c r="CN15" s="244">
        <f>IF('Grille de saisie'!CM15&lt;18,0,IF('Grille de saisie'!CM15&lt;40,1,IF('Grille de saisie'!CM15&lt;65,2,IF('Grille de saisie'!CM15&lt;100,3,4))))</f>
        <v>4</v>
      </c>
      <c r="CO15" s="236">
        <f>IF(AND('Grille de saisie'!C15=1,'Grille de saisie'!BZ15=0),1,IF(AND('Grille de saisie'!C15="",'Grille de saisie'!BZ15=""),3,IF(AND('Grille de saisie'!C15=5),3,2)))</f>
        <v>3</v>
      </c>
      <c r="CP15" s="236">
        <f>IF(AND('Grille de saisie'!C15=1,'Grille de saisie'!BZ15=0),1,IF(AND('Grille de saisie'!C15=1,'Grille de saisie'!BZ15=1),2,IF(AND('Grille de saisie'!C15=2,'Grille de saisie'!BZ15=0),2,IF(AND('Grille de saisie'!C15=3,'Grille de saisie'!BZ15=0),3,IF(AND('Grille de saisie'!C15=2,'Grille de saisie'!BZ15=1),3,IF(AND('Grille de saisie'!C15=1,'Grille de saisie'!BZ15=2),3,IF(AND('Grille de saisie'!C15="",'Grille de saisie'!BZ15=""),5,IF(AND('Grille de saisie'!C15=5),5,4))))))))</f>
        <v>5</v>
      </c>
      <c r="CQ15" s="237">
        <f>IF('Grille de saisie'!BZ15="",3,IF('Grille de saisie'!C15=5,3,IF('Grille de saisie'!BZ15=0,1,2)))</f>
        <v>3</v>
      </c>
    </row>
    <row r="16" spans="1:95" ht="15">
      <c r="A16" s="512">
        <v>14</v>
      </c>
      <c r="B16" s="329"/>
      <c r="C16" s="515"/>
      <c r="D16" s="337"/>
      <c r="E16" s="515"/>
      <c r="F16" s="338"/>
      <c r="G16" s="519"/>
      <c r="H16" s="337"/>
      <c r="I16" s="515"/>
      <c r="J16" s="338"/>
      <c r="K16" s="515"/>
      <c r="L16" s="338"/>
      <c r="M16" s="515"/>
      <c r="N16" s="338"/>
      <c r="O16" s="515"/>
      <c r="P16" s="338"/>
      <c r="Q16" s="515"/>
      <c r="R16" s="338"/>
      <c r="S16" s="515"/>
      <c r="T16" s="338"/>
      <c r="U16" s="515"/>
      <c r="V16" s="338"/>
      <c r="W16" s="336"/>
      <c r="X16" s="338"/>
      <c r="Y16" s="336"/>
      <c r="Z16" s="338"/>
      <c r="AA16" s="527"/>
      <c r="AB16" s="527"/>
      <c r="AC16" s="527"/>
      <c r="AD16" s="527"/>
      <c r="AE16" s="527"/>
      <c r="AF16" s="527"/>
      <c r="AG16" s="527"/>
      <c r="AH16" s="527"/>
      <c r="AI16" s="527"/>
      <c r="AJ16" s="336"/>
      <c r="AK16" s="343"/>
      <c r="AL16" s="338"/>
      <c r="AM16" s="343"/>
      <c r="AN16" s="338"/>
      <c r="AO16" s="336"/>
      <c r="AP16" s="338"/>
      <c r="AQ16" s="336"/>
      <c r="AR16" s="338"/>
      <c r="AS16" s="336"/>
      <c r="AT16" s="527"/>
      <c r="AU16" s="527"/>
      <c r="AV16" s="336"/>
      <c r="AW16" s="527"/>
      <c r="AX16" s="336"/>
      <c r="AY16" s="527"/>
      <c r="AZ16" s="336"/>
      <c r="BA16" s="338"/>
      <c r="BB16" s="336"/>
      <c r="BC16" s="338"/>
      <c r="BD16" s="336"/>
      <c r="BE16" s="527"/>
      <c r="BF16" s="527"/>
      <c r="BG16" s="532"/>
      <c r="BH16" s="532"/>
      <c r="BI16" s="336"/>
      <c r="BJ16" s="527"/>
      <c r="BK16" s="336"/>
      <c r="BL16" s="527"/>
      <c r="BM16" s="336"/>
      <c r="BN16" s="338"/>
      <c r="BO16" s="336"/>
      <c r="BP16" s="338"/>
      <c r="BQ16" s="527"/>
      <c r="BR16" s="337"/>
      <c r="BS16" s="336"/>
      <c r="BT16" s="336"/>
      <c r="BU16" s="336"/>
      <c r="BV16" s="343"/>
      <c r="BW16" s="527"/>
      <c r="BX16" s="336"/>
      <c r="BY16" s="336"/>
      <c r="BZ16" s="527"/>
      <c r="CA16" s="336"/>
      <c r="CB16" s="537"/>
      <c r="CC16" s="336"/>
      <c r="CD16" s="343"/>
      <c r="CE16" s="338"/>
      <c r="CF16" s="532"/>
      <c r="CG16" s="336"/>
      <c r="CH16" s="343"/>
      <c r="CI16" s="337"/>
      <c r="CJ16" s="532"/>
      <c r="CK16" s="336"/>
      <c r="CL16" s="244">
        <v>1</v>
      </c>
      <c r="CM16" s="274">
        <f t="shared" si="0"/>
        <v>2015</v>
      </c>
      <c r="CN16" s="244">
        <f>IF('Grille de saisie'!CM16&lt;18,0,IF('Grille de saisie'!CM16&lt;40,1,IF('Grille de saisie'!CM16&lt;65,2,IF('Grille de saisie'!CM16&lt;100,3,4))))</f>
        <v>4</v>
      </c>
      <c r="CO16" s="236">
        <f>IF(AND('Grille de saisie'!C16=1,'Grille de saisie'!BZ16=0),1,IF(AND('Grille de saisie'!C16="",'Grille de saisie'!BZ16=""),3,IF(AND('Grille de saisie'!C16=5),3,2)))</f>
        <v>3</v>
      </c>
      <c r="CP16" s="236">
        <f>IF(AND('Grille de saisie'!C16=1,'Grille de saisie'!BZ16=0),1,IF(AND('Grille de saisie'!C16=1,'Grille de saisie'!BZ16=1),2,IF(AND('Grille de saisie'!C16=2,'Grille de saisie'!BZ16=0),2,IF(AND('Grille de saisie'!C16=3,'Grille de saisie'!BZ16=0),3,IF(AND('Grille de saisie'!C16=2,'Grille de saisie'!BZ16=1),3,IF(AND('Grille de saisie'!C16=1,'Grille de saisie'!BZ16=2),3,IF(AND('Grille de saisie'!C16="",'Grille de saisie'!BZ16=""),5,IF(AND('Grille de saisie'!C16=5),5,4))))))))</f>
        <v>5</v>
      </c>
      <c r="CQ16" s="237">
        <f>IF('Grille de saisie'!BZ16="",3,IF('Grille de saisie'!C16=5,3,IF('Grille de saisie'!BZ16=0,1,2)))</f>
        <v>3</v>
      </c>
    </row>
    <row r="17" spans="1:95" ht="15">
      <c r="A17" s="512">
        <v>15</v>
      </c>
      <c r="B17" s="330"/>
      <c r="C17" s="516"/>
      <c r="D17" s="340"/>
      <c r="E17" s="516"/>
      <c r="F17" s="341"/>
      <c r="G17" s="516"/>
      <c r="H17" s="340"/>
      <c r="I17" s="516"/>
      <c r="J17" s="341"/>
      <c r="K17" s="516"/>
      <c r="L17" s="341"/>
      <c r="M17" s="516"/>
      <c r="N17" s="341"/>
      <c r="O17" s="516"/>
      <c r="P17" s="341"/>
      <c r="Q17" s="516"/>
      <c r="R17" s="341"/>
      <c r="S17" s="516"/>
      <c r="T17" s="341"/>
      <c r="U17" s="516"/>
      <c r="V17" s="341"/>
      <c r="W17" s="339"/>
      <c r="X17" s="341"/>
      <c r="Y17" s="339"/>
      <c r="Z17" s="341"/>
      <c r="AA17" s="528"/>
      <c r="AB17" s="528"/>
      <c r="AC17" s="527"/>
      <c r="AD17" s="528"/>
      <c r="AE17" s="528"/>
      <c r="AF17" s="528"/>
      <c r="AG17" s="528"/>
      <c r="AH17" s="528"/>
      <c r="AI17" s="528"/>
      <c r="AJ17" s="336"/>
      <c r="AK17" s="343"/>
      <c r="AL17" s="341"/>
      <c r="AM17" s="344"/>
      <c r="AN17" s="341"/>
      <c r="AO17" s="339"/>
      <c r="AP17" s="341"/>
      <c r="AQ17" s="339"/>
      <c r="AR17" s="341"/>
      <c r="AS17" s="339"/>
      <c r="AT17" s="528"/>
      <c r="AU17" s="528"/>
      <c r="AV17" s="339"/>
      <c r="AW17" s="528"/>
      <c r="AX17" s="339"/>
      <c r="AY17" s="528"/>
      <c r="AZ17" s="339"/>
      <c r="BA17" s="341"/>
      <c r="BB17" s="339"/>
      <c r="BC17" s="341"/>
      <c r="BD17" s="339"/>
      <c r="BE17" s="528"/>
      <c r="BF17" s="528"/>
      <c r="BG17" s="533"/>
      <c r="BH17" s="533"/>
      <c r="BI17" s="339"/>
      <c r="BJ17" s="528"/>
      <c r="BK17" s="339"/>
      <c r="BL17" s="528"/>
      <c r="BM17" s="339"/>
      <c r="BN17" s="341"/>
      <c r="BO17" s="339"/>
      <c r="BP17" s="341"/>
      <c r="BQ17" s="528"/>
      <c r="BR17" s="340"/>
      <c r="BS17" s="339"/>
      <c r="BT17" s="339"/>
      <c r="BU17" s="339"/>
      <c r="BV17" s="344"/>
      <c r="BW17" s="528"/>
      <c r="BX17" s="339"/>
      <c r="BY17" s="339"/>
      <c r="BZ17" s="528"/>
      <c r="CA17" s="339"/>
      <c r="CB17" s="538"/>
      <c r="CC17" s="339"/>
      <c r="CD17" s="344"/>
      <c r="CE17" s="341"/>
      <c r="CF17" s="533"/>
      <c r="CG17" s="339"/>
      <c r="CH17" s="344"/>
      <c r="CI17" s="340"/>
      <c r="CJ17" s="533"/>
      <c r="CK17" s="339"/>
      <c r="CL17" s="244">
        <v>1</v>
      </c>
      <c r="CM17" s="274">
        <f t="shared" si="0"/>
        <v>2015</v>
      </c>
      <c r="CN17" s="244">
        <f>IF('Grille de saisie'!CM17&lt;18,0,IF('Grille de saisie'!CM17&lt;40,1,IF('Grille de saisie'!CM17&lt;65,2,IF('Grille de saisie'!CM17&lt;100,3,4))))</f>
        <v>4</v>
      </c>
      <c r="CO17" s="236">
        <f>IF(AND('Grille de saisie'!C17=1,'Grille de saisie'!BZ17=0),1,IF(AND('Grille de saisie'!C17="",'Grille de saisie'!BZ17=""),3,IF(AND('Grille de saisie'!C17=5),3,2)))</f>
        <v>3</v>
      </c>
      <c r="CP17" s="236">
        <f>IF(AND('Grille de saisie'!C17=1,'Grille de saisie'!BZ17=0),1,IF(AND('Grille de saisie'!C17=1,'Grille de saisie'!BZ17=1),2,IF(AND('Grille de saisie'!C17=2,'Grille de saisie'!BZ17=0),2,IF(AND('Grille de saisie'!C17=3,'Grille de saisie'!BZ17=0),3,IF(AND('Grille de saisie'!C17=2,'Grille de saisie'!BZ17=1),3,IF(AND('Grille de saisie'!C17=1,'Grille de saisie'!BZ17=2),3,IF(AND('Grille de saisie'!C17="",'Grille de saisie'!BZ17=""),5,IF(AND('Grille de saisie'!C17=5),5,4))))))))</f>
        <v>5</v>
      </c>
      <c r="CQ17" s="237">
        <f>IF('Grille de saisie'!BZ17="",3,IF('Grille de saisie'!C17=5,3,IF('Grille de saisie'!BZ17=0,1,2)))</f>
        <v>3</v>
      </c>
    </row>
    <row r="18" spans="1:95" ht="15">
      <c r="A18" s="512">
        <v>16</v>
      </c>
      <c r="B18" s="240"/>
      <c r="C18" s="513"/>
      <c r="D18" s="240"/>
      <c r="E18" s="517"/>
      <c r="F18" s="265"/>
      <c r="G18" s="513"/>
      <c r="H18" s="265"/>
      <c r="I18" s="520"/>
      <c r="J18" s="241"/>
      <c r="K18" s="520"/>
      <c r="L18" s="241"/>
      <c r="M18" s="521"/>
      <c r="N18" s="241"/>
      <c r="O18" s="521"/>
      <c r="P18" s="241"/>
      <c r="Q18" s="520"/>
      <c r="R18" s="241"/>
      <c r="S18" s="520"/>
      <c r="T18" s="241"/>
      <c r="U18" s="520"/>
      <c r="V18" s="241"/>
      <c r="W18" s="256"/>
      <c r="X18" s="241"/>
      <c r="Y18" s="242"/>
      <c r="Z18" s="241"/>
      <c r="AA18" s="241"/>
      <c r="AB18" s="275"/>
      <c r="AC18" s="524"/>
      <c r="AD18" s="241"/>
      <c r="AE18" s="241"/>
      <c r="AF18" s="241"/>
      <c r="AG18" s="241"/>
      <c r="AH18" s="241"/>
      <c r="AI18" s="241"/>
      <c r="AJ18" s="529"/>
      <c r="AK18" s="258"/>
      <c r="AL18" s="241"/>
      <c r="AM18" s="242"/>
      <c r="AN18" s="241"/>
      <c r="AO18" s="242"/>
      <c r="AP18" s="241"/>
      <c r="AQ18" s="242"/>
      <c r="AR18" s="241"/>
      <c r="AS18" s="256"/>
      <c r="AT18" s="241"/>
      <c r="AU18" s="241"/>
      <c r="AV18" s="256"/>
      <c r="AW18" s="530"/>
      <c r="AX18" s="256"/>
      <c r="AY18" s="241"/>
      <c r="AZ18" s="256"/>
      <c r="BA18" s="239"/>
      <c r="BB18" s="242"/>
      <c r="BC18" s="239"/>
      <c r="BD18" s="242"/>
      <c r="BE18" s="239"/>
      <c r="BF18" s="241"/>
      <c r="BG18" s="239"/>
      <c r="BH18" s="241"/>
      <c r="BI18" s="260"/>
      <c r="BJ18" s="241"/>
      <c r="BK18" s="260"/>
      <c r="BL18" s="239"/>
      <c r="BM18" s="256"/>
      <c r="BN18" s="241"/>
      <c r="BO18" s="243"/>
      <c r="BP18" s="241"/>
      <c r="BQ18" s="239"/>
      <c r="BR18" s="276"/>
      <c r="BS18" s="256"/>
      <c r="BT18" s="260"/>
      <c r="BU18" s="261"/>
      <c r="BV18" s="260"/>
      <c r="BW18" s="239"/>
      <c r="BX18" s="260"/>
      <c r="BY18" s="260"/>
      <c r="BZ18" s="239"/>
      <c r="CA18" s="260"/>
      <c r="CB18" s="239"/>
      <c r="CC18" s="260"/>
      <c r="CD18" s="539"/>
      <c r="CE18" s="239"/>
      <c r="CF18" s="276"/>
      <c r="CG18" s="256"/>
      <c r="CH18" s="259"/>
      <c r="CI18" s="347"/>
      <c r="CJ18" s="540"/>
      <c r="CK18" s="256"/>
      <c r="CL18" s="244">
        <v>1</v>
      </c>
      <c r="CM18" s="274">
        <f t="shared" si="0"/>
        <v>2015</v>
      </c>
      <c r="CN18" s="244">
        <f>IF('Grille de saisie'!CM18&lt;18,0,IF('Grille de saisie'!CM18&lt;40,1,IF('Grille de saisie'!CM18&lt;65,2,IF('Grille de saisie'!CM18&lt;100,3,4))))</f>
        <v>4</v>
      </c>
      <c r="CO18" s="236">
        <f>IF(AND('Grille de saisie'!C18=1,'Grille de saisie'!BZ18=0),1,IF(AND('Grille de saisie'!C18="",'Grille de saisie'!BZ18=""),3,IF(AND('Grille de saisie'!C18=5),3,2)))</f>
        <v>3</v>
      </c>
      <c r="CP18" s="236">
        <f>IF(AND('Grille de saisie'!C18=1,'Grille de saisie'!BZ18=0),1,IF(AND('Grille de saisie'!C18=1,'Grille de saisie'!BZ18=1),2,IF(AND('Grille de saisie'!C18=2,'Grille de saisie'!BZ18=0),2,IF(AND('Grille de saisie'!C18=3,'Grille de saisie'!BZ18=0),3,IF(AND('Grille de saisie'!C18=2,'Grille de saisie'!BZ18=1),3,IF(AND('Grille de saisie'!C18=1,'Grille de saisie'!BZ18=2),3,IF(AND('Grille de saisie'!C18="",'Grille de saisie'!BZ18=""),5,IF(AND('Grille de saisie'!C18=5),5,4))))))))</f>
        <v>5</v>
      </c>
      <c r="CQ18" s="237">
        <f>IF('Grille de saisie'!BZ18="",3,IF('Grille de saisie'!C18=5,3,IF('Grille de saisie'!BZ18=0,1,2)))</f>
        <v>3</v>
      </c>
    </row>
    <row r="19" spans="1:95" ht="15">
      <c r="A19" s="510">
        <v>17</v>
      </c>
      <c r="B19" s="240"/>
      <c r="C19" s="513"/>
      <c r="D19" s="240"/>
      <c r="E19" s="517"/>
      <c r="F19" s="265"/>
      <c r="G19" s="513"/>
      <c r="H19" s="265"/>
      <c r="I19" s="520"/>
      <c r="J19" s="241"/>
      <c r="K19" s="520"/>
      <c r="L19" s="241"/>
      <c r="M19" s="521"/>
      <c r="N19" s="241"/>
      <c r="O19" s="521"/>
      <c r="P19" s="241"/>
      <c r="Q19" s="520"/>
      <c r="R19" s="241"/>
      <c r="S19" s="520"/>
      <c r="T19" s="241"/>
      <c r="U19" s="520"/>
      <c r="V19" s="241"/>
      <c r="W19" s="242"/>
      <c r="X19" s="241"/>
      <c r="Y19" s="242"/>
      <c r="Z19" s="241"/>
      <c r="AA19" s="241"/>
      <c r="AB19" s="275"/>
      <c r="AC19" s="524"/>
      <c r="AD19" s="241"/>
      <c r="AE19" s="241"/>
      <c r="AF19" s="241"/>
      <c r="AG19" s="241"/>
      <c r="AH19" s="241"/>
      <c r="AI19" s="241"/>
      <c r="AJ19" s="529"/>
      <c r="AK19" s="258"/>
      <c r="AL19" s="241"/>
      <c r="AM19" s="242"/>
      <c r="AN19" s="241"/>
      <c r="AO19" s="242"/>
      <c r="AP19" s="241"/>
      <c r="AQ19" s="242"/>
      <c r="AR19" s="241"/>
      <c r="AS19" s="242"/>
      <c r="AT19" s="241"/>
      <c r="AU19" s="241"/>
      <c r="AV19" s="256"/>
      <c r="AW19" s="530"/>
      <c r="AX19" s="256"/>
      <c r="AY19" s="241"/>
      <c r="AZ19" s="256"/>
      <c r="BA19" s="239"/>
      <c r="BB19" s="242"/>
      <c r="BC19" s="239"/>
      <c r="BD19" s="242"/>
      <c r="BE19" s="239"/>
      <c r="BF19" s="241"/>
      <c r="BG19" s="239"/>
      <c r="BH19" s="241"/>
      <c r="BI19" s="260"/>
      <c r="BJ19" s="241"/>
      <c r="BK19" s="260"/>
      <c r="BL19" s="239"/>
      <c r="BM19" s="256"/>
      <c r="BN19" s="241"/>
      <c r="BO19" s="243"/>
      <c r="BP19" s="241"/>
      <c r="BQ19" s="239"/>
      <c r="BR19" s="276"/>
      <c r="BS19" s="256"/>
      <c r="BT19" s="260"/>
      <c r="BU19" s="261"/>
      <c r="BV19" s="260"/>
      <c r="BW19" s="239"/>
      <c r="BX19" s="260"/>
      <c r="BY19" s="260"/>
      <c r="BZ19" s="239"/>
      <c r="CA19" s="260"/>
      <c r="CB19" s="239"/>
      <c r="CC19" s="260"/>
      <c r="CD19" s="539"/>
      <c r="CE19" s="239"/>
      <c r="CF19" s="276"/>
      <c r="CG19" s="256"/>
      <c r="CH19" s="259"/>
      <c r="CI19" s="347"/>
      <c r="CJ19" s="540"/>
      <c r="CK19" s="256"/>
      <c r="CL19" s="244">
        <v>1</v>
      </c>
      <c r="CM19" s="274">
        <f t="shared" si="0"/>
        <v>2015</v>
      </c>
      <c r="CN19" s="244">
        <f>IF('Grille de saisie'!CM19&lt;18,0,IF('Grille de saisie'!CM19&lt;40,1,IF('Grille de saisie'!CM19&lt;65,2,IF('Grille de saisie'!CM19&lt;100,3,4))))</f>
        <v>4</v>
      </c>
      <c r="CO19" s="236">
        <f>IF(AND('Grille de saisie'!C19=1,'Grille de saisie'!BZ19=0),1,IF(AND('Grille de saisie'!C19="",'Grille de saisie'!BZ19=""),3,IF(AND('Grille de saisie'!C19=5),3,2)))</f>
        <v>3</v>
      </c>
      <c r="CP19" s="236">
        <f>IF(AND('Grille de saisie'!C19=1,'Grille de saisie'!BZ19=0),1,IF(AND('Grille de saisie'!C19=1,'Grille de saisie'!BZ19=1),2,IF(AND('Grille de saisie'!C19=2,'Grille de saisie'!BZ19=0),2,IF(AND('Grille de saisie'!C19=3,'Grille de saisie'!BZ19=0),3,IF(AND('Grille de saisie'!C19=2,'Grille de saisie'!BZ19=1),3,IF(AND('Grille de saisie'!C19=1,'Grille de saisie'!BZ19=2),3,IF(AND('Grille de saisie'!C19="",'Grille de saisie'!BZ19=""),5,IF(AND('Grille de saisie'!C19=5),5,4))))))))</f>
        <v>5</v>
      </c>
      <c r="CQ19" s="237">
        <f>IF('Grille de saisie'!BZ19="",3,IF('Grille de saisie'!C19=5,3,IF('Grille de saisie'!BZ19=0,1,2)))</f>
        <v>3</v>
      </c>
    </row>
    <row r="20" spans="1:95" ht="15">
      <c r="A20" s="510">
        <v>18</v>
      </c>
      <c r="B20" s="240"/>
      <c r="C20" s="513"/>
      <c r="D20" s="240"/>
      <c r="E20" s="517"/>
      <c r="F20" s="265"/>
      <c r="G20" s="513"/>
      <c r="H20" s="265"/>
      <c r="I20" s="520"/>
      <c r="J20" s="241"/>
      <c r="K20" s="520"/>
      <c r="L20" s="241"/>
      <c r="M20" s="521"/>
      <c r="N20" s="241"/>
      <c r="O20" s="521"/>
      <c r="P20" s="241"/>
      <c r="Q20" s="520"/>
      <c r="R20" s="241"/>
      <c r="S20" s="520"/>
      <c r="T20" s="241"/>
      <c r="U20" s="520"/>
      <c r="V20" s="241"/>
      <c r="W20" s="242"/>
      <c r="X20" s="241"/>
      <c r="Y20" s="242"/>
      <c r="Z20" s="241"/>
      <c r="AA20" s="241"/>
      <c r="AB20" s="275"/>
      <c r="AC20" s="524"/>
      <c r="AD20" s="241"/>
      <c r="AE20" s="241"/>
      <c r="AF20" s="241"/>
      <c r="AG20" s="241"/>
      <c r="AH20" s="241"/>
      <c r="AI20" s="241"/>
      <c r="AJ20" s="529"/>
      <c r="AK20" s="258"/>
      <c r="AL20" s="241"/>
      <c r="AM20" s="242"/>
      <c r="AN20" s="241"/>
      <c r="AO20" s="242"/>
      <c r="AP20" s="241"/>
      <c r="AQ20" s="242"/>
      <c r="AR20" s="241"/>
      <c r="AS20" s="242"/>
      <c r="AT20" s="241"/>
      <c r="AU20" s="241"/>
      <c r="AV20" s="256"/>
      <c r="AW20" s="530"/>
      <c r="AX20" s="256"/>
      <c r="AY20" s="241"/>
      <c r="AZ20" s="256"/>
      <c r="BA20" s="239"/>
      <c r="BB20" s="242"/>
      <c r="BC20" s="239"/>
      <c r="BD20" s="242"/>
      <c r="BE20" s="239"/>
      <c r="BF20" s="241"/>
      <c r="BG20" s="239"/>
      <c r="BH20" s="241"/>
      <c r="BI20" s="260"/>
      <c r="BJ20" s="241"/>
      <c r="BK20" s="260"/>
      <c r="BL20" s="239"/>
      <c r="BM20" s="256"/>
      <c r="BN20" s="241"/>
      <c r="BO20" s="243"/>
      <c r="BP20" s="241"/>
      <c r="BQ20" s="239"/>
      <c r="BR20" s="276"/>
      <c r="BS20" s="256"/>
      <c r="BT20" s="260"/>
      <c r="BU20" s="261"/>
      <c r="BV20" s="260"/>
      <c r="BW20" s="239"/>
      <c r="BX20" s="260"/>
      <c r="BY20" s="260"/>
      <c r="BZ20" s="239"/>
      <c r="CA20" s="260"/>
      <c r="CB20" s="239"/>
      <c r="CC20" s="260"/>
      <c r="CD20" s="539"/>
      <c r="CE20" s="239"/>
      <c r="CF20" s="276"/>
      <c r="CG20" s="256"/>
      <c r="CH20" s="259"/>
      <c r="CI20" s="347"/>
      <c r="CJ20" s="540"/>
      <c r="CK20" s="256"/>
      <c r="CL20" s="244">
        <v>1</v>
      </c>
      <c r="CM20" s="274">
        <f t="shared" si="0"/>
        <v>2015</v>
      </c>
      <c r="CN20" s="244">
        <f>IF('Grille de saisie'!CM20&lt;18,0,IF('Grille de saisie'!CM20&lt;40,1,IF('Grille de saisie'!CM20&lt;65,2,IF('Grille de saisie'!CM20&lt;100,3,4))))</f>
        <v>4</v>
      </c>
      <c r="CO20" s="236">
        <f>IF(AND('Grille de saisie'!C20=1,'Grille de saisie'!BZ20=0),1,IF(AND('Grille de saisie'!C20="",'Grille de saisie'!BZ20=""),3,IF(AND('Grille de saisie'!C20=5),3,2)))</f>
        <v>3</v>
      </c>
      <c r="CP20" s="236">
        <f>IF(AND('Grille de saisie'!C20=1,'Grille de saisie'!BZ20=0),1,IF(AND('Grille de saisie'!C20=1,'Grille de saisie'!BZ20=1),2,IF(AND('Grille de saisie'!C20=2,'Grille de saisie'!BZ20=0),2,IF(AND('Grille de saisie'!C20=3,'Grille de saisie'!BZ20=0),3,IF(AND('Grille de saisie'!C20=2,'Grille de saisie'!BZ20=1),3,IF(AND('Grille de saisie'!C20=1,'Grille de saisie'!BZ20=2),3,IF(AND('Grille de saisie'!C20="",'Grille de saisie'!BZ20=""),5,IF(AND('Grille de saisie'!C20=5),5,4))))))))</f>
        <v>5</v>
      </c>
      <c r="CQ20" s="237">
        <f>IF('Grille de saisie'!BZ20="",3,IF('Grille de saisie'!C20=5,3,IF('Grille de saisie'!BZ20=0,1,2)))</f>
        <v>3</v>
      </c>
    </row>
    <row r="21" spans="1:95" ht="15">
      <c r="A21" s="511">
        <v>19</v>
      </c>
      <c r="B21" s="240"/>
      <c r="C21" s="513"/>
      <c r="D21" s="240"/>
      <c r="E21" s="517"/>
      <c r="F21" s="265"/>
      <c r="G21" s="513"/>
      <c r="H21" s="265"/>
      <c r="I21" s="520"/>
      <c r="J21" s="241"/>
      <c r="K21" s="520"/>
      <c r="L21" s="241"/>
      <c r="M21" s="521"/>
      <c r="N21" s="241"/>
      <c r="O21" s="521"/>
      <c r="P21" s="241"/>
      <c r="Q21" s="520"/>
      <c r="R21" s="241"/>
      <c r="S21" s="520"/>
      <c r="T21" s="241"/>
      <c r="U21" s="520"/>
      <c r="V21" s="241"/>
      <c r="W21" s="242"/>
      <c r="X21" s="241"/>
      <c r="Y21" s="242"/>
      <c r="Z21" s="241"/>
      <c r="AA21" s="241"/>
      <c r="AB21" s="275"/>
      <c r="AC21" s="524"/>
      <c r="AD21" s="241"/>
      <c r="AE21" s="241"/>
      <c r="AF21" s="241"/>
      <c r="AG21" s="241"/>
      <c r="AH21" s="241"/>
      <c r="AI21" s="241"/>
      <c r="AJ21" s="529"/>
      <c r="AK21" s="258"/>
      <c r="AL21" s="241"/>
      <c r="AM21" s="242"/>
      <c r="AN21" s="241"/>
      <c r="AO21" s="242"/>
      <c r="AP21" s="241"/>
      <c r="AQ21" s="242"/>
      <c r="AR21" s="241"/>
      <c r="AS21" s="242"/>
      <c r="AT21" s="241"/>
      <c r="AU21" s="241"/>
      <c r="AV21" s="256"/>
      <c r="AW21" s="530"/>
      <c r="AX21" s="256"/>
      <c r="AY21" s="241"/>
      <c r="AZ21" s="256"/>
      <c r="BA21" s="239"/>
      <c r="BB21" s="242"/>
      <c r="BC21" s="239"/>
      <c r="BD21" s="242"/>
      <c r="BE21" s="239"/>
      <c r="BF21" s="241"/>
      <c r="BG21" s="239"/>
      <c r="BH21" s="241"/>
      <c r="BI21" s="260"/>
      <c r="BJ21" s="241"/>
      <c r="BK21" s="260"/>
      <c r="BL21" s="239"/>
      <c r="BM21" s="256"/>
      <c r="BN21" s="241"/>
      <c r="BO21" s="243"/>
      <c r="BP21" s="241"/>
      <c r="BQ21" s="239"/>
      <c r="BR21" s="276"/>
      <c r="BS21" s="256"/>
      <c r="BT21" s="260"/>
      <c r="BU21" s="261"/>
      <c r="BV21" s="260"/>
      <c r="BW21" s="239"/>
      <c r="BX21" s="260"/>
      <c r="BY21" s="260"/>
      <c r="BZ21" s="239"/>
      <c r="CA21" s="260"/>
      <c r="CB21" s="239"/>
      <c r="CC21" s="260"/>
      <c r="CD21" s="539"/>
      <c r="CE21" s="239"/>
      <c r="CF21" s="276"/>
      <c r="CG21" s="256"/>
      <c r="CH21" s="259"/>
      <c r="CI21" s="347"/>
      <c r="CJ21" s="540"/>
      <c r="CK21" s="256"/>
      <c r="CL21" s="244">
        <v>1</v>
      </c>
      <c r="CM21" s="274">
        <f t="shared" si="0"/>
        <v>2015</v>
      </c>
      <c r="CN21" s="244">
        <f>IF('Grille de saisie'!CM21&lt;18,0,IF('Grille de saisie'!CM21&lt;40,1,IF('Grille de saisie'!CM21&lt;65,2,IF('Grille de saisie'!CM21&lt;100,3,4))))</f>
        <v>4</v>
      </c>
      <c r="CO21" s="236">
        <f>IF(AND('Grille de saisie'!C21=1,'Grille de saisie'!BZ21=0),1,IF(AND('Grille de saisie'!C21="",'Grille de saisie'!BZ21=""),3,IF(AND('Grille de saisie'!C21=5),3,2)))</f>
        <v>3</v>
      </c>
      <c r="CP21" s="236">
        <f>IF(AND('Grille de saisie'!C21=1,'Grille de saisie'!BZ21=0),1,IF(AND('Grille de saisie'!C21=1,'Grille de saisie'!BZ21=1),2,IF(AND('Grille de saisie'!C21=2,'Grille de saisie'!BZ21=0),2,IF(AND('Grille de saisie'!C21=3,'Grille de saisie'!BZ21=0),3,IF(AND('Grille de saisie'!C21=2,'Grille de saisie'!BZ21=1),3,IF(AND('Grille de saisie'!C21=1,'Grille de saisie'!BZ21=2),3,IF(AND('Grille de saisie'!C21="",'Grille de saisie'!BZ21=""),5,IF(AND('Grille de saisie'!C21=5),5,4))))))))</f>
        <v>5</v>
      </c>
      <c r="CQ21" s="237">
        <f>IF('Grille de saisie'!BZ21="",3,IF('Grille de saisie'!C21=5,3,IF('Grille de saisie'!BZ21=0,1,2)))</f>
        <v>3</v>
      </c>
    </row>
    <row r="22" spans="1:95" ht="15">
      <c r="A22" s="510">
        <v>20</v>
      </c>
      <c r="B22" s="240"/>
      <c r="C22" s="513"/>
      <c r="D22" s="240"/>
      <c r="E22" s="517"/>
      <c r="F22" s="265"/>
      <c r="G22" s="513"/>
      <c r="H22" s="265"/>
      <c r="I22" s="520"/>
      <c r="J22" s="241"/>
      <c r="K22" s="520"/>
      <c r="L22" s="241"/>
      <c r="M22" s="521"/>
      <c r="N22" s="241"/>
      <c r="O22" s="521"/>
      <c r="P22" s="241"/>
      <c r="Q22" s="520"/>
      <c r="R22" s="241"/>
      <c r="S22" s="520"/>
      <c r="T22" s="241"/>
      <c r="U22" s="520"/>
      <c r="V22" s="241"/>
      <c r="W22" s="242"/>
      <c r="X22" s="241"/>
      <c r="Y22" s="242"/>
      <c r="Z22" s="241"/>
      <c r="AA22" s="241"/>
      <c r="AB22" s="275"/>
      <c r="AC22" s="524"/>
      <c r="AD22" s="241"/>
      <c r="AE22" s="241"/>
      <c r="AF22" s="241"/>
      <c r="AG22" s="241"/>
      <c r="AH22" s="241"/>
      <c r="AI22" s="241"/>
      <c r="AJ22" s="529"/>
      <c r="AK22" s="258"/>
      <c r="AL22" s="241"/>
      <c r="AM22" s="242"/>
      <c r="AN22" s="241"/>
      <c r="AO22" s="242"/>
      <c r="AP22" s="241"/>
      <c r="AQ22" s="242"/>
      <c r="AR22" s="241"/>
      <c r="AS22" s="242"/>
      <c r="AT22" s="241"/>
      <c r="AU22" s="241"/>
      <c r="AV22" s="256"/>
      <c r="AW22" s="530"/>
      <c r="AX22" s="256"/>
      <c r="AY22" s="241"/>
      <c r="AZ22" s="256"/>
      <c r="BA22" s="239"/>
      <c r="BB22" s="242"/>
      <c r="BC22" s="239"/>
      <c r="BD22" s="242"/>
      <c r="BE22" s="239"/>
      <c r="BF22" s="241"/>
      <c r="BG22" s="239"/>
      <c r="BH22" s="241"/>
      <c r="BI22" s="260"/>
      <c r="BJ22" s="241"/>
      <c r="BK22" s="260"/>
      <c r="BL22" s="239"/>
      <c r="BM22" s="256"/>
      <c r="BN22" s="241"/>
      <c r="BO22" s="243"/>
      <c r="BP22" s="241"/>
      <c r="BQ22" s="239"/>
      <c r="BR22" s="276"/>
      <c r="BS22" s="256"/>
      <c r="BT22" s="260"/>
      <c r="BU22" s="261"/>
      <c r="BV22" s="260"/>
      <c r="BW22" s="239"/>
      <c r="BX22" s="260"/>
      <c r="BY22" s="260"/>
      <c r="BZ22" s="239"/>
      <c r="CA22" s="260"/>
      <c r="CB22" s="239"/>
      <c r="CC22" s="260"/>
      <c r="CD22" s="539"/>
      <c r="CE22" s="239"/>
      <c r="CF22" s="276"/>
      <c r="CG22" s="256"/>
      <c r="CH22" s="259"/>
      <c r="CI22" s="347"/>
      <c r="CJ22" s="540"/>
      <c r="CK22" s="256"/>
      <c r="CL22" s="244">
        <v>1</v>
      </c>
      <c r="CM22" s="274">
        <f t="shared" si="0"/>
        <v>2015</v>
      </c>
      <c r="CN22" s="244">
        <f>IF('Grille de saisie'!CM22&lt;18,0,IF('Grille de saisie'!CM22&lt;40,1,IF('Grille de saisie'!CM22&lt;65,2,IF('Grille de saisie'!CM22&lt;100,3,4))))</f>
        <v>4</v>
      </c>
      <c r="CO22" s="236">
        <f>IF(AND('Grille de saisie'!C22=1,'Grille de saisie'!BZ22=0),1,IF(AND('Grille de saisie'!C22="",'Grille de saisie'!BZ22=""),3,IF(AND('Grille de saisie'!C22=5),3,2)))</f>
        <v>3</v>
      </c>
      <c r="CP22" s="236">
        <f>IF(AND('Grille de saisie'!C22=1,'Grille de saisie'!BZ22=0),1,IF(AND('Grille de saisie'!C22=1,'Grille de saisie'!BZ22=1),2,IF(AND('Grille de saisie'!C22=2,'Grille de saisie'!BZ22=0),2,IF(AND('Grille de saisie'!C22=3,'Grille de saisie'!BZ22=0),3,IF(AND('Grille de saisie'!C22=2,'Grille de saisie'!BZ22=1),3,IF(AND('Grille de saisie'!C22=1,'Grille de saisie'!BZ22=2),3,IF(AND('Grille de saisie'!C22="",'Grille de saisie'!BZ22=""),5,IF(AND('Grille de saisie'!C22=5),5,4))))))))</f>
        <v>5</v>
      </c>
      <c r="CQ22" s="237">
        <f>IF('Grille de saisie'!BZ22="",3,IF('Grille de saisie'!C22=5,3,IF('Grille de saisie'!BZ22=0,1,2)))</f>
        <v>3</v>
      </c>
    </row>
    <row r="23" spans="1:95" ht="15">
      <c r="A23" s="510">
        <v>21</v>
      </c>
      <c r="B23" s="240"/>
      <c r="C23" s="513"/>
      <c r="D23" s="240"/>
      <c r="E23" s="517"/>
      <c r="F23" s="265"/>
      <c r="G23" s="513"/>
      <c r="H23" s="265"/>
      <c r="I23" s="520"/>
      <c r="J23" s="241"/>
      <c r="K23" s="520"/>
      <c r="L23" s="241"/>
      <c r="M23" s="521"/>
      <c r="N23" s="241"/>
      <c r="O23" s="521"/>
      <c r="P23" s="241"/>
      <c r="Q23" s="520"/>
      <c r="R23" s="241"/>
      <c r="S23" s="520"/>
      <c r="T23" s="241"/>
      <c r="U23" s="520"/>
      <c r="V23" s="241"/>
      <c r="W23" s="242"/>
      <c r="X23" s="241"/>
      <c r="Y23" s="242"/>
      <c r="Z23" s="241"/>
      <c r="AA23" s="241"/>
      <c r="AB23" s="275"/>
      <c r="AC23" s="524"/>
      <c r="AD23" s="241"/>
      <c r="AE23" s="241"/>
      <c r="AF23" s="241"/>
      <c r="AG23" s="241"/>
      <c r="AH23" s="241"/>
      <c r="AI23" s="241"/>
      <c r="AJ23" s="529"/>
      <c r="AK23" s="258"/>
      <c r="AL23" s="241"/>
      <c r="AM23" s="242"/>
      <c r="AN23" s="241"/>
      <c r="AO23" s="242"/>
      <c r="AP23" s="241"/>
      <c r="AQ23" s="242"/>
      <c r="AR23" s="241"/>
      <c r="AS23" s="242"/>
      <c r="AT23" s="241"/>
      <c r="AU23" s="241"/>
      <c r="AV23" s="256"/>
      <c r="AW23" s="530"/>
      <c r="AX23" s="256"/>
      <c r="AY23" s="241"/>
      <c r="AZ23" s="256"/>
      <c r="BA23" s="239"/>
      <c r="BB23" s="242"/>
      <c r="BC23" s="239"/>
      <c r="BD23" s="242"/>
      <c r="BE23" s="239"/>
      <c r="BF23" s="241"/>
      <c r="BG23" s="239"/>
      <c r="BH23" s="241"/>
      <c r="BI23" s="260"/>
      <c r="BJ23" s="241"/>
      <c r="BK23" s="260"/>
      <c r="BL23" s="239"/>
      <c r="BM23" s="256"/>
      <c r="BN23" s="241"/>
      <c r="BO23" s="243"/>
      <c r="BP23" s="241"/>
      <c r="BQ23" s="239"/>
      <c r="BR23" s="276"/>
      <c r="BS23" s="256"/>
      <c r="BT23" s="260"/>
      <c r="BU23" s="261"/>
      <c r="BV23" s="260"/>
      <c r="BW23" s="239"/>
      <c r="BX23" s="260"/>
      <c r="BY23" s="260"/>
      <c r="BZ23" s="239"/>
      <c r="CA23" s="260"/>
      <c r="CB23" s="239"/>
      <c r="CC23" s="260"/>
      <c r="CD23" s="539"/>
      <c r="CE23" s="239"/>
      <c r="CF23" s="276"/>
      <c r="CG23" s="256"/>
      <c r="CH23" s="259"/>
      <c r="CI23" s="347"/>
      <c r="CJ23" s="540"/>
      <c r="CK23" s="256"/>
      <c r="CL23" s="244">
        <v>1</v>
      </c>
      <c r="CM23" s="274">
        <f t="shared" si="0"/>
        <v>2015</v>
      </c>
      <c r="CN23" s="244">
        <f>IF('Grille de saisie'!CM23&lt;18,0,IF('Grille de saisie'!CM23&lt;40,1,IF('Grille de saisie'!CM23&lt;65,2,IF('Grille de saisie'!CM23&lt;100,3,4))))</f>
        <v>4</v>
      </c>
      <c r="CO23" s="236">
        <f>IF(AND('Grille de saisie'!C23=1,'Grille de saisie'!BZ23=0),1,IF(AND('Grille de saisie'!C23="",'Grille de saisie'!BZ23=""),3,IF(AND('Grille de saisie'!C23=5),3,2)))</f>
        <v>3</v>
      </c>
      <c r="CP23" s="236">
        <f>IF(AND('Grille de saisie'!C23=1,'Grille de saisie'!BZ23=0),1,IF(AND('Grille de saisie'!C23=1,'Grille de saisie'!BZ23=1),2,IF(AND('Grille de saisie'!C23=2,'Grille de saisie'!BZ23=0),2,IF(AND('Grille de saisie'!C23=3,'Grille de saisie'!BZ23=0),3,IF(AND('Grille de saisie'!C23=2,'Grille de saisie'!BZ23=1),3,IF(AND('Grille de saisie'!C23=1,'Grille de saisie'!BZ23=2),3,IF(AND('Grille de saisie'!C23="",'Grille de saisie'!BZ23=""),5,IF(AND('Grille de saisie'!C23=5),5,4))))))))</f>
        <v>5</v>
      </c>
      <c r="CQ23" s="237">
        <f>IF('Grille de saisie'!BZ23="",3,IF('Grille de saisie'!C23=5,3,IF('Grille de saisie'!BZ23=0,1,2)))</f>
        <v>3</v>
      </c>
    </row>
    <row r="24" spans="1:95" ht="15">
      <c r="A24" s="511">
        <v>22</v>
      </c>
      <c r="B24" s="240"/>
      <c r="C24" s="513"/>
      <c r="D24" s="240"/>
      <c r="E24" s="517"/>
      <c r="F24" s="265"/>
      <c r="G24" s="513"/>
      <c r="H24" s="265"/>
      <c r="I24" s="520"/>
      <c r="J24" s="241"/>
      <c r="K24" s="520"/>
      <c r="L24" s="241"/>
      <c r="M24" s="521"/>
      <c r="N24" s="241"/>
      <c r="O24" s="521"/>
      <c r="P24" s="241"/>
      <c r="Q24" s="520"/>
      <c r="R24" s="241"/>
      <c r="S24" s="520"/>
      <c r="T24" s="241"/>
      <c r="U24" s="520"/>
      <c r="V24" s="241"/>
      <c r="W24" s="242"/>
      <c r="X24" s="241"/>
      <c r="Y24" s="242"/>
      <c r="Z24" s="241"/>
      <c r="AA24" s="241"/>
      <c r="AB24" s="275"/>
      <c r="AC24" s="524"/>
      <c r="AD24" s="241"/>
      <c r="AE24" s="241"/>
      <c r="AF24" s="241"/>
      <c r="AG24" s="241"/>
      <c r="AH24" s="241"/>
      <c r="AI24" s="241"/>
      <c r="AJ24" s="529"/>
      <c r="AK24" s="258"/>
      <c r="AL24" s="241"/>
      <c r="AM24" s="242"/>
      <c r="AN24" s="241"/>
      <c r="AO24" s="242"/>
      <c r="AP24" s="241"/>
      <c r="AQ24" s="242"/>
      <c r="AR24" s="241"/>
      <c r="AS24" s="242"/>
      <c r="AT24" s="241"/>
      <c r="AU24" s="241"/>
      <c r="AV24" s="256"/>
      <c r="AW24" s="241"/>
      <c r="AX24" s="256"/>
      <c r="AY24" s="241"/>
      <c r="AZ24" s="256"/>
      <c r="BA24" s="239"/>
      <c r="BB24" s="242"/>
      <c r="BC24" s="239"/>
      <c r="BD24" s="242"/>
      <c r="BE24" s="239"/>
      <c r="BF24" s="241"/>
      <c r="BG24" s="239"/>
      <c r="BH24" s="241"/>
      <c r="BI24" s="260"/>
      <c r="BJ24" s="241"/>
      <c r="BK24" s="260"/>
      <c r="BL24" s="239"/>
      <c r="BM24" s="256"/>
      <c r="BN24" s="241"/>
      <c r="BO24" s="243"/>
      <c r="BP24" s="241"/>
      <c r="BQ24" s="239"/>
      <c r="BR24" s="276"/>
      <c r="BS24" s="256"/>
      <c r="BT24" s="260"/>
      <c r="BU24" s="261"/>
      <c r="BV24" s="260"/>
      <c r="BW24" s="239"/>
      <c r="BX24" s="260"/>
      <c r="BY24" s="260"/>
      <c r="BZ24" s="239"/>
      <c r="CA24" s="260"/>
      <c r="CB24" s="239"/>
      <c r="CC24" s="260"/>
      <c r="CD24" s="539"/>
      <c r="CE24" s="239"/>
      <c r="CF24" s="276"/>
      <c r="CG24" s="256"/>
      <c r="CH24" s="259"/>
      <c r="CI24" s="347"/>
      <c r="CJ24" s="540"/>
      <c r="CK24" s="256"/>
      <c r="CL24" s="244">
        <v>1</v>
      </c>
      <c r="CM24" s="274">
        <f t="shared" si="0"/>
        <v>2015</v>
      </c>
      <c r="CN24" s="244">
        <f>IF('Grille de saisie'!CM24&lt;18,0,IF('Grille de saisie'!CM24&lt;40,1,IF('Grille de saisie'!CM24&lt;65,2,IF('Grille de saisie'!CM24&lt;100,3,4))))</f>
        <v>4</v>
      </c>
      <c r="CO24" s="236">
        <f>IF(AND('Grille de saisie'!C24=1,'Grille de saisie'!BZ24=0),1,IF(AND('Grille de saisie'!C24="",'Grille de saisie'!BZ24=""),3,IF(AND('Grille de saisie'!C24=5),3,2)))</f>
        <v>3</v>
      </c>
      <c r="CP24" s="236">
        <f>IF(AND('Grille de saisie'!C24=1,'Grille de saisie'!BZ24=0),1,IF(AND('Grille de saisie'!C24=1,'Grille de saisie'!BZ24=1),2,IF(AND('Grille de saisie'!C24=2,'Grille de saisie'!BZ24=0),2,IF(AND('Grille de saisie'!C24=3,'Grille de saisie'!BZ24=0),3,IF(AND('Grille de saisie'!C24=2,'Grille de saisie'!BZ24=1),3,IF(AND('Grille de saisie'!C24=1,'Grille de saisie'!BZ24=2),3,IF(AND('Grille de saisie'!C24="",'Grille de saisie'!BZ24=""),5,IF(AND('Grille de saisie'!C24=5),5,4))))))))</f>
        <v>5</v>
      </c>
      <c r="CQ24" s="237">
        <f>IF('Grille de saisie'!BZ24="",3,IF('Grille de saisie'!C24=5,3,IF('Grille de saisie'!BZ24=0,1,2)))</f>
        <v>3</v>
      </c>
    </row>
    <row r="25" spans="1:95" ht="15">
      <c r="A25" s="510">
        <v>23</v>
      </c>
      <c r="B25" s="240"/>
      <c r="C25" s="513"/>
      <c r="D25" s="240"/>
      <c r="E25" s="517"/>
      <c r="F25" s="265"/>
      <c r="G25" s="513"/>
      <c r="H25" s="265"/>
      <c r="I25" s="520"/>
      <c r="J25" s="241"/>
      <c r="K25" s="520"/>
      <c r="L25" s="241"/>
      <c r="M25" s="521"/>
      <c r="N25" s="241"/>
      <c r="O25" s="521"/>
      <c r="P25" s="241"/>
      <c r="Q25" s="520"/>
      <c r="R25" s="241"/>
      <c r="S25" s="520"/>
      <c r="T25" s="241"/>
      <c r="U25" s="520"/>
      <c r="V25" s="241"/>
      <c r="W25" s="242"/>
      <c r="X25" s="241"/>
      <c r="Y25" s="242"/>
      <c r="Z25" s="241"/>
      <c r="AA25" s="241"/>
      <c r="AB25" s="275"/>
      <c r="AC25" s="524"/>
      <c r="AD25" s="241"/>
      <c r="AE25" s="241"/>
      <c r="AF25" s="241"/>
      <c r="AG25" s="241"/>
      <c r="AH25" s="241"/>
      <c r="AI25" s="241"/>
      <c r="AJ25" s="529"/>
      <c r="AK25" s="258"/>
      <c r="AL25" s="241"/>
      <c r="AM25" s="242"/>
      <c r="AN25" s="241"/>
      <c r="AO25" s="242"/>
      <c r="AP25" s="241"/>
      <c r="AQ25" s="242"/>
      <c r="AR25" s="241"/>
      <c r="AS25" s="242"/>
      <c r="AT25" s="241"/>
      <c r="AU25" s="241"/>
      <c r="AV25" s="256"/>
      <c r="AW25" s="241"/>
      <c r="AX25" s="256"/>
      <c r="AY25" s="241"/>
      <c r="AZ25" s="256"/>
      <c r="BA25" s="239"/>
      <c r="BB25" s="242"/>
      <c r="BC25" s="239"/>
      <c r="BD25" s="242"/>
      <c r="BE25" s="239"/>
      <c r="BF25" s="241"/>
      <c r="BG25" s="239"/>
      <c r="BH25" s="241"/>
      <c r="BI25" s="260"/>
      <c r="BJ25" s="241"/>
      <c r="BK25" s="260"/>
      <c r="BL25" s="239"/>
      <c r="BM25" s="256"/>
      <c r="BN25" s="241"/>
      <c r="BO25" s="243"/>
      <c r="BP25" s="241"/>
      <c r="BQ25" s="239"/>
      <c r="BR25" s="276"/>
      <c r="BS25" s="256"/>
      <c r="BT25" s="260"/>
      <c r="BU25" s="261"/>
      <c r="BV25" s="260"/>
      <c r="BW25" s="239"/>
      <c r="BX25" s="260"/>
      <c r="BY25" s="260"/>
      <c r="BZ25" s="239"/>
      <c r="CA25" s="260"/>
      <c r="CB25" s="239"/>
      <c r="CC25" s="260"/>
      <c r="CD25" s="539"/>
      <c r="CE25" s="239"/>
      <c r="CF25" s="276"/>
      <c r="CG25" s="256"/>
      <c r="CH25" s="259"/>
      <c r="CI25" s="347"/>
      <c r="CJ25" s="540"/>
      <c r="CK25" s="256"/>
      <c r="CL25" s="244">
        <v>1</v>
      </c>
      <c r="CM25" s="274">
        <f t="shared" si="0"/>
        <v>2015</v>
      </c>
      <c r="CN25" s="244">
        <f>IF('Grille de saisie'!CM25&lt;18,0,IF('Grille de saisie'!CM25&lt;40,1,IF('Grille de saisie'!CM25&lt;65,2,IF('Grille de saisie'!CM25&lt;100,3,4))))</f>
        <v>4</v>
      </c>
      <c r="CO25" s="236">
        <f>IF(AND('Grille de saisie'!C25=1,'Grille de saisie'!BZ25=0),1,IF(AND('Grille de saisie'!C25="",'Grille de saisie'!BZ25=""),3,IF(AND('Grille de saisie'!C25=5),3,2)))</f>
        <v>3</v>
      </c>
      <c r="CP25" s="236">
        <f>IF(AND('Grille de saisie'!C25=1,'Grille de saisie'!BZ25=0),1,IF(AND('Grille de saisie'!C25=1,'Grille de saisie'!BZ25=1),2,IF(AND('Grille de saisie'!C25=2,'Grille de saisie'!BZ25=0),2,IF(AND('Grille de saisie'!C25=3,'Grille de saisie'!BZ25=0),3,IF(AND('Grille de saisie'!C25=2,'Grille de saisie'!BZ25=1),3,IF(AND('Grille de saisie'!C25=1,'Grille de saisie'!BZ25=2),3,IF(AND('Grille de saisie'!C25="",'Grille de saisie'!BZ25=""),5,IF(AND('Grille de saisie'!C25=5),5,4))))))))</f>
        <v>5</v>
      </c>
      <c r="CQ25" s="237">
        <f>IF('Grille de saisie'!BZ25="",3,IF('Grille de saisie'!C25=5,3,IF('Grille de saisie'!BZ25=0,1,2)))</f>
        <v>3</v>
      </c>
    </row>
    <row r="26" spans="1:95" ht="15">
      <c r="A26" s="510">
        <v>24</v>
      </c>
      <c r="B26" s="240"/>
      <c r="C26" s="513"/>
      <c r="D26" s="240"/>
      <c r="E26" s="517"/>
      <c r="F26" s="265"/>
      <c r="G26" s="513"/>
      <c r="H26" s="265"/>
      <c r="I26" s="520"/>
      <c r="J26" s="241"/>
      <c r="K26" s="520"/>
      <c r="L26" s="241"/>
      <c r="M26" s="521"/>
      <c r="N26" s="241"/>
      <c r="O26" s="521"/>
      <c r="P26" s="241"/>
      <c r="Q26" s="520"/>
      <c r="R26" s="241"/>
      <c r="S26" s="520"/>
      <c r="T26" s="241"/>
      <c r="U26" s="520"/>
      <c r="V26" s="241"/>
      <c r="W26" s="242"/>
      <c r="X26" s="241"/>
      <c r="Y26" s="242"/>
      <c r="Z26" s="241"/>
      <c r="AA26" s="241"/>
      <c r="AB26" s="275"/>
      <c r="AC26" s="524"/>
      <c r="AD26" s="241"/>
      <c r="AE26" s="241"/>
      <c r="AF26" s="241"/>
      <c r="AG26" s="241"/>
      <c r="AH26" s="241"/>
      <c r="AI26" s="241"/>
      <c r="AJ26" s="529"/>
      <c r="AK26" s="258"/>
      <c r="AL26" s="241"/>
      <c r="AM26" s="242"/>
      <c r="AN26" s="241"/>
      <c r="AO26" s="242"/>
      <c r="AP26" s="241"/>
      <c r="AQ26" s="242"/>
      <c r="AR26" s="241"/>
      <c r="AS26" s="242"/>
      <c r="AT26" s="241"/>
      <c r="AU26" s="241"/>
      <c r="AV26" s="256"/>
      <c r="AW26" s="241"/>
      <c r="AX26" s="256"/>
      <c r="AY26" s="241"/>
      <c r="AZ26" s="256"/>
      <c r="BA26" s="239"/>
      <c r="BB26" s="242"/>
      <c r="BC26" s="239"/>
      <c r="BD26" s="242"/>
      <c r="BE26" s="239"/>
      <c r="BF26" s="241"/>
      <c r="BG26" s="239"/>
      <c r="BH26" s="241"/>
      <c r="BI26" s="260"/>
      <c r="BJ26" s="241"/>
      <c r="BK26" s="260"/>
      <c r="BL26" s="239"/>
      <c r="BM26" s="256"/>
      <c r="BN26" s="241"/>
      <c r="BO26" s="243"/>
      <c r="BP26" s="241"/>
      <c r="BQ26" s="239"/>
      <c r="BR26" s="276"/>
      <c r="BS26" s="256"/>
      <c r="BT26" s="260"/>
      <c r="BU26" s="261"/>
      <c r="BV26" s="260"/>
      <c r="BW26" s="239"/>
      <c r="BX26" s="260"/>
      <c r="BY26" s="260"/>
      <c r="BZ26" s="239"/>
      <c r="CA26" s="260"/>
      <c r="CB26" s="239"/>
      <c r="CC26" s="260"/>
      <c r="CD26" s="539"/>
      <c r="CE26" s="239"/>
      <c r="CF26" s="276"/>
      <c r="CG26" s="256"/>
      <c r="CH26" s="259"/>
      <c r="CI26" s="347"/>
      <c r="CJ26" s="540"/>
      <c r="CK26" s="256"/>
      <c r="CL26" s="244">
        <v>1</v>
      </c>
      <c r="CM26" s="274">
        <f t="shared" si="0"/>
        <v>2015</v>
      </c>
      <c r="CN26" s="244">
        <f>IF('Grille de saisie'!CM26&lt;18,0,IF('Grille de saisie'!CM26&lt;40,1,IF('Grille de saisie'!CM26&lt;65,2,IF('Grille de saisie'!CM26&lt;100,3,4))))</f>
        <v>4</v>
      </c>
      <c r="CO26" s="236">
        <f>IF(AND('Grille de saisie'!C26=1,'Grille de saisie'!BZ26=0),1,IF(AND('Grille de saisie'!C26="",'Grille de saisie'!BZ26=""),3,IF(AND('Grille de saisie'!C26=5),3,2)))</f>
        <v>3</v>
      </c>
      <c r="CP26" s="236">
        <f>IF(AND('Grille de saisie'!C26=1,'Grille de saisie'!BZ26=0),1,IF(AND('Grille de saisie'!C26=1,'Grille de saisie'!BZ26=1),2,IF(AND('Grille de saisie'!C26=2,'Grille de saisie'!BZ26=0),2,IF(AND('Grille de saisie'!C26=3,'Grille de saisie'!BZ26=0),3,IF(AND('Grille de saisie'!C26=2,'Grille de saisie'!BZ26=1),3,IF(AND('Grille de saisie'!C26=1,'Grille de saisie'!BZ26=2),3,IF(AND('Grille de saisie'!C26="",'Grille de saisie'!BZ26=""),5,IF(AND('Grille de saisie'!C26=5),5,4))))))))</f>
        <v>5</v>
      </c>
      <c r="CQ26" s="237">
        <f>IF('Grille de saisie'!BZ26="",3,IF('Grille de saisie'!C26=5,3,IF('Grille de saisie'!BZ26=0,1,2)))</f>
        <v>3</v>
      </c>
    </row>
    <row r="27" spans="1:95" ht="15">
      <c r="A27" s="511">
        <v>25</v>
      </c>
      <c r="B27" s="240"/>
      <c r="C27" s="513"/>
      <c r="D27" s="240"/>
      <c r="E27" s="517"/>
      <c r="F27" s="265"/>
      <c r="G27" s="513"/>
      <c r="H27" s="265"/>
      <c r="I27" s="520"/>
      <c r="J27" s="241"/>
      <c r="K27" s="520"/>
      <c r="L27" s="241"/>
      <c r="M27" s="521"/>
      <c r="N27" s="241"/>
      <c r="O27" s="521"/>
      <c r="P27" s="241"/>
      <c r="Q27" s="520"/>
      <c r="R27" s="241"/>
      <c r="S27" s="520"/>
      <c r="T27" s="241"/>
      <c r="U27" s="520"/>
      <c r="V27" s="241"/>
      <c r="W27" s="242"/>
      <c r="X27" s="241"/>
      <c r="Y27" s="242"/>
      <c r="Z27" s="241"/>
      <c r="AA27" s="241"/>
      <c r="AB27" s="275"/>
      <c r="AC27" s="524"/>
      <c r="AD27" s="241"/>
      <c r="AE27" s="241"/>
      <c r="AF27" s="241"/>
      <c r="AG27" s="241"/>
      <c r="AH27" s="241"/>
      <c r="AI27" s="241"/>
      <c r="AJ27" s="529"/>
      <c r="AK27" s="258"/>
      <c r="AL27" s="241"/>
      <c r="AM27" s="242"/>
      <c r="AN27" s="241"/>
      <c r="AO27" s="242"/>
      <c r="AP27" s="241"/>
      <c r="AQ27" s="242"/>
      <c r="AR27" s="241"/>
      <c r="AS27" s="242"/>
      <c r="AT27" s="241"/>
      <c r="AU27" s="241"/>
      <c r="AV27" s="256"/>
      <c r="AW27" s="241"/>
      <c r="AX27" s="256"/>
      <c r="AY27" s="241"/>
      <c r="AZ27" s="256"/>
      <c r="BA27" s="239"/>
      <c r="BB27" s="242"/>
      <c r="BC27" s="239"/>
      <c r="BD27" s="242"/>
      <c r="BE27" s="239"/>
      <c r="BF27" s="241"/>
      <c r="BG27" s="239"/>
      <c r="BH27" s="241"/>
      <c r="BI27" s="260"/>
      <c r="BJ27" s="241"/>
      <c r="BK27" s="260"/>
      <c r="BL27" s="239"/>
      <c r="BM27" s="256"/>
      <c r="BN27" s="241"/>
      <c r="BO27" s="243"/>
      <c r="BP27" s="241"/>
      <c r="BQ27" s="239"/>
      <c r="BR27" s="276"/>
      <c r="BS27" s="256"/>
      <c r="BT27" s="260"/>
      <c r="BU27" s="261"/>
      <c r="BV27" s="260"/>
      <c r="BW27" s="239"/>
      <c r="BX27" s="260"/>
      <c r="BY27" s="260"/>
      <c r="BZ27" s="239"/>
      <c r="CA27" s="260"/>
      <c r="CB27" s="239"/>
      <c r="CC27" s="260"/>
      <c r="CD27" s="539"/>
      <c r="CE27" s="239"/>
      <c r="CF27" s="276"/>
      <c r="CG27" s="256"/>
      <c r="CH27" s="259"/>
      <c r="CI27" s="347"/>
      <c r="CJ27" s="540"/>
      <c r="CK27" s="256"/>
      <c r="CL27" s="244">
        <v>1</v>
      </c>
      <c r="CM27" s="274">
        <f t="shared" si="0"/>
        <v>2015</v>
      </c>
      <c r="CN27" s="244">
        <f>IF('Grille de saisie'!CM27&lt;18,0,IF('Grille de saisie'!CM27&lt;40,1,IF('Grille de saisie'!CM27&lt;65,2,IF('Grille de saisie'!CM27&lt;100,3,4))))</f>
        <v>4</v>
      </c>
      <c r="CO27" s="236">
        <f>IF(AND('Grille de saisie'!C27=1,'Grille de saisie'!BZ27=0),1,IF(AND('Grille de saisie'!C27="",'Grille de saisie'!BZ27=""),3,IF(AND('Grille de saisie'!C27=5),3,2)))</f>
        <v>3</v>
      </c>
      <c r="CP27" s="236">
        <f>IF(AND('Grille de saisie'!C27=1,'Grille de saisie'!BZ27=0),1,IF(AND('Grille de saisie'!C27=1,'Grille de saisie'!BZ27=1),2,IF(AND('Grille de saisie'!C27=2,'Grille de saisie'!BZ27=0),2,IF(AND('Grille de saisie'!C27=3,'Grille de saisie'!BZ27=0),3,IF(AND('Grille de saisie'!C27=2,'Grille de saisie'!BZ27=1),3,IF(AND('Grille de saisie'!C27=1,'Grille de saisie'!BZ27=2),3,IF(AND('Grille de saisie'!C27="",'Grille de saisie'!BZ27=""),5,IF(AND('Grille de saisie'!C27=5),5,4))))))))</f>
        <v>5</v>
      </c>
      <c r="CQ27" s="237">
        <f>IF('Grille de saisie'!BZ27="",3,IF('Grille de saisie'!C27=5,3,IF('Grille de saisie'!BZ27=0,1,2)))</f>
        <v>3</v>
      </c>
    </row>
    <row r="28" spans="1:95" ht="15">
      <c r="A28" s="510">
        <v>26</v>
      </c>
      <c r="B28" s="240"/>
      <c r="C28" s="513"/>
      <c r="D28" s="240"/>
      <c r="E28" s="517"/>
      <c r="F28" s="265"/>
      <c r="G28" s="513"/>
      <c r="H28" s="265"/>
      <c r="I28" s="520"/>
      <c r="J28" s="241"/>
      <c r="K28" s="520"/>
      <c r="L28" s="241"/>
      <c r="M28" s="521"/>
      <c r="N28" s="241"/>
      <c r="O28" s="521"/>
      <c r="P28" s="241"/>
      <c r="Q28" s="520"/>
      <c r="R28" s="241"/>
      <c r="S28" s="520"/>
      <c r="T28" s="241"/>
      <c r="U28" s="520"/>
      <c r="V28" s="241"/>
      <c r="W28" s="242"/>
      <c r="X28" s="241"/>
      <c r="Y28" s="242"/>
      <c r="Z28" s="241"/>
      <c r="AA28" s="241"/>
      <c r="AB28" s="275"/>
      <c r="AC28" s="524"/>
      <c r="AD28" s="241"/>
      <c r="AE28" s="241"/>
      <c r="AF28" s="241"/>
      <c r="AG28" s="241"/>
      <c r="AH28" s="241"/>
      <c r="AI28" s="241"/>
      <c r="AJ28" s="529"/>
      <c r="AK28" s="258"/>
      <c r="AL28" s="241"/>
      <c r="AM28" s="242"/>
      <c r="AN28" s="241"/>
      <c r="AO28" s="242"/>
      <c r="AP28" s="241"/>
      <c r="AQ28" s="242"/>
      <c r="AR28" s="241"/>
      <c r="AS28" s="242"/>
      <c r="AT28" s="241"/>
      <c r="AU28" s="241"/>
      <c r="AV28" s="256"/>
      <c r="AW28" s="241"/>
      <c r="AX28" s="256"/>
      <c r="AY28" s="241"/>
      <c r="AZ28" s="256"/>
      <c r="BA28" s="239"/>
      <c r="BB28" s="242"/>
      <c r="BC28" s="239"/>
      <c r="BD28" s="242"/>
      <c r="BE28" s="239"/>
      <c r="BF28" s="241"/>
      <c r="BG28" s="239"/>
      <c r="BH28" s="241"/>
      <c r="BI28" s="260"/>
      <c r="BJ28" s="241"/>
      <c r="BK28" s="260"/>
      <c r="BL28" s="239"/>
      <c r="BM28" s="256"/>
      <c r="BN28" s="241"/>
      <c r="BO28" s="243"/>
      <c r="BP28" s="241"/>
      <c r="BQ28" s="239"/>
      <c r="BR28" s="276"/>
      <c r="BS28" s="256"/>
      <c r="BT28" s="260"/>
      <c r="BU28" s="261"/>
      <c r="BV28" s="260"/>
      <c r="BW28" s="239"/>
      <c r="BX28" s="260"/>
      <c r="BY28" s="260"/>
      <c r="BZ28" s="239"/>
      <c r="CA28" s="260"/>
      <c r="CB28" s="239"/>
      <c r="CC28" s="260"/>
      <c r="CD28" s="539"/>
      <c r="CE28" s="239"/>
      <c r="CF28" s="276"/>
      <c r="CG28" s="256"/>
      <c r="CH28" s="259"/>
      <c r="CI28" s="347"/>
      <c r="CJ28" s="540"/>
      <c r="CK28" s="256"/>
      <c r="CL28" s="244">
        <v>1</v>
      </c>
      <c r="CM28" s="274">
        <f t="shared" si="0"/>
        <v>2015</v>
      </c>
      <c r="CN28" s="244">
        <f>IF('Grille de saisie'!CM28&lt;18,0,IF('Grille de saisie'!CM28&lt;40,1,IF('Grille de saisie'!CM28&lt;65,2,IF('Grille de saisie'!CM28&lt;100,3,4))))</f>
        <v>4</v>
      </c>
      <c r="CO28" s="236">
        <f>IF(AND('Grille de saisie'!C28=1,'Grille de saisie'!BZ28=0),1,IF(AND('Grille de saisie'!C28="",'Grille de saisie'!BZ28=""),3,IF(AND('Grille de saisie'!C28=5),3,2)))</f>
        <v>3</v>
      </c>
      <c r="CP28" s="236">
        <f>IF(AND('Grille de saisie'!C28=1,'Grille de saisie'!BZ28=0),1,IF(AND('Grille de saisie'!C28=1,'Grille de saisie'!BZ28=1),2,IF(AND('Grille de saisie'!C28=2,'Grille de saisie'!BZ28=0),2,IF(AND('Grille de saisie'!C28=3,'Grille de saisie'!BZ28=0),3,IF(AND('Grille de saisie'!C28=2,'Grille de saisie'!BZ28=1),3,IF(AND('Grille de saisie'!C28=1,'Grille de saisie'!BZ28=2),3,IF(AND('Grille de saisie'!C28="",'Grille de saisie'!BZ28=""),5,IF(AND('Grille de saisie'!C28=5),5,4))))))))</f>
        <v>5</v>
      </c>
      <c r="CQ28" s="237">
        <f>IF('Grille de saisie'!BZ28="",3,IF('Grille de saisie'!C28=5,3,IF('Grille de saisie'!BZ28=0,1,2)))</f>
        <v>3</v>
      </c>
    </row>
    <row r="29" spans="1:95" ht="15">
      <c r="A29" s="510">
        <v>27</v>
      </c>
      <c r="B29" s="240"/>
      <c r="C29" s="513"/>
      <c r="D29" s="240"/>
      <c r="E29" s="517"/>
      <c r="F29" s="265"/>
      <c r="G29" s="513"/>
      <c r="H29" s="265"/>
      <c r="I29" s="520"/>
      <c r="J29" s="241"/>
      <c r="K29" s="520"/>
      <c r="L29" s="241"/>
      <c r="M29" s="521"/>
      <c r="N29" s="241"/>
      <c r="O29" s="521"/>
      <c r="P29" s="241"/>
      <c r="Q29" s="520"/>
      <c r="R29" s="241"/>
      <c r="S29" s="520"/>
      <c r="T29" s="241"/>
      <c r="U29" s="520"/>
      <c r="V29" s="241"/>
      <c r="W29" s="242"/>
      <c r="X29" s="241"/>
      <c r="Y29" s="242"/>
      <c r="Z29" s="241"/>
      <c r="AA29" s="241"/>
      <c r="AB29" s="275"/>
      <c r="AC29" s="524"/>
      <c r="AD29" s="241"/>
      <c r="AE29" s="241"/>
      <c r="AF29" s="241"/>
      <c r="AG29" s="241"/>
      <c r="AH29" s="241"/>
      <c r="AI29" s="241"/>
      <c r="AJ29" s="529"/>
      <c r="AK29" s="258"/>
      <c r="AL29" s="241"/>
      <c r="AM29" s="242"/>
      <c r="AN29" s="241"/>
      <c r="AO29" s="242"/>
      <c r="AP29" s="241"/>
      <c r="AQ29" s="242"/>
      <c r="AR29" s="241"/>
      <c r="AS29" s="242"/>
      <c r="AT29" s="241"/>
      <c r="AU29" s="241"/>
      <c r="AV29" s="256"/>
      <c r="AW29" s="241"/>
      <c r="AX29" s="256"/>
      <c r="AY29" s="241"/>
      <c r="AZ29" s="256"/>
      <c r="BA29" s="239"/>
      <c r="BB29" s="242"/>
      <c r="BC29" s="239"/>
      <c r="BD29" s="242"/>
      <c r="BE29" s="239"/>
      <c r="BF29" s="241"/>
      <c r="BG29" s="239"/>
      <c r="BH29" s="241"/>
      <c r="BI29" s="260"/>
      <c r="BJ29" s="241"/>
      <c r="BK29" s="260"/>
      <c r="BL29" s="239"/>
      <c r="BM29" s="256"/>
      <c r="BN29" s="241"/>
      <c r="BO29" s="243"/>
      <c r="BP29" s="241"/>
      <c r="BQ29" s="239"/>
      <c r="BR29" s="276"/>
      <c r="BS29" s="256"/>
      <c r="BT29" s="260"/>
      <c r="BU29" s="261"/>
      <c r="BV29" s="260"/>
      <c r="BW29" s="239"/>
      <c r="BX29" s="260"/>
      <c r="BY29" s="260"/>
      <c r="BZ29" s="239"/>
      <c r="CA29" s="260"/>
      <c r="CB29" s="239"/>
      <c r="CC29" s="260"/>
      <c r="CD29" s="539"/>
      <c r="CE29" s="239"/>
      <c r="CF29" s="276"/>
      <c r="CG29" s="256"/>
      <c r="CH29" s="259"/>
      <c r="CI29" s="347"/>
      <c r="CJ29" s="540"/>
      <c r="CK29" s="256"/>
      <c r="CL29" s="244">
        <v>1</v>
      </c>
      <c r="CM29" s="274">
        <f t="shared" si="0"/>
        <v>2015</v>
      </c>
      <c r="CN29" s="244">
        <f>IF('Grille de saisie'!CM29&lt;18,0,IF('Grille de saisie'!CM29&lt;40,1,IF('Grille de saisie'!CM29&lt;65,2,IF('Grille de saisie'!CM29&lt;100,3,4))))</f>
        <v>4</v>
      </c>
      <c r="CO29" s="236">
        <f>IF(AND('Grille de saisie'!C29=1,'Grille de saisie'!BZ29=0),1,IF(AND('Grille de saisie'!C29="",'Grille de saisie'!BZ29=""),3,IF(AND('Grille de saisie'!C29=5),3,2)))</f>
        <v>3</v>
      </c>
      <c r="CP29" s="236">
        <f>IF(AND('Grille de saisie'!C29=1,'Grille de saisie'!BZ29=0),1,IF(AND('Grille de saisie'!C29=1,'Grille de saisie'!BZ29=1),2,IF(AND('Grille de saisie'!C29=2,'Grille de saisie'!BZ29=0),2,IF(AND('Grille de saisie'!C29=3,'Grille de saisie'!BZ29=0),3,IF(AND('Grille de saisie'!C29=2,'Grille de saisie'!BZ29=1),3,IF(AND('Grille de saisie'!C29=1,'Grille de saisie'!BZ29=2),3,IF(AND('Grille de saisie'!C29="",'Grille de saisie'!BZ29=""),5,IF(AND('Grille de saisie'!C29=5),5,4))))))))</f>
        <v>5</v>
      </c>
      <c r="CQ29" s="237">
        <f>IF('Grille de saisie'!BZ29="",3,IF('Grille de saisie'!C29=5,3,IF('Grille de saisie'!BZ29=0,1,2)))</f>
        <v>3</v>
      </c>
    </row>
    <row r="30" spans="1:95" ht="15">
      <c r="A30" s="511">
        <v>28</v>
      </c>
      <c r="B30" s="240"/>
      <c r="C30" s="513"/>
      <c r="D30" s="240"/>
      <c r="E30" s="517"/>
      <c r="F30" s="265"/>
      <c r="G30" s="513"/>
      <c r="H30" s="265"/>
      <c r="I30" s="520"/>
      <c r="J30" s="241"/>
      <c r="K30" s="520"/>
      <c r="L30" s="241"/>
      <c r="M30" s="521"/>
      <c r="N30" s="241"/>
      <c r="O30" s="521"/>
      <c r="P30" s="241"/>
      <c r="Q30" s="520"/>
      <c r="R30" s="241"/>
      <c r="S30" s="520"/>
      <c r="T30" s="241"/>
      <c r="U30" s="520"/>
      <c r="V30" s="241"/>
      <c r="W30" s="242"/>
      <c r="X30" s="241"/>
      <c r="Y30" s="242"/>
      <c r="Z30" s="241"/>
      <c r="AA30" s="241"/>
      <c r="AB30" s="275"/>
      <c r="AC30" s="524"/>
      <c r="AD30" s="241"/>
      <c r="AE30" s="241"/>
      <c r="AF30" s="241"/>
      <c r="AG30" s="241"/>
      <c r="AH30" s="241"/>
      <c r="AI30" s="241"/>
      <c r="AJ30" s="529"/>
      <c r="AK30" s="258"/>
      <c r="AL30" s="241"/>
      <c r="AM30" s="242"/>
      <c r="AN30" s="241"/>
      <c r="AO30" s="242"/>
      <c r="AP30" s="241"/>
      <c r="AQ30" s="242"/>
      <c r="AR30" s="241"/>
      <c r="AS30" s="242"/>
      <c r="AT30" s="241"/>
      <c r="AU30" s="241"/>
      <c r="AV30" s="256"/>
      <c r="AW30" s="241"/>
      <c r="AX30" s="256"/>
      <c r="AY30" s="241"/>
      <c r="AZ30" s="256"/>
      <c r="BA30" s="239"/>
      <c r="BB30" s="242"/>
      <c r="BC30" s="239"/>
      <c r="BD30" s="242"/>
      <c r="BE30" s="239"/>
      <c r="BF30" s="241"/>
      <c r="BG30" s="239"/>
      <c r="BH30" s="241"/>
      <c r="BI30" s="260"/>
      <c r="BJ30" s="241"/>
      <c r="BK30" s="260"/>
      <c r="BL30" s="239"/>
      <c r="BM30" s="256"/>
      <c r="BN30" s="241"/>
      <c r="BO30" s="243"/>
      <c r="BP30" s="241"/>
      <c r="BQ30" s="239"/>
      <c r="BR30" s="276"/>
      <c r="BS30" s="256"/>
      <c r="BT30" s="260"/>
      <c r="BU30" s="261"/>
      <c r="BV30" s="260"/>
      <c r="BW30" s="239"/>
      <c r="BX30" s="260"/>
      <c r="BY30" s="260"/>
      <c r="BZ30" s="239"/>
      <c r="CA30" s="260"/>
      <c r="CB30" s="239"/>
      <c r="CC30" s="260"/>
      <c r="CD30" s="539"/>
      <c r="CE30" s="239"/>
      <c r="CF30" s="276"/>
      <c r="CG30" s="256"/>
      <c r="CH30" s="259"/>
      <c r="CI30" s="347"/>
      <c r="CJ30" s="540"/>
      <c r="CK30" s="256"/>
      <c r="CL30" s="244">
        <v>1</v>
      </c>
      <c r="CM30" s="274">
        <f t="shared" si="0"/>
        <v>2015</v>
      </c>
      <c r="CN30" s="244">
        <f>IF('Grille de saisie'!CM30&lt;18,0,IF('Grille de saisie'!CM30&lt;40,1,IF('Grille de saisie'!CM30&lt;65,2,IF('Grille de saisie'!CM30&lt;100,3,4))))</f>
        <v>4</v>
      </c>
      <c r="CO30" s="236">
        <f>IF(AND('Grille de saisie'!C30=1,'Grille de saisie'!BZ30=0),1,IF(AND('Grille de saisie'!C30="",'Grille de saisie'!BZ30=""),3,IF(AND('Grille de saisie'!C30=5),3,2)))</f>
        <v>3</v>
      </c>
      <c r="CP30" s="236">
        <f>IF(AND('Grille de saisie'!C30=1,'Grille de saisie'!BZ30=0),1,IF(AND('Grille de saisie'!C30=1,'Grille de saisie'!BZ30=1),2,IF(AND('Grille de saisie'!C30=2,'Grille de saisie'!BZ30=0),2,IF(AND('Grille de saisie'!C30=3,'Grille de saisie'!BZ30=0),3,IF(AND('Grille de saisie'!C30=2,'Grille de saisie'!BZ30=1),3,IF(AND('Grille de saisie'!C30=1,'Grille de saisie'!BZ30=2),3,IF(AND('Grille de saisie'!C30="",'Grille de saisie'!BZ30=""),5,IF(AND('Grille de saisie'!C30=5),5,4))))))))</f>
        <v>5</v>
      </c>
      <c r="CQ30" s="237">
        <f>IF('Grille de saisie'!BZ30="",3,IF('Grille de saisie'!C30=5,3,IF('Grille de saisie'!BZ30=0,1,2)))</f>
        <v>3</v>
      </c>
    </row>
    <row r="31" spans="1:95" ht="15">
      <c r="A31" s="510">
        <v>29</v>
      </c>
      <c r="B31" s="240"/>
      <c r="C31" s="513"/>
      <c r="D31" s="240"/>
      <c r="E31" s="517"/>
      <c r="F31" s="265"/>
      <c r="G31" s="513"/>
      <c r="H31" s="265"/>
      <c r="I31" s="520"/>
      <c r="J31" s="241"/>
      <c r="K31" s="520"/>
      <c r="L31" s="241"/>
      <c r="M31" s="521"/>
      <c r="N31" s="241"/>
      <c r="O31" s="521"/>
      <c r="P31" s="241"/>
      <c r="Q31" s="520"/>
      <c r="R31" s="241"/>
      <c r="S31" s="520"/>
      <c r="T31" s="241"/>
      <c r="U31" s="520"/>
      <c r="V31" s="241"/>
      <c r="W31" s="242"/>
      <c r="X31" s="241"/>
      <c r="Y31" s="242"/>
      <c r="Z31" s="241"/>
      <c r="AA31" s="241"/>
      <c r="AB31" s="275"/>
      <c r="AC31" s="524"/>
      <c r="AD31" s="241"/>
      <c r="AE31" s="241"/>
      <c r="AF31" s="241"/>
      <c r="AG31" s="241"/>
      <c r="AH31" s="241"/>
      <c r="AI31" s="241"/>
      <c r="AJ31" s="529"/>
      <c r="AK31" s="258"/>
      <c r="AL31" s="241"/>
      <c r="AM31" s="242"/>
      <c r="AN31" s="241"/>
      <c r="AO31" s="242"/>
      <c r="AP31" s="241"/>
      <c r="AQ31" s="242"/>
      <c r="AR31" s="241"/>
      <c r="AS31" s="242"/>
      <c r="AT31" s="241"/>
      <c r="AU31" s="241"/>
      <c r="AV31" s="256"/>
      <c r="AW31" s="241"/>
      <c r="AX31" s="256"/>
      <c r="AY31" s="241"/>
      <c r="AZ31" s="256"/>
      <c r="BA31" s="239"/>
      <c r="BB31" s="242"/>
      <c r="BC31" s="239"/>
      <c r="BD31" s="242"/>
      <c r="BE31" s="239"/>
      <c r="BF31" s="241"/>
      <c r="BG31" s="239"/>
      <c r="BH31" s="241"/>
      <c r="BI31" s="260"/>
      <c r="BJ31" s="241"/>
      <c r="BK31" s="260"/>
      <c r="BL31" s="239"/>
      <c r="BM31" s="256"/>
      <c r="BN31" s="241"/>
      <c r="BO31" s="243"/>
      <c r="BP31" s="241"/>
      <c r="BQ31" s="239"/>
      <c r="BR31" s="276"/>
      <c r="BS31" s="256"/>
      <c r="BT31" s="260"/>
      <c r="BU31" s="261"/>
      <c r="BV31" s="260"/>
      <c r="BW31" s="239"/>
      <c r="BX31" s="260"/>
      <c r="BY31" s="260"/>
      <c r="BZ31" s="239"/>
      <c r="CA31" s="260"/>
      <c r="CB31" s="239"/>
      <c r="CC31" s="260"/>
      <c r="CD31" s="539"/>
      <c r="CE31" s="239"/>
      <c r="CF31" s="276"/>
      <c r="CG31" s="256"/>
      <c r="CH31" s="259"/>
      <c r="CI31" s="347"/>
      <c r="CJ31" s="540"/>
      <c r="CK31" s="256"/>
      <c r="CL31" s="244">
        <v>1</v>
      </c>
      <c r="CM31" s="274">
        <f t="shared" si="0"/>
        <v>2015</v>
      </c>
      <c r="CN31" s="244">
        <f>IF('Grille de saisie'!CM31&lt;18,0,IF('Grille de saisie'!CM31&lt;40,1,IF('Grille de saisie'!CM31&lt;65,2,IF('Grille de saisie'!CM31&lt;100,3,4))))</f>
        <v>4</v>
      </c>
      <c r="CO31" s="236">
        <f>IF(AND('Grille de saisie'!C31=1,'Grille de saisie'!BZ31=0),1,IF(AND('Grille de saisie'!C31="",'Grille de saisie'!BZ31=""),3,IF(AND('Grille de saisie'!C31=5),3,2)))</f>
        <v>3</v>
      </c>
      <c r="CP31" s="236">
        <f>IF(AND('Grille de saisie'!C31=1,'Grille de saisie'!BZ31=0),1,IF(AND('Grille de saisie'!C31=1,'Grille de saisie'!BZ31=1),2,IF(AND('Grille de saisie'!C31=2,'Grille de saisie'!BZ31=0),2,IF(AND('Grille de saisie'!C31=3,'Grille de saisie'!BZ31=0),3,IF(AND('Grille de saisie'!C31=2,'Grille de saisie'!BZ31=1),3,IF(AND('Grille de saisie'!C31=1,'Grille de saisie'!BZ31=2),3,IF(AND('Grille de saisie'!C31="",'Grille de saisie'!BZ31=""),5,IF(AND('Grille de saisie'!C31=5),5,4))))))))</f>
        <v>5</v>
      </c>
      <c r="CQ31" s="237">
        <f>IF('Grille de saisie'!BZ31="",3,IF('Grille de saisie'!C31=5,3,IF('Grille de saisie'!BZ31=0,1,2)))</f>
        <v>3</v>
      </c>
    </row>
    <row r="32" spans="1:95" ht="15">
      <c r="A32" s="510">
        <v>30</v>
      </c>
      <c r="B32" s="240"/>
      <c r="C32" s="513"/>
      <c r="D32" s="240"/>
      <c r="E32" s="517"/>
      <c r="F32" s="265"/>
      <c r="G32" s="513"/>
      <c r="H32" s="265"/>
      <c r="I32" s="520"/>
      <c r="J32" s="241"/>
      <c r="K32" s="520"/>
      <c r="L32" s="241"/>
      <c r="M32" s="521"/>
      <c r="N32" s="241"/>
      <c r="O32" s="521"/>
      <c r="P32" s="241"/>
      <c r="Q32" s="520"/>
      <c r="R32" s="241"/>
      <c r="S32" s="520"/>
      <c r="T32" s="241"/>
      <c r="U32" s="520"/>
      <c r="V32" s="241"/>
      <c r="W32" s="242"/>
      <c r="X32" s="241"/>
      <c r="Y32" s="242"/>
      <c r="Z32" s="241"/>
      <c r="AA32" s="241"/>
      <c r="AB32" s="275"/>
      <c r="AC32" s="524"/>
      <c r="AD32" s="241"/>
      <c r="AE32" s="241"/>
      <c r="AF32" s="241"/>
      <c r="AG32" s="241"/>
      <c r="AH32" s="241"/>
      <c r="AI32" s="241"/>
      <c r="AJ32" s="529"/>
      <c r="AK32" s="258"/>
      <c r="AL32" s="241"/>
      <c r="AM32" s="242"/>
      <c r="AN32" s="241"/>
      <c r="AO32" s="242"/>
      <c r="AP32" s="241"/>
      <c r="AQ32" s="242"/>
      <c r="AR32" s="241"/>
      <c r="AS32" s="242"/>
      <c r="AT32" s="241"/>
      <c r="AU32" s="241"/>
      <c r="AV32" s="256"/>
      <c r="AW32" s="241"/>
      <c r="AX32" s="256"/>
      <c r="AY32" s="241"/>
      <c r="AZ32" s="256"/>
      <c r="BA32" s="239"/>
      <c r="BB32" s="242"/>
      <c r="BC32" s="239"/>
      <c r="BD32" s="242"/>
      <c r="BE32" s="239"/>
      <c r="BF32" s="241"/>
      <c r="BG32" s="239"/>
      <c r="BH32" s="241"/>
      <c r="BI32" s="260"/>
      <c r="BJ32" s="241"/>
      <c r="BK32" s="260"/>
      <c r="BL32" s="239"/>
      <c r="BM32" s="256"/>
      <c r="BN32" s="241"/>
      <c r="BO32" s="243"/>
      <c r="BP32" s="241"/>
      <c r="BQ32" s="239"/>
      <c r="BR32" s="276"/>
      <c r="BS32" s="256"/>
      <c r="BT32" s="260"/>
      <c r="BU32" s="261"/>
      <c r="BV32" s="260"/>
      <c r="BW32" s="239"/>
      <c r="BX32" s="260"/>
      <c r="BY32" s="260"/>
      <c r="BZ32" s="239"/>
      <c r="CA32" s="260"/>
      <c r="CB32" s="239"/>
      <c r="CC32" s="260"/>
      <c r="CD32" s="539"/>
      <c r="CE32" s="239"/>
      <c r="CF32" s="276"/>
      <c r="CG32" s="256"/>
      <c r="CH32" s="259"/>
      <c r="CI32" s="347"/>
      <c r="CJ32" s="540"/>
      <c r="CK32" s="256"/>
      <c r="CL32" s="244">
        <v>1</v>
      </c>
      <c r="CM32" s="274">
        <f t="shared" si="0"/>
        <v>2015</v>
      </c>
      <c r="CN32" s="244">
        <f>IF('Grille de saisie'!CM32&lt;18,0,IF('Grille de saisie'!CM32&lt;40,1,IF('Grille de saisie'!CM32&lt;65,2,IF('Grille de saisie'!CM32&lt;100,3,4))))</f>
        <v>4</v>
      </c>
      <c r="CO32" s="236">
        <f>IF(AND('Grille de saisie'!C32=1,'Grille de saisie'!BZ32=0),1,IF(AND('Grille de saisie'!C32="",'Grille de saisie'!BZ32=""),3,IF(AND('Grille de saisie'!C32=5),3,2)))</f>
        <v>3</v>
      </c>
      <c r="CP32" s="236">
        <f>IF(AND('Grille de saisie'!C32=1,'Grille de saisie'!BZ32=0),1,IF(AND('Grille de saisie'!C32=1,'Grille de saisie'!BZ32=1),2,IF(AND('Grille de saisie'!C32=2,'Grille de saisie'!BZ32=0),2,IF(AND('Grille de saisie'!C32=3,'Grille de saisie'!BZ32=0),3,IF(AND('Grille de saisie'!C32=2,'Grille de saisie'!BZ32=1),3,IF(AND('Grille de saisie'!C32=1,'Grille de saisie'!BZ32=2),3,IF(AND('Grille de saisie'!C32="",'Grille de saisie'!BZ32=""),5,IF(AND('Grille de saisie'!C32=5),5,4))))))))</f>
        <v>5</v>
      </c>
      <c r="CQ32" s="237">
        <f>IF('Grille de saisie'!BZ32="",3,IF('Grille de saisie'!C32=5,3,IF('Grille de saisie'!BZ32=0,1,2)))</f>
        <v>3</v>
      </c>
    </row>
    <row r="33" spans="1:95" ht="15">
      <c r="A33" s="511">
        <v>31</v>
      </c>
      <c r="B33" s="240"/>
      <c r="C33" s="513"/>
      <c r="D33" s="240"/>
      <c r="E33" s="517"/>
      <c r="F33" s="265"/>
      <c r="G33" s="513"/>
      <c r="H33" s="265"/>
      <c r="I33" s="520"/>
      <c r="J33" s="241"/>
      <c r="K33" s="520"/>
      <c r="L33" s="241"/>
      <c r="M33" s="521"/>
      <c r="N33" s="241"/>
      <c r="O33" s="521"/>
      <c r="P33" s="241"/>
      <c r="Q33" s="520"/>
      <c r="R33" s="241"/>
      <c r="S33" s="520"/>
      <c r="T33" s="241"/>
      <c r="U33" s="520"/>
      <c r="V33" s="241"/>
      <c r="W33" s="242"/>
      <c r="X33" s="241"/>
      <c r="Y33" s="242"/>
      <c r="Z33" s="241"/>
      <c r="AA33" s="241"/>
      <c r="AB33" s="275"/>
      <c r="AC33" s="524"/>
      <c r="AD33" s="241"/>
      <c r="AE33" s="241"/>
      <c r="AF33" s="241"/>
      <c r="AG33" s="241"/>
      <c r="AH33" s="241"/>
      <c r="AI33" s="241"/>
      <c r="AJ33" s="529"/>
      <c r="AK33" s="258"/>
      <c r="AL33" s="241"/>
      <c r="AM33" s="242"/>
      <c r="AN33" s="241"/>
      <c r="AO33" s="242"/>
      <c r="AP33" s="241"/>
      <c r="AQ33" s="242"/>
      <c r="AR33" s="241"/>
      <c r="AS33" s="242"/>
      <c r="AT33" s="241"/>
      <c r="AU33" s="241"/>
      <c r="AV33" s="256"/>
      <c r="AW33" s="241"/>
      <c r="AX33" s="256"/>
      <c r="AY33" s="241"/>
      <c r="AZ33" s="256"/>
      <c r="BA33" s="239"/>
      <c r="BB33" s="242"/>
      <c r="BC33" s="239"/>
      <c r="BD33" s="242"/>
      <c r="BE33" s="239"/>
      <c r="BF33" s="241"/>
      <c r="BG33" s="239"/>
      <c r="BH33" s="241"/>
      <c r="BI33" s="260"/>
      <c r="BJ33" s="241"/>
      <c r="BK33" s="260"/>
      <c r="BL33" s="239"/>
      <c r="BM33" s="256"/>
      <c r="BN33" s="241"/>
      <c r="BO33" s="243"/>
      <c r="BP33" s="241"/>
      <c r="BQ33" s="239"/>
      <c r="BR33" s="276"/>
      <c r="BS33" s="256"/>
      <c r="BT33" s="260"/>
      <c r="BU33" s="261"/>
      <c r="BV33" s="260"/>
      <c r="BW33" s="239"/>
      <c r="BX33" s="260"/>
      <c r="BY33" s="260"/>
      <c r="BZ33" s="239"/>
      <c r="CA33" s="260"/>
      <c r="CB33" s="239"/>
      <c r="CC33" s="260"/>
      <c r="CD33" s="539"/>
      <c r="CE33" s="239"/>
      <c r="CF33" s="276"/>
      <c r="CG33" s="256"/>
      <c r="CH33" s="259"/>
      <c r="CI33" s="347"/>
      <c r="CJ33" s="540"/>
      <c r="CK33" s="256"/>
      <c r="CL33" s="244">
        <v>1</v>
      </c>
      <c r="CM33" s="274">
        <f t="shared" si="0"/>
        <v>2015</v>
      </c>
      <c r="CN33" s="244">
        <f>IF('Grille de saisie'!CM33&lt;18,0,IF('Grille de saisie'!CM33&lt;40,1,IF('Grille de saisie'!CM33&lt;65,2,IF('Grille de saisie'!CM33&lt;100,3,4))))</f>
        <v>4</v>
      </c>
      <c r="CO33" s="236">
        <f>IF(AND('Grille de saisie'!C33=1,'Grille de saisie'!BZ33=0),1,IF(AND('Grille de saisie'!C33="",'Grille de saisie'!BZ33=""),3,IF(AND('Grille de saisie'!C33=5),3,2)))</f>
        <v>3</v>
      </c>
      <c r="CP33" s="236">
        <f>IF(AND('Grille de saisie'!C33=1,'Grille de saisie'!BZ33=0),1,IF(AND('Grille de saisie'!C33=1,'Grille de saisie'!BZ33=1),2,IF(AND('Grille de saisie'!C33=2,'Grille de saisie'!BZ33=0),2,IF(AND('Grille de saisie'!C33=3,'Grille de saisie'!BZ33=0),3,IF(AND('Grille de saisie'!C33=2,'Grille de saisie'!BZ33=1),3,IF(AND('Grille de saisie'!C33=1,'Grille de saisie'!BZ33=2),3,IF(AND('Grille de saisie'!C33="",'Grille de saisie'!BZ33=""),5,IF(AND('Grille de saisie'!C33=5),5,4))))))))</f>
        <v>5</v>
      </c>
      <c r="CQ33" s="237">
        <f>IF('Grille de saisie'!BZ33="",3,IF('Grille de saisie'!C33=5,3,IF('Grille de saisie'!BZ33=0,1,2)))</f>
        <v>3</v>
      </c>
    </row>
    <row r="34" spans="1:95" ht="15">
      <c r="A34" s="510">
        <v>32</v>
      </c>
      <c r="B34" s="240"/>
      <c r="C34" s="513"/>
      <c r="D34" s="240"/>
      <c r="E34" s="517"/>
      <c r="F34" s="265"/>
      <c r="G34" s="513"/>
      <c r="H34" s="265"/>
      <c r="I34" s="520"/>
      <c r="J34" s="241"/>
      <c r="K34" s="520"/>
      <c r="L34" s="241"/>
      <c r="M34" s="521"/>
      <c r="N34" s="241"/>
      <c r="O34" s="521"/>
      <c r="P34" s="241"/>
      <c r="Q34" s="520"/>
      <c r="R34" s="241"/>
      <c r="S34" s="520"/>
      <c r="T34" s="241"/>
      <c r="U34" s="520"/>
      <c r="V34" s="241"/>
      <c r="W34" s="242"/>
      <c r="X34" s="241"/>
      <c r="Y34" s="242"/>
      <c r="Z34" s="241"/>
      <c r="AA34" s="241"/>
      <c r="AB34" s="275"/>
      <c r="AC34" s="524"/>
      <c r="AD34" s="241"/>
      <c r="AE34" s="241"/>
      <c r="AF34" s="241"/>
      <c r="AG34" s="241"/>
      <c r="AH34" s="241"/>
      <c r="AI34" s="241"/>
      <c r="AJ34" s="529"/>
      <c r="AK34" s="258"/>
      <c r="AL34" s="241"/>
      <c r="AM34" s="242"/>
      <c r="AN34" s="241"/>
      <c r="AO34" s="242"/>
      <c r="AP34" s="241"/>
      <c r="AQ34" s="242"/>
      <c r="AR34" s="241"/>
      <c r="AS34" s="242"/>
      <c r="AT34" s="241"/>
      <c r="AU34" s="241"/>
      <c r="AV34" s="256"/>
      <c r="AW34" s="241"/>
      <c r="AX34" s="256"/>
      <c r="AY34" s="241"/>
      <c r="AZ34" s="256"/>
      <c r="BA34" s="239"/>
      <c r="BB34" s="242"/>
      <c r="BC34" s="239"/>
      <c r="BD34" s="242"/>
      <c r="BE34" s="239"/>
      <c r="BF34" s="241"/>
      <c r="BG34" s="239"/>
      <c r="BH34" s="241"/>
      <c r="BI34" s="260"/>
      <c r="BJ34" s="241"/>
      <c r="BK34" s="260"/>
      <c r="BL34" s="239"/>
      <c r="BM34" s="256"/>
      <c r="BN34" s="241"/>
      <c r="BO34" s="243"/>
      <c r="BP34" s="241"/>
      <c r="BQ34" s="239"/>
      <c r="BR34" s="276"/>
      <c r="BS34" s="256"/>
      <c r="BT34" s="260"/>
      <c r="BU34" s="261"/>
      <c r="BV34" s="260"/>
      <c r="BW34" s="239"/>
      <c r="BX34" s="260"/>
      <c r="BY34" s="260"/>
      <c r="BZ34" s="239"/>
      <c r="CA34" s="260"/>
      <c r="CB34" s="239"/>
      <c r="CC34" s="260"/>
      <c r="CD34" s="539"/>
      <c r="CE34" s="239"/>
      <c r="CF34" s="276"/>
      <c r="CG34" s="256"/>
      <c r="CH34" s="259"/>
      <c r="CI34" s="347"/>
      <c r="CJ34" s="540"/>
      <c r="CK34" s="256"/>
      <c r="CL34" s="244">
        <v>1</v>
      </c>
      <c r="CM34" s="274">
        <f t="shared" si="0"/>
        <v>2015</v>
      </c>
      <c r="CN34" s="244">
        <f>IF('Grille de saisie'!CM34&lt;18,0,IF('Grille de saisie'!CM34&lt;40,1,IF('Grille de saisie'!CM34&lt;65,2,IF('Grille de saisie'!CM34&lt;100,3,4))))</f>
        <v>4</v>
      </c>
      <c r="CO34" s="236">
        <f>IF(AND('Grille de saisie'!C34=1,'Grille de saisie'!BZ34=0),1,IF(AND('Grille de saisie'!C34="",'Grille de saisie'!BZ34=""),3,IF(AND('Grille de saisie'!C34=5),3,2)))</f>
        <v>3</v>
      </c>
      <c r="CP34" s="236">
        <f>IF(AND('Grille de saisie'!C34=1,'Grille de saisie'!BZ34=0),1,IF(AND('Grille de saisie'!C34=1,'Grille de saisie'!BZ34=1),2,IF(AND('Grille de saisie'!C34=2,'Grille de saisie'!BZ34=0),2,IF(AND('Grille de saisie'!C34=3,'Grille de saisie'!BZ34=0),3,IF(AND('Grille de saisie'!C34=2,'Grille de saisie'!BZ34=1),3,IF(AND('Grille de saisie'!C34=1,'Grille de saisie'!BZ34=2),3,IF(AND('Grille de saisie'!C34="",'Grille de saisie'!BZ34=""),5,IF(AND('Grille de saisie'!C34=5),5,4))))))))</f>
        <v>5</v>
      </c>
      <c r="CQ34" s="237">
        <f>IF('Grille de saisie'!BZ34="",3,IF('Grille de saisie'!C34=5,3,IF('Grille de saisie'!BZ34=0,1,2)))</f>
        <v>3</v>
      </c>
    </row>
    <row r="35" spans="1:95" ht="15">
      <c r="A35" s="510">
        <v>33</v>
      </c>
      <c r="B35" s="240"/>
      <c r="C35" s="513"/>
      <c r="D35" s="240"/>
      <c r="E35" s="517"/>
      <c r="F35" s="265"/>
      <c r="G35" s="513"/>
      <c r="H35" s="265"/>
      <c r="I35" s="520"/>
      <c r="J35" s="241"/>
      <c r="K35" s="520"/>
      <c r="L35" s="241"/>
      <c r="M35" s="521"/>
      <c r="N35" s="241"/>
      <c r="O35" s="521"/>
      <c r="P35" s="241"/>
      <c r="Q35" s="520"/>
      <c r="R35" s="241"/>
      <c r="S35" s="520"/>
      <c r="T35" s="241"/>
      <c r="U35" s="520"/>
      <c r="V35" s="241"/>
      <c r="W35" s="242"/>
      <c r="X35" s="241"/>
      <c r="Y35" s="242"/>
      <c r="Z35" s="241"/>
      <c r="AA35" s="241"/>
      <c r="AB35" s="275"/>
      <c r="AC35" s="524"/>
      <c r="AD35" s="241"/>
      <c r="AE35" s="241"/>
      <c r="AF35" s="241"/>
      <c r="AG35" s="241"/>
      <c r="AH35" s="241"/>
      <c r="AI35" s="241"/>
      <c r="AJ35" s="529"/>
      <c r="AK35" s="258"/>
      <c r="AL35" s="241"/>
      <c r="AM35" s="242"/>
      <c r="AN35" s="241"/>
      <c r="AO35" s="242"/>
      <c r="AP35" s="241"/>
      <c r="AQ35" s="242"/>
      <c r="AR35" s="241"/>
      <c r="AS35" s="242"/>
      <c r="AT35" s="241"/>
      <c r="AU35" s="241"/>
      <c r="AV35" s="256"/>
      <c r="AW35" s="241"/>
      <c r="AX35" s="256"/>
      <c r="AY35" s="241"/>
      <c r="AZ35" s="256"/>
      <c r="BA35" s="239"/>
      <c r="BB35" s="242"/>
      <c r="BC35" s="239"/>
      <c r="BD35" s="242"/>
      <c r="BE35" s="239"/>
      <c r="BF35" s="241"/>
      <c r="BG35" s="239"/>
      <c r="BH35" s="241"/>
      <c r="BI35" s="260"/>
      <c r="BJ35" s="241"/>
      <c r="BK35" s="260"/>
      <c r="BL35" s="239"/>
      <c r="BM35" s="256"/>
      <c r="BN35" s="241"/>
      <c r="BO35" s="243"/>
      <c r="BP35" s="241"/>
      <c r="BQ35" s="239"/>
      <c r="BR35" s="276"/>
      <c r="BS35" s="256"/>
      <c r="BT35" s="260"/>
      <c r="BU35" s="261"/>
      <c r="BV35" s="260"/>
      <c r="BW35" s="239"/>
      <c r="BX35" s="260"/>
      <c r="BY35" s="260"/>
      <c r="BZ35" s="239"/>
      <c r="CA35" s="260"/>
      <c r="CB35" s="239"/>
      <c r="CC35" s="260"/>
      <c r="CD35" s="539"/>
      <c r="CE35" s="239"/>
      <c r="CF35" s="276"/>
      <c r="CG35" s="256"/>
      <c r="CH35" s="259"/>
      <c r="CI35" s="347"/>
      <c r="CJ35" s="540"/>
      <c r="CK35" s="256"/>
      <c r="CL35" s="244">
        <v>1</v>
      </c>
      <c r="CM35" s="274">
        <f t="shared" si="0"/>
        <v>2015</v>
      </c>
      <c r="CN35" s="244">
        <f>IF('Grille de saisie'!CM35&lt;18,0,IF('Grille de saisie'!CM35&lt;40,1,IF('Grille de saisie'!CM35&lt;65,2,IF('Grille de saisie'!CM35&lt;100,3,4))))</f>
        <v>4</v>
      </c>
      <c r="CO35" s="236">
        <f>IF(AND('Grille de saisie'!C35=1,'Grille de saisie'!BZ35=0),1,IF(AND('Grille de saisie'!C35="",'Grille de saisie'!BZ35=""),3,IF(AND('Grille de saisie'!C35=5),3,2)))</f>
        <v>3</v>
      </c>
      <c r="CP35" s="236">
        <f>IF(AND('Grille de saisie'!C35=1,'Grille de saisie'!BZ35=0),1,IF(AND('Grille de saisie'!C35=1,'Grille de saisie'!BZ35=1),2,IF(AND('Grille de saisie'!C35=2,'Grille de saisie'!BZ35=0),2,IF(AND('Grille de saisie'!C35=3,'Grille de saisie'!BZ35=0),3,IF(AND('Grille de saisie'!C35=2,'Grille de saisie'!BZ35=1),3,IF(AND('Grille de saisie'!C35=1,'Grille de saisie'!BZ35=2),3,IF(AND('Grille de saisie'!C35="",'Grille de saisie'!BZ35=""),5,IF(AND('Grille de saisie'!C35=5),5,4))))))))</f>
        <v>5</v>
      </c>
      <c r="CQ35" s="237">
        <f>IF('Grille de saisie'!BZ35="",3,IF('Grille de saisie'!C35=5,3,IF('Grille de saisie'!BZ35=0,1,2)))</f>
        <v>3</v>
      </c>
    </row>
    <row r="36" spans="1:95" ht="15">
      <c r="A36" s="511">
        <v>34</v>
      </c>
      <c r="B36" s="240"/>
      <c r="C36" s="513"/>
      <c r="D36" s="240"/>
      <c r="E36" s="517"/>
      <c r="F36" s="265"/>
      <c r="G36" s="513"/>
      <c r="H36" s="265"/>
      <c r="I36" s="520"/>
      <c r="J36" s="241"/>
      <c r="K36" s="520"/>
      <c r="L36" s="241"/>
      <c r="M36" s="521"/>
      <c r="N36" s="241"/>
      <c r="O36" s="521"/>
      <c r="P36" s="241"/>
      <c r="Q36" s="520"/>
      <c r="R36" s="241"/>
      <c r="S36" s="520"/>
      <c r="T36" s="241"/>
      <c r="U36" s="520"/>
      <c r="V36" s="241"/>
      <c r="W36" s="242"/>
      <c r="X36" s="241"/>
      <c r="Y36" s="242"/>
      <c r="Z36" s="241"/>
      <c r="AA36" s="241"/>
      <c r="AB36" s="275"/>
      <c r="AC36" s="524"/>
      <c r="AD36" s="241"/>
      <c r="AE36" s="241"/>
      <c r="AF36" s="241"/>
      <c r="AG36" s="241"/>
      <c r="AH36" s="241"/>
      <c r="AI36" s="241"/>
      <c r="AJ36" s="529"/>
      <c r="AK36" s="258"/>
      <c r="AL36" s="241"/>
      <c r="AM36" s="242"/>
      <c r="AN36" s="241"/>
      <c r="AO36" s="242"/>
      <c r="AP36" s="241"/>
      <c r="AQ36" s="242"/>
      <c r="AR36" s="241"/>
      <c r="AS36" s="242"/>
      <c r="AT36" s="241"/>
      <c r="AU36" s="241"/>
      <c r="AV36" s="256"/>
      <c r="AW36" s="241"/>
      <c r="AX36" s="256"/>
      <c r="AY36" s="241"/>
      <c r="AZ36" s="256"/>
      <c r="BA36" s="239"/>
      <c r="BB36" s="242"/>
      <c r="BC36" s="239"/>
      <c r="BD36" s="242"/>
      <c r="BE36" s="239"/>
      <c r="BF36" s="241"/>
      <c r="BG36" s="239"/>
      <c r="BH36" s="241"/>
      <c r="BI36" s="260"/>
      <c r="BJ36" s="241"/>
      <c r="BK36" s="260"/>
      <c r="BL36" s="239"/>
      <c r="BM36" s="256"/>
      <c r="BN36" s="241"/>
      <c r="BO36" s="243"/>
      <c r="BP36" s="241"/>
      <c r="BQ36" s="239"/>
      <c r="BR36" s="276"/>
      <c r="BS36" s="256"/>
      <c r="BT36" s="260"/>
      <c r="BU36" s="261"/>
      <c r="BV36" s="260"/>
      <c r="BW36" s="239"/>
      <c r="BX36" s="260"/>
      <c r="BY36" s="260"/>
      <c r="BZ36" s="239"/>
      <c r="CA36" s="260"/>
      <c r="CB36" s="239"/>
      <c r="CC36" s="260"/>
      <c r="CD36" s="539"/>
      <c r="CE36" s="239"/>
      <c r="CF36" s="276"/>
      <c r="CG36" s="256"/>
      <c r="CH36" s="259"/>
      <c r="CI36" s="347"/>
      <c r="CJ36" s="540"/>
      <c r="CK36" s="256"/>
      <c r="CL36" s="244">
        <v>1</v>
      </c>
      <c r="CM36" s="274">
        <f t="shared" si="0"/>
        <v>2015</v>
      </c>
      <c r="CN36" s="244">
        <f>IF('Grille de saisie'!CM36&lt;18,0,IF('Grille de saisie'!CM36&lt;40,1,IF('Grille de saisie'!CM36&lt;65,2,IF('Grille de saisie'!CM36&lt;100,3,4))))</f>
        <v>4</v>
      </c>
      <c r="CO36" s="236">
        <f>IF(AND('Grille de saisie'!C36=1,'Grille de saisie'!BZ36=0),1,IF(AND('Grille de saisie'!C36="",'Grille de saisie'!BZ36=""),3,IF(AND('Grille de saisie'!C36=5),3,2)))</f>
        <v>3</v>
      </c>
      <c r="CP36" s="236">
        <f>IF(AND('Grille de saisie'!C36=1,'Grille de saisie'!BZ36=0),1,IF(AND('Grille de saisie'!C36=1,'Grille de saisie'!BZ36=1),2,IF(AND('Grille de saisie'!C36=2,'Grille de saisie'!BZ36=0),2,IF(AND('Grille de saisie'!C36=3,'Grille de saisie'!BZ36=0),3,IF(AND('Grille de saisie'!C36=2,'Grille de saisie'!BZ36=1),3,IF(AND('Grille de saisie'!C36=1,'Grille de saisie'!BZ36=2),3,IF(AND('Grille de saisie'!C36="",'Grille de saisie'!BZ36=""),5,IF(AND('Grille de saisie'!C36=5),5,4))))))))</f>
        <v>5</v>
      </c>
      <c r="CQ36" s="237">
        <f>IF('Grille de saisie'!BZ36="",3,IF('Grille de saisie'!C36=5,3,IF('Grille de saisie'!BZ36=0,1,2)))</f>
        <v>3</v>
      </c>
    </row>
    <row r="37" spans="1:95" ht="15">
      <c r="A37" s="510">
        <v>35</v>
      </c>
      <c r="B37" s="240"/>
      <c r="C37" s="513"/>
      <c r="D37" s="240"/>
      <c r="E37" s="517"/>
      <c r="F37" s="265"/>
      <c r="G37" s="513"/>
      <c r="H37" s="265"/>
      <c r="I37" s="520"/>
      <c r="J37" s="241"/>
      <c r="K37" s="520"/>
      <c r="L37" s="241"/>
      <c r="M37" s="521"/>
      <c r="N37" s="241"/>
      <c r="O37" s="521"/>
      <c r="P37" s="241"/>
      <c r="Q37" s="520"/>
      <c r="R37" s="241"/>
      <c r="S37" s="520"/>
      <c r="T37" s="241"/>
      <c r="U37" s="520"/>
      <c r="V37" s="241"/>
      <c r="W37" s="242"/>
      <c r="X37" s="241"/>
      <c r="Y37" s="242"/>
      <c r="Z37" s="241"/>
      <c r="AA37" s="241"/>
      <c r="AB37" s="275"/>
      <c r="AC37" s="524"/>
      <c r="AD37" s="241"/>
      <c r="AE37" s="241"/>
      <c r="AF37" s="241"/>
      <c r="AG37" s="241"/>
      <c r="AH37" s="241"/>
      <c r="AI37" s="241"/>
      <c r="AJ37" s="529"/>
      <c r="AK37" s="258"/>
      <c r="AL37" s="241"/>
      <c r="AM37" s="242"/>
      <c r="AN37" s="241"/>
      <c r="AO37" s="242"/>
      <c r="AP37" s="241"/>
      <c r="AQ37" s="242"/>
      <c r="AR37" s="241"/>
      <c r="AS37" s="242"/>
      <c r="AT37" s="241"/>
      <c r="AU37" s="241"/>
      <c r="AV37" s="256"/>
      <c r="AW37" s="241"/>
      <c r="AX37" s="256"/>
      <c r="AY37" s="241"/>
      <c r="AZ37" s="256"/>
      <c r="BA37" s="239"/>
      <c r="BB37" s="242"/>
      <c r="BC37" s="239"/>
      <c r="BD37" s="242"/>
      <c r="BE37" s="239"/>
      <c r="BF37" s="241"/>
      <c r="BG37" s="239"/>
      <c r="BH37" s="241"/>
      <c r="BI37" s="260"/>
      <c r="BJ37" s="241"/>
      <c r="BK37" s="260"/>
      <c r="BL37" s="239"/>
      <c r="BM37" s="256"/>
      <c r="BN37" s="241"/>
      <c r="BO37" s="243"/>
      <c r="BP37" s="241"/>
      <c r="BQ37" s="239"/>
      <c r="BR37" s="276"/>
      <c r="BS37" s="256"/>
      <c r="BT37" s="260"/>
      <c r="BU37" s="261"/>
      <c r="BV37" s="260"/>
      <c r="BW37" s="239"/>
      <c r="BX37" s="260"/>
      <c r="BY37" s="260"/>
      <c r="BZ37" s="239"/>
      <c r="CA37" s="260"/>
      <c r="CB37" s="239"/>
      <c r="CC37" s="260"/>
      <c r="CD37" s="539"/>
      <c r="CE37" s="239"/>
      <c r="CF37" s="276"/>
      <c r="CG37" s="256"/>
      <c r="CH37" s="259"/>
      <c r="CI37" s="347"/>
      <c r="CJ37" s="540"/>
      <c r="CK37" s="256"/>
      <c r="CL37" s="244">
        <v>1</v>
      </c>
      <c r="CM37" s="274">
        <f t="shared" si="0"/>
        <v>2015</v>
      </c>
      <c r="CN37" s="244">
        <f>IF('Grille de saisie'!CM37&lt;18,0,IF('Grille de saisie'!CM37&lt;40,1,IF('Grille de saisie'!CM37&lt;65,2,IF('Grille de saisie'!CM37&lt;100,3,4))))</f>
        <v>4</v>
      </c>
      <c r="CO37" s="236">
        <f>IF(AND('Grille de saisie'!C37=1,'Grille de saisie'!BZ37=0),1,IF(AND('Grille de saisie'!C37="",'Grille de saisie'!BZ37=""),3,IF(AND('Grille de saisie'!C37=5),3,2)))</f>
        <v>3</v>
      </c>
      <c r="CP37" s="236">
        <f>IF(AND('Grille de saisie'!C37=1,'Grille de saisie'!BZ37=0),1,IF(AND('Grille de saisie'!C37=1,'Grille de saisie'!BZ37=1),2,IF(AND('Grille de saisie'!C37=2,'Grille de saisie'!BZ37=0),2,IF(AND('Grille de saisie'!C37=3,'Grille de saisie'!BZ37=0),3,IF(AND('Grille de saisie'!C37=2,'Grille de saisie'!BZ37=1),3,IF(AND('Grille de saisie'!C37=1,'Grille de saisie'!BZ37=2),3,IF(AND('Grille de saisie'!C37="",'Grille de saisie'!BZ37=""),5,IF(AND('Grille de saisie'!C37=5),5,4))))))))</f>
        <v>5</v>
      </c>
      <c r="CQ37" s="237">
        <f>IF('Grille de saisie'!BZ37="",3,IF('Grille de saisie'!C37=5,3,IF('Grille de saisie'!BZ37=0,1,2)))</f>
        <v>3</v>
      </c>
    </row>
    <row r="38" spans="1:95" ht="15">
      <c r="A38" s="510">
        <v>36</v>
      </c>
      <c r="B38" s="240"/>
      <c r="C38" s="513"/>
      <c r="D38" s="240"/>
      <c r="E38" s="517"/>
      <c r="F38" s="265"/>
      <c r="G38" s="513"/>
      <c r="H38" s="265"/>
      <c r="I38" s="520"/>
      <c r="J38" s="241"/>
      <c r="K38" s="520"/>
      <c r="L38" s="241"/>
      <c r="M38" s="521"/>
      <c r="N38" s="241"/>
      <c r="O38" s="521"/>
      <c r="P38" s="241"/>
      <c r="Q38" s="520"/>
      <c r="R38" s="241"/>
      <c r="S38" s="520"/>
      <c r="T38" s="241"/>
      <c r="U38" s="520"/>
      <c r="V38" s="241"/>
      <c r="W38" s="242"/>
      <c r="X38" s="241"/>
      <c r="Y38" s="242"/>
      <c r="Z38" s="241"/>
      <c r="AA38" s="241"/>
      <c r="AB38" s="275"/>
      <c r="AC38" s="524"/>
      <c r="AD38" s="241"/>
      <c r="AE38" s="241"/>
      <c r="AF38" s="241"/>
      <c r="AG38" s="241"/>
      <c r="AH38" s="241"/>
      <c r="AI38" s="241"/>
      <c r="AJ38" s="529"/>
      <c r="AK38" s="258"/>
      <c r="AL38" s="241"/>
      <c r="AM38" s="242"/>
      <c r="AN38" s="241"/>
      <c r="AO38" s="242"/>
      <c r="AP38" s="241"/>
      <c r="AQ38" s="242"/>
      <c r="AR38" s="241"/>
      <c r="AS38" s="242"/>
      <c r="AT38" s="241"/>
      <c r="AU38" s="241"/>
      <c r="AV38" s="256"/>
      <c r="AW38" s="241"/>
      <c r="AX38" s="256"/>
      <c r="AY38" s="241"/>
      <c r="AZ38" s="256"/>
      <c r="BA38" s="239"/>
      <c r="BB38" s="242"/>
      <c r="BC38" s="239"/>
      <c r="BD38" s="242"/>
      <c r="BE38" s="239"/>
      <c r="BF38" s="241"/>
      <c r="BG38" s="239"/>
      <c r="BH38" s="241"/>
      <c r="BI38" s="260"/>
      <c r="BJ38" s="241"/>
      <c r="BK38" s="260"/>
      <c r="BL38" s="239"/>
      <c r="BM38" s="256"/>
      <c r="BN38" s="241"/>
      <c r="BO38" s="243"/>
      <c r="BP38" s="241"/>
      <c r="BQ38" s="239"/>
      <c r="BR38" s="276"/>
      <c r="BS38" s="256"/>
      <c r="BT38" s="260"/>
      <c r="BU38" s="261"/>
      <c r="BV38" s="260"/>
      <c r="BW38" s="239"/>
      <c r="BX38" s="260"/>
      <c r="BY38" s="260"/>
      <c r="BZ38" s="239"/>
      <c r="CA38" s="260"/>
      <c r="CB38" s="239"/>
      <c r="CC38" s="260"/>
      <c r="CD38" s="539"/>
      <c r="CE38" s="239"/>
      <c r="CF38" s="276"/>
      <c r="CG38" s="256"/>
      <c r="CH38" s="259"/>
      <c r="CI38" s="347"/>
      <c r="CJ38" s="540"/>
      <c r="CK38" s="256"/>
      <c r="CL38" s="244">
        <v>1</v>
      </c>
      <c r="CM38" s="274">
        <f t="shared" si="0"/>
        <v>2015</v>
      </c>
      <c r="CN38" s="244">
        <f>IF('Grille de saisie'!CM38&lt;18,0,IF('Grille de saisie'!CM38&lt;40,1,IF('Grille de saisie'!CM38&lt;65,2,IF('Grille de saisie'!CM38&lt;100,3,4))))</f>
        <v>4</v>
      </c>
      <c r="CO38" s="236">
        <f>IF(AND('Grille de saisie'!C38=1,'Grille de saisie'!BZ38=0),1,IF(AND('Grille de saisie'!C38="",'Grille de saisie'!BZ38=""),3,IF(AND('Grille de saisie'!C38=5),3,2)))</f>
        <v>3</v>
      </c>
      <c r="CP38" s="236">
        <f>IF(AND('Grille de saisie'!C38=1,'Grille de saisie'!BZ38=0),1,IF(AND('Grille de saisie'!C38=1,'Grille de saisie'!BZ38=1),2,IF(AND('Grille de saisie'!C38=2,'Grille de saisie'!BZ38=0),2,IF(AND('Grille de saisie'!C38=3,'Grille de saisie'!BZ38=0),3,IF(AND('Grille de saisie'!C38=2,'Grille de saisie'!BZ38=1),3,IF(AND('Grille de saisie'!C38=1,'Grille de saisie'!BZ38=2),3,IF(AND('Grille de saisie'!C38="",'Grille de saisie'!BZ38=""),5,IF(AND('Grille de saisie'!C38=5),5,4))))))))</f>
        <v>5</v>
      </c>
      <c r="CQ38" s="237">
        <f>IF('Grille de saisie'!BZ38="",3,IF('Grille de saisie'!C38=5,3,IF('Grille de saisie'!BZ38=0,1,2)))</f>
        <v>3</v>
      </c>
    </row>
    <row r="39" spans="1:95" ht="15">
      <c r="A39" s="511">
        <v>37</v>
      </c>
      <c r="B39" s="240"/>
      <c r="C39" s="513"/>
      <c r="D39" s="240"/>
      <c r="E39" s="517"/>
      <c r="F39" s="265"/>
      <c r="G39" s="513"/>
      <c r="H39" s="265"/>
      <c r="I39" s="520"/>
      <c r="J39" s="241"/>
      <c r="K39" s="520"/>
      <c r="L39" s="241"/>
      <c r="M39" s="521"/>
      <c r="N39" s="241"/>
      <c r="O39" s="521"/>
      <c r="P39" s="241"/>
      <c r="Q39" s="520"/>
      <c r="R39" s="241"/>
      <c r="S39" s="520"/>
      <c r="T39" s="241"/>
      <c r="U39" s="520"/>
      <c r="V39" s="241"/>
      <c r="W39" s="242"/>
      <c r="X39" s="241"/>
      <c r="Y39" s="242"/>
      <c r="Z39" s="241"/>
      <c r="AA39" s="241"/>
      <c r="AB39" s="275"/>
      <c r="AC39" s="524"/>
      <c r="AD39" s="241"/>
      <c r="AE39" s="241"/>
      <c r="AF39" s="241"/>
      <c r="AG39" s="241"/>
      <c r="AH39" s="241"/>
      <c r="AI39" s="241"/>
      <c r="AJ39" s="529"/>
      <c r="AK39" s="258"/>
      <c r="AL39" s="241"/>
      <c r="AM39" s="242"/>
      <c r="AN39" s="241"/>
      <c r="AO39" s="242"/>
      <c r="AP39" s="241"/>
      <c r="AQ39" s="242"/>
      <c r="AR39" s="241"/>
      <c r="AS39" s="242"/>
      <c r="AT39" s="241"/>
      <c r="AU39" s="241"/>
      <c r="AV39" s="256"/>
      <c r="AW39" s="241"/>
      <c r="AX39" s="256"/>
      <c r="AY39" s="241"/>
      <c r="AZ39" s="256"/>
      <c r="BA39" s="239"/>
      <c r="BB39" s="242"/>
      <c r="BC39" s="239"/>
      <c r="BD39" s="242"/>
      <c r="BE39" s="239"/>
      <c r="BF39" s="241"/>
      <c r="BG39" s="239"/>
      <c r="BH39" s="241"/>
      <c r="BI39" s="260"/>
      <c r="BJ39" s="241"/>
      <c r="BK39" s="260"/>
      <c r="BL39" s="239"/>
      <c r="BM39" s="256"/>
      <c r="BN39" s="241"/>
      <c r="BO39" s="243"/>
      <c r="BP39" s="241"/>
      <c r="BQ39" s="239"/>
      <c r="BR39" s="276"/>
      <c r="BS39" s="256"/>
      <c r="BT39" s="260"/>
      <c r="BU39" s="261"/>
      <c r="BV39" s="260"/>
      <c r="BW39" s="239"/>
      <c r="BX39" s="260"/>
      <c r="BY39" s="260"/>
      <c r="BZ39" s="239"/>
      <c r="CA39" s="260"/>
      <c r="CB39" s="239"/>
      <c r="CC39" s="260"/>
      <c r="CD39" s="539"/>
      <c r="CE39" s="239"/>
      <c r="CF39" s="276"/>
      <c r="CG39" s="256"/>
      <c r="CH39" s="259"/>
      <c r="CI39" s="347"/>
      <c r="CJ39" s="540"/>
      <c r="CK39" s="256"/>
      <c r="CL39" s="244">
        <v>1</v>
      </c>
      <c r="CM39" s="274">
        <f t="shared" si="0"/>
        <v>2015</v>
      </c>
      <c r="CN39" s="244">
        <f>IF('Grille de saisie'!CM39&lt;18,0,IF('Grille de saisie'!CM39&lt;40,1,IF('Grille de saisie'!CM39&lt;65,2,IF('Grille de saisie'!CM39&lt;100,3,4))))</f>
        <v>4</v>
      </c>
      <c r="CO39" s="236">
        <f>IF(AND('Grille de saisie'!C39=1,'Grille de saisie'!BZ39=0),1,IF(AND('Grille de saisie'!C39="",'Grille de saisie'!BZ39=""),3,IF(AND('Grille de saisie'!C39=5),3,2)))</f>
        <v>3</v>
      </c>
      <c r="CP39" s="236">
        <f>IF(AND('Grille de saisie'!C39=1,'Grille de saisie'!BZ39=0),1,IF(AND('Grille de saisie'!C39=1,'Grille de saisie'!BZ39=1),2,IF(AND('Grille de saisie'!C39=2,'Grille de saisie'!BZ39=0),2,IF(AND('Grille de saisie'!C39=3,'Grille de saisie'!BZ39=0),3,IF(AND('Grille de saisie'!C39=2,'Grille de saisie'!BZ39=1),3,IF(AND('Grille de saisie'!C39=1,'Grille de saisie'!BZ39=2),3,IF(AND('Grille de saisie'!C39="",'Grille de saisie'!BZ39=""),5,IF(AND('Grille de saisie'!C39=5),5,4))))))))</f>
        <v>5</v>
      </c>
      <c r="CQ39" s="237">
        <f>IF('Grille de saisie'!BZ39="",3,IF('Grille de saisie'!C39=5,3,IF('Grille de saisie'!BZ39=0,1,2)))</f>
        <v>3</v>
      </c>
    </row>
    <row r="40" spans="1:95" ht="15">
      <c r="A40" s="510">
        <v>38</v>
      </c>
      <c r="B40" s="240"/>
      <c r="C40" s="513"/>
      <c r="D40" s="240"/>
      <c r="E40" s="517"/>
      <c r="F40" s="265"/>
      <c r="G40" s="513"/>
      <c r="H40" s="265"/>
      <c r="I40" s="520"/>
      <c r="J40" s="241"/>
      <c r="K40" s="520"/>
      <c r="L40" s="241"/>
      <c r="M40" s="521"/>
      <c r="N40" s="241"/>
      <c r="O40" s="521"/>
      <c r="P40" s="241"/>
      <c r="Q40" s="520"/>
      <c r="R40" s="241"/>
      <c r="S40" s="520"/>
      <c r="T40" s="241"/>
      <c r="U40" s="520"/>
      <c r="V40" s="241"/>
      <c r="W40" s="242"/>
      <c r="X40" s="241"/>
      <c r="Y40" s="242"/>
      <c r="Z40" s="241"/>
      <c r="AA40" s="241"/>
      <c r="AB40" s="275"/>
      <c r="AC40" s="524"/>
      <c r="AD40" s="241"/>
      <c r="AE40" s="241"/>
      <c r="AF40" s="241"/>
      <c r="AG40" s="241"/>
      <c r="AH40" s="241"/>
      <c r="AI40" s="241"/>
      <c r="AJ40" s="529"/>
      <c r="AK40" s="258"/>
      <c r="AL40" s="241"/>
      <c r="AM40" s="242"/>
      <c r="AN40" s="241"/>
      <c r="AO40" s="242"/>
      <c r="AP40" s="241"/>
      <c r="AQ40" s="242"/>
      <c r="AR40" s="241"/>
      <c r="AS40" s="242"/>
      <c r="AT40" s="241"/>
      <c r="AU40" s="241"/>
      <c r="AV40" s="256"/>
      <c r="AW40" s="241"/>
      <c r="AX40" s="256"/>
      <c r="AY40" s="241"/>
      <c r="AZ40" s="256"/>
      <c r="BA40" s="239"/>
      <c r="BB40" s="242"/>
      <c r="BC40" s="239"/>
      <c r="BD40" s="242"/>
      <c r="BE40" s="239"/>
      <c r="BF40" s="241"/>
      <c r="BG40" s="239"/>
      <c r="BH40" s="241"/>
      <c r="BI40" s="260"/>
      <c r="BJ40" s="241"/>
      <c r="BK40" s="260"/>
      <c r="BL40" s="239"/>
      <c r="BM40" s="256"/>
      <c r="BN40" s="241"/>
      <c r="BO40" s="243"/>
      <c r="BP40" s="241"/>
      <c r="BQ40" s="239"/>
      <c r="BR40" s="276"/>
      <c r="BS40" s="256"/>
      <c r="BT40" s="260"/>
      <c r="BU40" s="261"/>
      <c r="BV40" s="260"/>
      <c r="BW40" s="239"/>
      <c r="BX40" s="260"/>
      <c r="BY40" s="260"/>
      <c r="BZ40" s="239"/>
      <c r="CA40" s="260"/>
      <c r="CB40" s="239"/>
      <c r="CC40" s="260"/>
      <c r="CD40" s="539"/>
      <c r="CE40" s="239"/>
      <c r="CF40" s="276"/>
      <c r="CG40" s="256"/>
      <c r="CH40" s="259"/>
      <c r="CI40" s="347"/>
      <c r="CJ40" s="540"/>
      <c r="CK40" s="256"/>
      <c r="CL40" s="244">
        <v>1</v>
      </c>
      <c r="CM40" s="274">
        <f t="shared" si="0"/>
        <v>2015</v>
      </c>
      <c r="CN40" s="244">
        <f>IF('Grille de saisie'!CM40&lt;18,0,IF('Grille de saisie'!CM40&lt;40,1,IF('Grille de saisie'!CM40&lt;65,2,IF('Grille de saisie'!CM40&lt;100,3,4))))</f>
        <v>4</v>
      </c>
      <c r="CO40" s="236">
        <f>IF(AND('Grille de saisie'!C40=1,'Grille de saisie'!BZ40=0),1,IF(AND('Grille de saisie'!C40="",'Grille de saisie'!BZ40=""),3,IF(AND('Grille de saisie'!C40=5),3,2)))</f>
        <v>3</v>
      </c>
      <c r="CP40" s="236">
        <f>IF(AND('Grille de saisie'!C40=1,'Grille de saisie'!BZ40=0),1,IF(AND('Grille de saisie'!C40=1,'Grille de saisie'!BZ40=1),2,IF(AND('Grille de saisie'!C40=2,'Grille de saisie'!BZ40=0),2,IF(AND('Grille de saisie'!C40=3,'Grille de saisie'!BZ40=0),3,IF(AND('Grille de saisie'!C40=2,'Grille de saisie'!BZ40=1),3,IF(AND('Grille de saisie'!C40=1,'Grille de saisie'!BZ40=2),3,IF(AND('Grille de saisie'!C40="",'Grille de saisie'!BZ40=""),5,IF(AND('Grille de saisie'!C40=5),5,4))))))))</f>
        <v>5</v>
      </c>
      <c r="CQ40" s="237">
        <f>IF('Grille de saisie'!BZ40="",3,IF('Grille de saisie'!C40=5,3,IF('Grille de saisie'!BZ40=0,1,2)))</f>
        <v>3</v>
      </c>
    </row>
    <row r="41" spans="1:95" ht="15">
      <c r="A41" s="510">
        <v>39</v>
      </c>
      <c r="B41" s="240"/>
      <c r="C41" s="513"/>
      <c r="D41" s="240"/>
      <c r="E41" s="517"/>
      <c r="F41" s="265"/>
      <c r="G41" s="513"/>
      <c r="H41" s="265"/>
      <c r="I41" s="520"/>
      <c r="J41" s="241"/>
      <c r="K41" s="520"/>
      <c r="L41" s="241"/>
      <c r="M41" s="521"/>
      <c r="N41" s="241"/>
      <c r="O41" s="521"/>
      <c r="P41" s="241"/>
      <c r="Q41" s="520"/>
      <c r="R41" s="241"/>
      <c r="S41" s="520"/>
      <c r="T41" s="241"/>
      <c r="U41" s="520"/>
      <c r="V41" s="241"/>
      <c r="W41" s="242"/>
      <c r="X41" s="241"/>
      <c r="Y41" s="242"/>
      <c r="Z41" s="241"/>
      <c r="AA41" s="241"/>
      <c r="AB41" s="275"/>
      <c r="AC41" s="524"/>
      <c r="AD41" s="241"/>
      <c r="AE41" s="241"/>
      <c r="AF41" s="241"/>
      <c r="AG41" s="241"/>
      <c r="AH41" s="241"/>
      <c r="AI41" s="241"/>
      <c r="AJ41" s="529"/>
      <c r="AK41" s="258"/>
      <c r="AL41" s="241"/>
      <c r="AM41" s="242"/>
      <c r="AN41" s="241"/>
      <c r="AO41" s="242"/>
      <c r="AP41" s="241"/>
      <c r="AQ41" s="242"/>
      <c r="AR41" s="241"/>
      <c r="AS41" s="242"/>
      <c r="AT41" s="241"/>
      <c r="AU41" s="241"/>
      <c r="AV41" s="256"/>
      <c r="AW41" s="241"/>
      <c r="AX41" s="256"/>
      <c r="AY41" s="241"/>
      <c r="AZ41" s="256"/>
      <c r="BA41" s="239"/>
      <c r="BB41" s="242"/>
      <c r="BC41" s="239"/>
      <c r="BD41" s="242"/>
      <c r="BE41" s="239"/>
      <c r="BF41" s="241"/>
      <c r="BG41" s="239"/>
      <c r="BH41" s="241"/>
      <c r="BI41" s="260"/>
      <c r="BJ41" s="241"/>
      <c r="BK41" s="260"/>
      <c r="BL41" s="239"/>
      <c r="BM41" s="256"/>
      <c r="BN41" s="241"/>
      <c r="BO41" s="243"/>
      <c r="BP41" s="241"/>
      <c r="BQ41" s="239"/>
      <c r="BR41" s="276"/>
      <c r="BS41" s="256"/>
      <c r="BT41" s="260"/>
      <c r="BU41" s="261"/>
      <c r="BV41" s="260"/>
      <c r="BW41" s="239"/>
      <c r="BX41" s="260"/>
      <c r="BY41" s="260"/>
      <c r="BZ41" s="239"/>
      <c r="CA41" s="260"/>
      <c r="CB41" s="239"/>
      <c r="CC41" s="260"/>
      <c r="CD41" s="539"/>
      <c r="CE41" s="239"/>
      <c r="CF41" s="276"/>
      <c r="CG41" s="256"/>
      <c r="CH41" s="259"/>
      <c r="CI41" s="347"/>
      <c r="CJ41" s="540"/>
      <c r="CK41" s="256"/>
      <c r="CL41" s="244">
        <v>1</v>
      </c>
      <c r="CM41" s="274">
        <f t="shared" si="0"/>
        <v>2015</v>
      </c>
      <c r="CN41" s="244">
        <f>IF('Grille de saisie'!CM41&lt;18,0,IF('Grille de saisie'!CM41&lt;40,1,IF('Grille de saisie'!CM41&lt;65,2,IF('Grille de saisie'!CM41&lt;100,3,4))))</f>
        <v>4</v>
      </c>
      <c r="CO41" s="236">
        <f>IF(AND('Grille de saisie'!C41=1,'Grille de saisie'!BZ41=0),1,IF(AND('Grille de saisie'!C41="",'Grille de saisie'!BZ41=""),3,IF(AND('Grille de saisie'!C41=5),3,2)))</f>
        <v>3</v>
      </c>
      <c r="CP41" s="236">
        <f>IF(AND('Grille de saisie'!C41=1,'Grille de saisie'!BZ41=0),1,IF(AND('Grille de saisie'!C41=1,'Grille de saisie'!BZ41=1),2,IF(AND('Grille de saisie'!C41=2,'Grille de saisie'!BZ41=0),2,IF(AND('Grille de saisie'!C41=3,'Grille de saisie'!BZ41=0),3,IF(AND('Grille de saisie'!C41=2,'Grille de saisie'!BZ41=1),3,IF(AND('Grille de saisie'!C41=1,'Grille de saisie'!BZ41=2),3,IF(AND('Grille de saisie'!C41="",'Grille de saisie'!BZ41=""),5,IF(AND('Grille de saisie'!C41=5),5,4))))))))</f>
        <v>5</v>
      </c>
      <c r="CQ41" s="237">
        <f>IF('Grille de saisie'!BZ41="",3,IF('Grille de saisie'!C41=5,3,IF('Grille de saisie'!BZ41=0,1,2)))</f>
        <v>3</v>
      </c>
    </row>
    <row r="42" spans="1:95" ht="15">
      <c r="A42" s="511">
        <v>40</v>
      </c>
      <c r="B42" s="240"/>
      <c r="C42" s="513"/>
      <c r="D42" s="240"/>
      <c r="E42" s="517"/>
      <c r="F42" s="265"/>
      <c r="G42" s="513"/>
      <c r="H42" s="265"/>
      <c r="I42" s="520"/>
      <c r="J42" s="241"/>
      <c r="K42" s="520"/>
      <c r="L42" s="241"/>
      <c r="M42" s="521"/>
      <c r="N42" s="241"/>
      <c r="O42" s="521"/>
      <c r="P42" s="241"/>
      <c r="Q42" s="520"/>
      <c r="R42" s="241"/>
      <c r="S42" s="520"/>
      <c r="T42" s="241"/>
      <c r="U42" s="520"/>
      <c r="V42" s="241"/>
      <c r="W42" s="242"/>
      <c r="X42" s="241"/>
      <c r="Y42" s="242"/>
      <c r="Z42" s="241"/>
      <c r="AA42" s="241"/>
      <c r="AB42" s="275"/>
      <c r="AC42" s="524"/>
      <c r="AD42" s="241"/>
      <c r="AE42" s="241"/>
      <c r="AF42" s="241"/>
      <c r="AG42" s="241"/>
      <c r="AH42" s="241"/>
      <c r="AI42" s="241"/>
      <c r="AJ42" s="529"/>
      <c r="AK42" s="258"/>
      <c r="AL42" s="241"/>
      <c r="AM42" s="242"/>
      <c r="AN42" s="241"/>
      <c r="AO42" s="242"/>
      <c r="AP42" s="241"/>
      <c r="AQ42" s="242"/>
      <c r="AR42" s="241"/>
      <c r="AS42" s="242"/>
      <c r="AT42" s="241"/>
      <c r="AU42" s="241"/>
      <c r="AV42" s="256"/>
      <c r="AW42" s="241"/>
      <c r="AX42" s="256"/>
      <c r="AY42" s="241"/>
      <c r="AZ42" s="256"/>
      <c r="BA42" s="239"/>
      <c r="BB42" s="242"/>
      <c r="BC42" s="239"/>
      <c r="BD42" s="242"/>
      <c r="BE42" s="239"/>
      <c r="BF42" s="241"/>
      <c r="BG42" s="239"/>
      <c r="BH42" s="241"/>
      <c r="BI42" s="260"/>
      <c r="BJ42" s="241"/>
      <c r="BK42" s="260"/>
      <c r="BL42" s="239"/>
      <c r="BM42" s="256"/>
      <c r="BN42" s="241"/>
      <c r="BO42" s="243"/>
      <c r="BP42" s="241"/>
      <c r="BQ42" s="239"/>
      <c r="BR42" s="276"/>
      <c r="BS42" s="256"/>
      <c r="BT42" s="260"/>
      <c r="BU42" s="261"/>
      <c r="BV42" s="260"/>
      <c r="BW42" s="239"/>
      <c r="BX42" s="260"/>
      <c r="BY42" s="260"/>
      <c r="BZ42" s="239"/>
      <c r="CA42" s="260"/>
      <c r="CB42" s="239"/>
      <c r="CC42" s="260"/>
      <c r="CD42" s="539"/>
      <c r="CE42" s="239"/>
      <c r="CF42" s="276"/>
      <c r="CG42" s="256"/>
      <c r="CH42" s="259"/>
      <c r="CI42" s="347"/>
      <c r="CJ42" s="540"/>
      <c r="CK42" s="256"/>
      <c r="CL42" s="244">
        <v>1</v>
      </c>
      <c r="CM42" s="274">
        <f t="shared" si="0"/>
        <v>2015</v>
      </c>
      <c r="CN42" s="244">
        <f>IF('Grille de saisie'!CM42&lt;18,0,IF('Grille de saisie'!CM42&lt;40,1,IF('Grille de saisie'!CM42&lt;65,2,IF('Grille de saisie'!CM42&lt;100,3,4))))</f>
        <v>4</v>
      </c>
      <c r="CO42" s="236">
        <f>IF(AND('Grille de saisie'!C42=1,'Grille de saisie'!BZ42=0),1,IF(AND('Grille de saisie'!C42="",'Grille de saisie'!BZ42=""),3,IF(AND('Grille de saisie'!C42=5),3,2)))</f>
        <v>3</v>
      </c>
      <c r="CP42" s="236">
        <f>IF(AND('Grille de saisie'!C42=1,'Grille de saisie'!BZ42=0),1,IF(AND('Grille de saisie'!C42=1,'Grille de saisie'!BZ42=1),2,IF(AND('Grille de saisie'!C42=2,'Grille de saisie'!BZ42=0),2,IF(AND('Grille de saisie'!C42=3,'Grille de saisie'!BZ42=0),3,IF(AND('Grille de saisie'!C42=2,'Grille de saisie'!BZ42=1),3,IF(AND('Grille de saisie'!C42=1,'Grille de saisie'!BZ42=2),3,IF(AND('Grille de saisie'!C42="",'Grille de saisie'!BZ42=""),5,IF(AND('Grille de saisie'!C42=5),5,4))))))))</f>
        <v>5</v>
      </c>
      <c r="CQ42" s="237">
        <f>IF('Grille de saisie'!BZ42="",3,IF('Grille de saisie'!C42=5,3,IF('Grille de saisie'!BZ42=0,1,2)))</f>
        <v>3</v>
      </c>
    </row>
    <row r="43" spans="1:95" ht="15">
      <c r="A43" s="510">
        <v>41</v>
      </c>
      <c r="B43" s="240"/>
      <c r="C43" s="513"/>
      <c r="D43" s="240"/>
      <c r="E43" s="517"/>
      <c r="F43" s="265"/>
      <c r="G43" s="513"/>
      <c r="H43" s="265"/>
      <c r="I43" s="520"/>
      <c r="J43" s="241"/>
      <c r="K43" s="520"/>
      <c r="L43" s="241"/>
      <c r="M43" s="521"/>
      <c r="N43" s="241"/>
      <c r="O43" s="521"/>
      <c r="P43" s="241"/>
      <c r="Q43" s="520"/>
      <c r="R43" s="241"/>
      <c r="S43" s="520"/>
      <c r="T43" s="241"/>
      <c r="U43" s="520"/>
      <c r="V43" s="241"/>
      <c r="W43" s="242"/>
      <c r="X43" s="241"/>
      <c r="Y43" s="242"/>
      <c r="Z43" s="241"/>
      <c r="AA43" s="241"/>
      <c r="AB43" s="275"/>
      <c r="AC43" s="524"/>
      <c r="AD43" s="241"/>
      <c r="AE43" s="241"/>
      <c r="AF43" s="241"/>
      <c r="AG43" s="241"/>
      <c r="AH43" s="241"/>
      <c r="AI43" s="241"/>
      <c r="AJ43" s="529"/>
      <c r="AK43" s="258"/>
      <c r="AL43" s="241"/>
      <c r="AM43" s="242"/>
      <c r="AN43" s="241"/>
      <c r="AO43" s="242"/>
      <c r="AP43" s="241"/>
      <c r="AQ43" s="242"/>
      <c r="AR43" s="241"/>
      <c r="AS43" s="242"/>
      <c r="AT43" s="241"/>
      <c r="AU43" s="241"/>
      <c r="AV43" s="256"/>
      <c r="AW43" s="241"/>
      <c r="AX43" s="256"/>
      <c r="AY43" s="241"/>
      <c r="AZ43" s="256"/>
      <c r="BA43" s="239"/>
      <c r="BB43" s="242"/>
      <c r="BC43" s="239"/>
      <c r="BD43" s="242"/>
      <c r="BE43" s="239"/>
      <c r="BF43" s="241"/>
      <c r="BG43" s="239"/>
      <c r="BH43" s="241"/>
      <c r="BI43" s="260"/>
      <c r="BJ43" s="241"/>
      <c r="BK43" s="260"/>
      <c r="BL43" s="239"/>
      <c r="BM43" s="256"/>
      <c r="BN43" s="241"/>
      <c r="BO43" s="243"/>
      <c r="BP43" s="241"/>
      <c r="BQ43" s="239"/>
      <c r="BR43" s="276"/>
      <c r="BS43" s="256"/>
      <c r="BT43" s="260"/>
      <c r="BU43" s="261"/>
      <c r="BV43" s="260"/>
      <c r="BW43" s="239"/>
      <c r="BX43" s="260"/>
      <c r="BY43" s="260"/>
      <c r="BZ43" s="239"/>
      <c r="CA43" s="260"/>
      <c r="CB43" s="239"/>
      <c r="CC43" s="260"/>
      <c r="CD43" s="539"/>
      <c r="CE43" s="239"/>
      <c r="CF43" s="276"/>
      <c r="CG43" s="256"/>
      <c r="CH43" s="259"/>
      <c r="CI43" s="347"/>
      <c r="CJ43" s="540"/>
      <c r="CK43" s="256"/>
      <c r="CL43" s="244">
        <v>1</v>
      </c>
      <c r="CM43" s="274">
        <f t="shared" si="0"/>
        <v>2015</v>
      </c>
      <c r="CN43" s="244">
        <f>IF('Grille de saisie'!CM43&lt;18,0,IF('Grille de saisie'!CM43&lt;40,1,IF('Grille de saisie'!CM43&lt;65,2,IF('Grille de saisie'!CM43&lt;100,3,4))))</f>
        <v>4</v>
      </c>
      <c r="CO43" s="236">
        <f>IF(AND('Grille de saisie'!C43=1,'Grille de saisie'!BZ43=0),1,IF(AND('Grille de saisie'!C43="",'Grille de saisie'!BZ43=""),3,IF(AND('Grille de saisie'!C43=5),3,2)))</f>
        <v>3</v>
      </c>
      <c r="CP43" s="236">
        <f>IF(AND('Grille de saisie'!C43=1,'Grille de saisie'!BZ43=0),1,IF(AND('Grille de saisie'!C43=1,'Grille de saisie'!BZ43=1),2,IF(AND('Grille de saisie'!C43=2,'Grille de saisie'!BZ43=0),2,IF(AND('Grille de saisie'!C43=3,'Grille de saisie'!BZ43=0),3,IF(AND('Grille de saisie'!C43=2,'Grille de saisie'!BZ43=1),3,IF(AND('Grille de saisie'!C43=1,'Grille de saisie'!BZ43=2),3,IF(AND('Grille de saisie'!C43="",'Grille de saisie'!BZ43=""),5,IF(AND('Grille de saisie'!C43=5),5,4))))))))</f>
        <v>5</v>
      </c>
      <c r="CQ43" s="237">
        <f>IF('Grille de saisie'!BZ43="",3,IF('Grille de saisie'!C43=5,3,IF('Grille de saisie'!BZ43=0,1,2)))</f>
        <v>3</v>
      </c>
    </row>
    <row r="44" spans="1:95" ht="15">
      <c r="A44" s="510">
        <v>42</v>
      </c>
      <c r="B44" s="240"/>
      <c r="C44" s="513"/>
      <c r="D44" s="240"/>
      <c r="E44" s="517"/>
      <c r="F44" s="265"/>
      <c r="G44" s="513"/>
      <c r="H44" s="265"/>
      <c r="I44" s="520"/>
      <c r="J44" s="241"/>
      <c r="K44" s="520"/>
      <c r="L44" s="241"/>
      <c r="M44" s="521"/>
      <c r="N44" s="241"/>
      <c r="O44" s="521"/>
      <c r="P44" s="241"/>
      <c r="Q44" s="520"/>
      <c r="R44" s="241"/>
      <c r="S44" s="520"/>
      <c r="T44" s="241"/>
      <c r="U44" s="520"/>
      <c r="V44" s="241"/>
      <c r="W44" s="242"/>
      <c r="X44" s="241"/>
      <c r="Y44" s="242"/>
      <c r="Z44" s="241"/>
      <c r="AA44" s="241"/>
      <c r="AB44" s="275"/>
      <c r="AC44" s="524"/>
      <c r="AD44" s="241"/>
      <c r="AE44" s="241"/>
      <c r="AF44" s="241"/>
      <c r="AG44" s="241"/>
      <c r="AH44" s="241"/>
      <c r="AI44" s="241"/>
      <c r="AJ44" s="529"/>
      <c r="AK44" s="258"/>
      <c r="AL44" s="241"/>
      <c r="AM44" s="242"/>
      <c r="AN44" s="241"/>
      <c r="AO44" s="242"/>
      <c r="AP44" s="241"/>
      <c r="AQ44" s="242"/>
      <c r="AR44" s="241"/>
      <c r="AS44" s="242"/>
      <c r="AT44" s="241"/>
      <c r="AU44" s="241"/>
      <c r="AV44" s="256"/>
      <c r="AW44" s="241"/>
      <c r="AX44" s="256"/>
      <c r="AY44" s="241"/>
      <c r="AZ44" s="256"/>
      <c r="BA44" s="239"/>
      <c r="BB44" s="242"/>
      <c r="BC44" s="239"/>
      <c r="BD44" s="242"/>
      <c r="BE44" s="239"/>
      <c r="BF44" s="241"/>
      <c r="BG44" s="239"/>
      <c r="BH44" s="241"/>
      <c r="BI44" s="260"/>
      <c r="BJ44" s="241"/>
      <c r="BK44" s="260"/>
      <c r="BL44" s="239"/>
      <c r="BM44" s="256"/>
      <c r="BN44" s="241"/>
      <c r="BO44" s="243"/>
      <c r="BP44" s="241"/>
      <c r="BQ44" s="239"/>
      <c r="BR44" s="276"/>
      <c r="BS44" s="256"/>
      <c r="BT44" s="260"/>
      <c r="BU44" s="261"/>
      <c r="BV44" s="260"/>
      <c r="BW44" s="239"/>
      <c r="BX44" s="260"/>
      <c r="BY44" s="260"/>
      <c r="BZ44" s="239"/>
      <c r="CA44" s="260"/>
      <c r="CB44" s="239"/>
      <c r="CC44" s="260"/>
      <c r="CD44" s="539"/>
      <c r="CE44" s="239"/>
      <c r="CF44" s="276"/>
      <c r="CG44" s="256"/>
      <c r="CH44" s="259"/>
      <c r="CI44" s="347"/>
      <c r="CJ44" s="540"/>
      <c r="CK44" s="256"/>
      <c r="CL44" s="244">
        <v>1</v>
      </c>
      <c r="CM44" s="274">
        <f t="shared" si="0"/>
        <v>2015</v>
      </c>
      <c r="CN44" s="244">
        <f>IF('Grille de saisie'!CM44&lt;18,0,IF('Grille de saisie'!CM44&lt;40,1,IF('Grille de saisie'!CM44&lt;65,2,IF('Grille de saisie'!CM44&lt;100,3,4))))</f>
        <v>4</v>
      </c>
      <c r="CO44" s="236">
        <f>IF(AND('Grille de saisie'!C44=1,'Grille de saisie'!BZ44=0),1,IF(AND('Grille de saisie'!C44="",'Grille de saisie'!BZ44=""),3,IF(AND('Grille de saisie'!C44=5),3,2)))</f>
        <v>3</v>
      </c>
      <c r="CP44" s="236">
        <f>IF(AND('Grille de saisie'!C44=1,'Grille de saisie'!BZ44=0),1,IF(AND('Grille de saisie'!C44=1,'Grille de saisie'!BZ44=1),2,IF(AND('Grille de saisie'!C44=2,'Grille de saisie'!BZ44=0),2,IF(AND('Grille de saisie'!C44=3,'Grille de saisie'!BZ44=0),3,IF(AND('Grille de saisie'!C44=2,'Grille de saisie'!BZ44=1),3,IF(AND('Grille de saisie'!C44=1,'Grille de saisie'!BZ44=2),3,IF(AND('Grille de saisie'!C44="",'Grille de saisie'!BZ44=""),5,IF(AND('Grille de saisie'!C44=5),5,4))))))))</f>
        <v>5</v>
      </c>
      <c r="CQ44" s="237">
        <f>IF('Grille de saisie'!BZ44="",3,IF('Grille de saisie'!C44=5,3,IF('Grille de saisie'!BZ44=0,1,2)))</f>
        <v>3</v>
      </c>
    </row>
    <row r="45" spans="1:95" ht="15">
      <c r="A45" s="511">
        <v>43</v>
      </c>
      <c r="B45" s="240"/>
      <c r="C45" s="513"/>
      <c r="D45" s="240"/>
      <c r="E45" s="517"/>
      <c r="F45" s="265"/>
      <c r="G45" s="513"/>
      <c r="H45" s="265"/>
      <c r="I45" s="520"/>
      <c r="J45" s="241"/>
      <c r="K45" s="520"/>
      <c r="L45" s="241"/>
      <c r="M45" s="521"/>
      <c r="N45" s="241"/>
      <c r="O45" s="521"/>
      <c r="P45" s="241"/>
      <c r="Q45" s="520"/>
      <c r="R45" s="241"/>
      <c r="S45" s="520"/>
      <c r="T45" s="241"/>
      <c r="U45" s="520"/>
      <c r="V45" s="241"/>
      <c r="W45" s="242"/>
      <c r="X45" s="241"/>
      <c r="Y45" s="242"/>
      <c r="Z45" s="241"/>
      <c r="AA45" s="241"/>
      <c r="AB45" s="275"/>
      <c r="AC45" s="524"/>
      <c r="AD45" s="241"/>
      <c r="AE45" s="241"/>
      <c r="AF45" s="241"/>
      <c r="AG45" s="241"/>
      <c r="AH45" s="241"/>
      <c r="AI45" s="241"/>
      <c r="AJ45" s="529"/>
      <c r="AK45" s="258"/>
      <c r="AL45" s="241"/>
      <c r="AM45" s="242"/>
      <c r="AN45" s="241"/>
      <c r="AO45" s="242"/>
      <c r="AP45" s="241"/>
      <c r="AQ45" s="242"/>
      <c r="AR45" s="241"/>
      <c r="AS45" s="242"/>
      <c r="AT45" s="241"/>
      <c r="AU45" s="241"/>
      <c r="AV45" s="256"/>
      <c r="AW45" s="241"/>
      <c r="AX45" s="256"/>
      <c r="AY45" s="241"/>
      <c r="AZ45" s="256"/>
      <c r="BA45" s="239"/>
      <c r="BB45" s="242"/>
      <c r="BC45" s="239"/>
      <c r="BD45" s="242"/>
      <c r="BE45" s="239"/>
      <c r="BF45" s="241"/>
      <c r="BG45" s="239"/>
      <c r="BH45" s="241"/>
      <c r="BI45" s="260"/>
      <c r="BJ45" s="241"/>
      <c r="BK45" s="260"/>
      <c r="BL45" s="239"/>
      <c r="BM45" s="256"/>
      <c r="BN45" s="241"/>
      <c r="BO45" s="243"/>
      <c r="BP45" s="241"/>
      <c r="BQ45" s="239"/>
      <c r="BR45" s="276"/>
      <c r="BS45" s="256"/>
      <c r="BT45" s="260"/>
      <c r="BU45" s="261"/>
      <c r="BV45" s="260"/>
      <c r="BW45" s="239"/>
      <c r="BX45" s="260"/>
      <c r="BY45" s="260"/>
      <c r="BZ45" s="239"/>
      <c r="CA45" s="260"/>
      <c r="CB45" s="239"/>
      <c r="CC45" s="260"/>
      <c r="CD45" s="539"/>
      <c r="CE45" s="239"/>
      <c r="CF45" s="276"/>
      <c r="CG45" s="256"/>
      <c r="CH45" s="259"/>
      <c r="CI45" s="347"/>
      <c r="CJ45" s="540"/>
      <c r="CK45" s="256"/>
      <c r="CL45" s="244">
        <v>1</v>
      </c>
      <c r="CM45" s="274">
        <f t="shared" si="0"/>
        <v>2015</v>
      </c>
      <c r="CN45" s="244">
        <f>IF('Grille de saisie'!CM45&lt;18,0,IF('Grille de saisie'!CM45&lt;40,1,IF('Grille de saisie'!CM45&lt;65,2,IF('Grille de saisie'!CM45&lt;100,3,4))))</f>
        <v>4</v>
      </c>
      <c r="CO45" s="236">
        <f>IF(AND('Grille de saisie'!C45=1,'Grille de saisie'!BZ45=0),1,IF(AND('Grille de saisie'!C45="",'Grille de saisie'!BZ45=""),3,IF(AND('Grille de saisie'!C45=5),3,2)))</f>
        <v>3</v>
      </c>
      <c r="CP45" s="236">
        <f>IF(AND('Grille de saisie'!C45=1,'Grille de saisie'!BZ45=0),1,IF(AND('Grille de saisie'!C45=1,'Grille de saisie'!BZ45=1),2,IF(AND('Grille de saisie'!C45=2,'Grille de saisie'!BZ45=0),2,IF(AND('Grille de saisie'!C45=3,'Grille de saisie'!BZ45=0),3,IF(AND('Grille de saisie'!C45=2,'Grille de saisie'!BZ45=1),3,IF(AND('Grille de saisie'!C45=1,'Grille de saisie'!BZ45=2),3,IF(AND('Grille de saisie'!C45="",'Grille de saisie'!BZ45=""),5,IF(AND('Grille de saisie'!C45=5),5,4))))))))</f>
        <v>5</v>
      </c>
      <c r="CQ45" s="237">
        <f>IF('Grille de saisie'!BZ45="",3,IF('Grille de saisie'!C45=5,3,IF('Grille de saisie'!BZ45=0,1,2)))</f>
        <v>3</v>
      </c>
    </row>
    <row r="46" spans="1:95" ht="15">
      <c r="A46" s="510">
        <v>44</v>
      </c>
      <c r="B46" s="240"/>
      <c r="C46" s="513"/>
      <c r="D46" s="240"/>
      <c r="E46" s="517"/>
      <c r="F46" s="265"/>
      <c r="G46" s="513"/>
      <c r="H46" s="265"/>
      <c r="I46" s="520"/>
      <c r="J46" s="241"/>
      <c r="K46" s="520"/>
      <c r="L46" s="241"/>
      <c r="M46" s="521"/>
      <c r="N46" s="241"/>
      <c r="O46" s="521"/>
      <c r="P46" s="241"/>
      <c r="Q46" s="520"/>
      <c r="R46" s="241"/>
      <c r="S46" s="520"/>
      <c r="T46" s="241"/>
      <c r="U46" s="520"/>
      <c r="V46" s="241"/>
      <c r="W46" s="242"/>
      <c r="X46" s="241"/>
      <c r="Y46" s="242"/>
      <c r="Z46" s="241"/>
      <c r="AA46" s="241"/>
      <c r="AB46" s="275"/>
      <c r="AC46" s="524"/>
      <c r="AD46" s="241"/>
      <c r="AE46" s="241"/>
      <c r="AF46" s="241"/>
      <c r="AG46" s="241"/>
      <c r="AH46" s="241"/>
      <c r="AI46" s="241"/>
      <c r="AJ46" s="529"/>
      <c r="AK46" s="258"/>
      <c r="AL46" s="241"/>
      <c r="AM46" s="242"/>
      <c r="AN46" s="241"/>
      <c r="AO46" s="242"/>
      <c r="AP46" s="241"/>
      <c r="AQ46" s="242"/>
      <c r="AR46" s="241"/>
      <c r="AS46" s="242"/>
      <c r="AT46" s="241"/>
      <c r="AU46" s="241"/>
      <c r="AV46" s="256"/>
      <c r="AW46" s="241"/>
      <c r="AX46" s="256"/>
      <c r="AY46" s="241"/>
      <c r="AZ46" s="256"/>
      <c r="BA46" s="239"/>
      <c r="BB46" s="242"/>
      <c r="BC46" s="239"/>
      <c r="BD46" s="242"/>
      <c r="BE46" s="239"/>
      <c r="BF46" s="241"/>
      <c r="BG46" s="239"/>
      <c r="BH46" s="241"/>
      <c r="BI46" s="260"/>
      <c r="BJ46" s="241"/>
      <c r="BK46" s="260"/>
      <c r="BL46" s="239"/>
      <c r="BM46" s="256"/>
      <c r="BN46" s="241"/>
      <c r="BO46" s="243"/>
      <c r="BP46" s="241"/>
      <c r="BQ46" s="239"/>
      <c r="BR46" s="276"/>
      <c r="BS46" s="256"/>
      <c r="BT46" s="260"/>
      <c r="BU46" s="261"/>
      <c r="BV46" s="260"/>
      <c r="BW46" s="239"/>
      <c r="BX46" s="260"/>
      <c r="BY46" s="260"/>
      <c r="BZ46" s="239"/>
      <c r="CA46" s="260"/>
      <c r="CB46" s="239"/>
      <c r="CC46" s="260"/>
      <c r="CD46" s="539"/>
      <c r="CE46" s="239"/>
      <c r="CF46" s="276"/>
      <c r="CG46" s="256"/>
      <c r="CH46" s="259"/>
      <c r="CI46" s="347"/>
      <c r="CJ46" s="540"/>
      <c r="CK46" s="256"/>
      <c r="CL46" s="244">
        <v>1</v>
      </c>
      <c r="CM46" s="274">
        <f t="shared" si="0"/>
        <v>2015</v>
      </c>
      <c r="CN46" s="244">
        <f>IF('Grille de saisie'!CM46&lt;18,0,IF('Grille de saisie'!CM46&lt;40,1,IF('Grille de saisie'!CM46&lt;65,2,IF('Grille de saisie'!CM46&lt;100,3,4))))</f>
        <v>4</v>
      </c>
      <c r="CO46" s="236">
        <f>IF(AND('Grille de saisie'!C46=1,'Grille de saisie'!BZ46=0),1,IF(AND('Grille de saisie'!C46="",'Grille de saisie'!BZ46=""),3,IF(AND('Grille de saisie'!C46=5),3,2)))</f>
        <v>3</v>
      </c>
      <c r="CP46" s="236">
        <f>IF(AND('Grille de saisie'!C46=1,'Grille de saisie'!BZ46=0),1,IF(AND('Grille de saisie'!C46=1,'Grille de saisie'!BZ46=1),2,IF(AND('Grille de saisie'!C46=2,'Grille de saisie'!BZ46=0),2,IF(AND('Grille de saisie'!C46=3,'Grille de saisie'!BZ46=0),3,IF(AND('Grille de saisie'!C46=2,'Grille de saisie'!BZ46=1),3,IF(AND('Grille de saisie'!C46=1,'Grille de saisie'!BZ46=2),3,IF(AND('Grille de saisie'!C46="",'Grille de saisie'!BZ46=""),5,IF(AND('Grille de saisie'!C46=5),5,4))))))))</f>
        <v>5</v>
      </c>
      <c r="CQ46" s="237">
        <f>IF('Grille de saisie'!BZ46="",3,IF('Grille de saisie'!C46=5,3,IF('Grille de saisie'!BZ46=0,1,2)))</f>
        <v>3</v>
      </c>
    </row>
    <row r="47" spans="1:95" ht="15">
      <c r="A47" s="510">
        <v>45</v>
      </c>
      <c r="B47" s="240"/>
      <c r="C47" s="513"/>
      <c r="D47" s="240"/>
      <c r="E47" s="517"/>
      <c r="F47" s="265"/>
      <c r="G47" s="513"/>
      <c r="H47" s="265"/>
      <c r="I47" s="520"/>
      <c r="J47" s="241"/>
      <c r="K47" s="520"/>
      <c r="L47" s="241"/>
      <c r="M47" s="521"/>
      <c r="N47" s="241"/>
      <c r="O47" s="521"/>
      <c r="P47" s="241"/>
      <c r="Q47" s="520"/>
      <c r="R47" s="241"/>
      <c r="S47" s="520"/>
      <c r="T47" s="241"/>
      <c r="U47" s="520"/>
      <c r="V47" s="241"/>
      <c r="W47" s="242"/>
      <c r="X47" s="241"/>
      <c r="Y47" s="242"/>
      <c r="Z47" s="241"/>
      <c r="AA47" s="241"/>
      <c r="AB47" s="275"/>
      <c r="AC47" s="524"/>
      <c r="AD47" s="241"/>
      <c r="AE47" s="241"/>
      <c r="AF47" s="241"/>
      <c r="AG47" s="241"/>
      <c r="AH47" s="241"/>
      <c r="AI47" s="241"/>
      <c r="AJ47" s="529"/>
      <c r="AK47" s="258"/>
      <c r="AL47" s="241"/>
      <c r="AM47" s="242"/>
      <c r="AN47" s="241"/>
      <c r="AO47" s="242"/>
      <c r="AP47" s="241"/>
      <c r="AQ47" s="242"/>
      <c r="AR47" s="241"/>
      <c r="AS47" s="242"/>
      <c r="AT47" s="241"/>
      <c r="AU47" s="241"/>
      <c r="AV47" s="256"/>
      <c r="AW47" s="241"/>
      <c r="AX47" s="256"/>
      <c r="AY47" s="241"/>
      <c r="AZ47" s="256"/>
      <c r="BA47" s="239"/>
      <c r="BB47" s="242"/>
      <c r="BC47" s="239"/>
      <c r="BD47" s="242"/>
      <c r="BE47" s="239"/>
      <c r="BF47" s="241"/>
      <c r="BG47" s="239"/>
      <c r="BH47" s="241"/>
      <c r="BI47" s="260"/>
      <c r="BJ47" s="241"/>
      <c r="BK47" s="260"/>
      <c r="BL47" s="239"/>
      <c r="BM47" s="256"/>
      <c r="BN47" s="241"/>
      <c r="BO47" s="243"/>
      <c r="BP47" s="241"/>
      <c r="BQ47" s="239"/>
      <c r="BR47" s="276"/>
      <c r="BS47" s="256"/>
      <c r="BT47" s="260"/>
      <c r="BU47" s="261"/>
      <c r="BV47" s="260"/>
      <c r="BW47" s="239"/>
      <c r="BX47" s="260"/>
      <c r="BY47" s="260"/>
      <c r="BZ47" s="239"/>
      <c r="CA47" s="260"/>
      <c r="CB47" s="239"/>
      <c r="CC47" s="260"/>
      <c r="CD47" s="539"/>
      <c r="CE47" s="239"/>
      <c r="CF47" s="276"/>
      <c r="CG47" s="256"/>
      <c r="CH47" s="259"/>
      <c r="CI47" s="347"/>
      <c r="CJ47" s="540"/>
      <c r="CK47" s="256"/>
      <c r="CL47" s="244">
        <v>1</v>
      </c>
      <c r="CM47" s="274">
        <f t="shared" si="0"/>
        <v>2015</v>
      </c>
      <c r="CN47" s="244">
        <f>IF('Grille de saisie'!CM47&lt;18,0,IF('Grille de saisie'!CM47&lt;40,1,IF('Grille de saisie'!CM47&lt;65,2,IF('Grille de saisie'!CM47&lt;100,3,4))))</f>
        <v>4</v>
      </c>
      <c r="CO47" s="236">
        <f>IF(AND('Grille de saisie'!C47=1,'Grille de saisie'!BZ47=0),1,IF(AND('Grille de saisie'!C47="",'Grille de saisie'!BZ47=""),3,IF(AND('Grille de saisie'!C47=5),3,2)))</f>
        <v>3</v>
      </c>
      <c r="CP47" s="236">
        <f>IF(AND('Grille de saisie'!C47=1,'Grille de saisie'!BZ47=0),1,IF(AND('Grille de saisie'!C47=1,'Grille de saisie'!BZ47=1),2,IF(AND('Grille de saisie'!C47=2,'Grille de saisie'!BZ47=0),2,IF(AND('Grille de saisie'!C47=3,'Grille de saisie'!BZ47=0),3,IF(AND('Grille de saisie'!C47=2,'Grille de saisie'!BZ47=1),3,IF(AND('Grille de saisie'!C47=1,'Grille de saisie'!BZ47=2),3,IF(AND('Grille de saisie'!C47="",'Grille de saisie'!BZ47=""),5,IF(AND('Grille de saisie'!C47=5),5,4))))))))</f>
        <v>5</v>
      </c>
      <c r="CQ47" s="237">
        <f>IF('Grille de saisie'!BZ47="",3,IF('Grille de saisie'!C47=5,3,IF('Grille de saisie'!BZ47=0,1,2)))</f>
        <v>3</v>
      </c>
    </row>
    <row r="48" spans="1:95" ht="15">
      <c r="A48" s="511">
        <v>46</v>
      </c>
      <c r="B48" s="240"/>
      <c r="C48" s="513"/>
      <c r="D48" s="240"/>
      <c r="E48" s="517"/>
      <c r="F48" s="265"/>
      <c r="G48" s="513"/>
      <c r="H48" s="265"/>
      <c r="I48" s="520"/>
      <c r="J48" s="241"/>
      <c r="K48" s="520"/>
      <c r="L48" s="241"/>
      <c r="M48" s="521"/>
      <c r="N48" s="241"/>
      <c r="O48" s="521"/>
      <c r="P48" s="241"/>
      <c r="Q48" s="520"/>
      <c r="R48" s="241"/>
      <c r="S48" s="520"/>
      <c r="T48" s="241"/>
      <c r="U48" s="520"/>
      <c r="V48" s="241"/>
      <c r="W48" s="242"/>
      <c r="X48" s="241"/>
      <c r="Y48" s="242"/>
      <c r="Z48" s="241"/>
      <c r="AA48" s="241"/>
      <c r="AB48" s="275"/>
      <c r="AC48" s="524"/>
      <c r="AD48" s="241"/>
      <c r="AE48" s="241"/>
      <c r="AF48" s="241"/>
      <c r="AG48" s="241"/>
      <c r="AH48" s="241"/>
      <c r="AI48" s="241"/>
      <c r="AJ48" s="529"/>
      <c r="AK48" s="258"/>
      <c r="AL48" s="241"/>
      <c r="AM48" s="242"/>
      <c r="AN48" s="241"/>
      <c r="AO48" s="242"/>
      <c r="AP48" s="241"/>
      <c r="AQ48" s="242"/>
      <c r="AR48" s="241"/>
      <c r="AS48" s="242"/>
      <c r="AT48" s="241"/>
      <c r="AU48" s="241"/>
      <c r="AV48" s="256"/>
      <c r="AW48" s="241"/>
      <c r="AX48" s="256"/>
      <c r="AY48" s="241"/>
      <c r="AZ48" s="256"/>
      <c r="BA48" s="239"/>
      <c r="BB48" s="242"/>
      <c r="BC48" s="239"/>
      <c r="BD48" s="242"/>
      <c r="BE48" s="239"/>
      <c r="BF48" s="241"/>
      <c r="BG48" s="239"/>
      <c r="BH48" s="241"/>
      <c r="BI48" s="260"/>
      <c r="BJ48" s="241"/>
      <c r="BK48" s="260"/>
      <c r="BL48" s="239"/>
      <c r="BM48" s="256"/>
      <c r="BN48" s="241"/>
      <c r="BO48" s="243"/>
      <c r="BP48" s="241"/>
      <c r="BQ48" s="239"/>
      <c r="BR48" s="276"/>
      <c r="BS48" s="256"/>
      <c r="BT48" s="260"/>
      <c r="BU48" s="261"/>
      <c r="BV48" s="260"/>
      <c r="BW48" s="239"/>
      <c r="BX48" s="260"/>
      <c r="BY48" s="260"/>
      <c r="BZ48" s="239"/>
      <c r="CA48" s="260"/>
      <c r="CB48" s="239"/>
      <c r="CC48" s="260"/>
      <c r="CD48" s="539"/>
      <c r="CE48" s="239"/>
      <c r="CF48" s="276"/>
      <c r="CG48" s="256"/>
      <c r="CH48" s="259"/>
      <c r="CI48" s="347"/>
      <c r="CJ48" s="540"/>
      <c r="CK48" s="256"/>
      <c r="CL48" s="244">
        <v>1</v>
      </c>
      <c r="CM48" s="274">
        <f t="shared" si="0"/>
        <v>2015</v>
      </c>
      <c r="CN48" s="244">
        <f>IF('Grille de saisie'!CM48&lt;18,0,IF('Grille de saisie'!CM48&lt;40,1,IF('Grille de saisie'!CM48&lt;65,2,IF('Grille de saisie'!CM48&lt;100,3,4))))</f>
        <v>4</v>
      </c>
      <c r="CO48" s="236">
        <f>IF(AND('Grille de saisie'!C48=1,'Grille de saisie'!BZ48=0),1,IF(AND('Grille de saisie'!C48="",'Grille de saisie'!BZ48=""),3,IF(AND('Grille de saisie'!C48=5),3,2)))</f>
        <v>3</v>
      </c>
      <c r="CP48" s="236">
        <f>IF(AND('Grille de saisie'!C48=1,'Grille de saisie'!BZ48=0),1,IF(AND('Grille de saisie'!C48=1,'Grille de saisie'!BZ48=1),2,IF(AND('Grille de saisie'!C48=2,'Grille de saisie'!BZ48=0),2,IF(AND('Grille de saisie'!C48=3,'Grille de saisie'!BZ48=0),3,IF(AND('Grille de saisie'!C48=2,'Grille de saisie'!BZ48=1),3,IF(AND('Grille de saisie'!C48=1,'Grille de saisie'!BZ48=2),3,IF(AND('Grille de saisie'!C48="",'Grille de saisie'!BZ48=""),5,IF(AND('Grille de saisie'!C48=5),5,4))))))))</f>
        <v>5</v>
      </c>
      <c r="CQ48" s="237">
        <f>IF('Grille de saisie'!BZ48="",3,IF('Grille de saisie'!C48=5,3,IF('Grille de saisie'!BZ48=0,1,2)))</f>
        <v>3</v>
      </c>
    </row>
    <row r="49" spans="1:95" ht="15">
      <c r="A49" s="510">
        <v>47</v>
      </c>
      <c r="B49" s="240"/>
      <c r="C49" s="513"/>
      <c r="D49" s="240"/>
      <c r="E49" s="517"/>
      <c r="F49" s="265"/>
      <c r="G49" s="513"/>
      <c r="H49" s="265"/>
      <c r="I49" s="520"/>
      <c r="J49" s="241"/>
      <c r="K49" s="520"/>
      <c r="L49" s="241"/>
      <c r="M49" s="521"/>
      <c r="N49" s="241"/>
      <c r="O49" s="521"/>
      <c r="P49" s="241"/>
      <c r="Q49" s="520"/>
      <c r="R49" s="241"/>
      <c r="S49" s="520"/>
      <c r="T49" s="241"/>
      <c r="U49" s="520"/>
      <c r="V49" s="241"/>
      <c r="W49" s="242"/>
      <c r="X49" s="241"/>
      <c r="Y49" s="242"/>
      <c r="Z49" s="241"/>
      <c r="AA49" s="241"/>
      <c r="AB49" s="275"/>
      <c r="AC49" s="524"/>
      <c r="AD49" s="241"/>
      <c r="AE49" s="241"/>
      <c r="AF49" s="241"/>
      <c r="AG49" s="241"/>
      <c r="AH49" s="241"/>
      <c r="AI49" s="241"/>
      <c r="AJ49" s="529"/>
      <c r="AK49" s="258"/>
      <c r="AL49" s="241"/>
      <c r="AM49" s="242"/>
      <c r="AN49" s="241"/>
      <c r="AO49" s="242"/>
      <c r="AP49" s="241"/>
      <c r="AQ49" s="242"/>
      <c r="AR49" s="241"/>
      <c r="AS49" s="242"/>
      <c r="AT49" s="241"/>
      <c r="AU49" s="241"/>
      <c r="AV49" s="256"/>
      <c r="AW49" s="241"/>
      <c r="AX49" s="256"/>
      <c r="AY49" s="241"/>
      <c r="AZ49" s="256"/>
      <c r="BA49" s="239"/>
      <c r="BB49" s="242"/>
      <c r="BC49" s="239"/>
      <c r="BD49" s="242"/>
      <c r="BE49" s="239"/>
      <c r="BF49" s="241"/>
      <c r="BG49" s="239"/>
      <c r="BH49" s="241"/>
      <c r="BI49" s="260"/>
      <c r="BJ49" s="241"/>
      <c r="BK49" s="260"/>
      <c r="BL49" s="239"/>
      <c r="BM49" s="256"/>
      <c r="BN49" s="241"/>
      <c r="BO49" s="243"/>
      <c r="BP49" s="241"/>
      <c r="BQ49" s="239"/>
      <c r="BR49" s="276"/>
      <c r="BS49" s="256"/>
      <c r="BT49" s="260"/>
      <c r="BU49" s="261"/>
      <c r="BV49" s="260"/>
      <c r="BW49" s="239"/>
      <c r="BX49" s="260"/>
      <c r="BY49" s="260"/>
      <c r="BZ49" s="239"/>
      <c r="CA49" s="260"/>
      <c r="CB49" s="239"/>
      <c r="CC49" s="260"/>
      <c r="CD49" s="539"/>
      <c r="CE49" s="239"/>
      <c r="CF49" s="276"/>
      <c r="CG49" s="256"/>
      <c r="CH49" s="259"/>
      <c r="CI49" s="347"/>
      <c r="CJ49" s="540"/>
      <c r="CK49" s="256"/>
      <c r="CL49" s="244">
        <v>1</v>
      </c>
      <c r="CM49" s="274">
        <f t="shared" si="0"/>
        <v>2015</v>
      </c>
      <c r="CN49" s="244">
        <f>IF('Grille de saisie'!CM49&lt;18,0,IF('Grille de saisie'!CM49&lt;40,1,IF('Grille de saisie'!CM49&lt;65,2,IF('Grille de saisie'!CM49&lt;100,3,4))))</f>
        <v>4</v>
      </c>
      <c r="CO49" s="236">
        <f>IF(AND('Grille de saisie'!C49=1,'Grille de saisie'!BZ49=0),1,IF(AND('Grille de saisie'!C49="",'Grille de saisie'!BZ49=""),3,IF(AND('Grille de saisie'!C49=5),3,2)))</f>
        <v>3</v>
      </c>
      <c r="CP49" s="236">
        <f>IF(AND('Grille de saisie'!C49=1,'Grille de saisie'!BZ49=0),1,IF(AND('Grille de saisie'!C49=1,'Grille de saisie'!BZ49=1),2,IF(AND('Grille de saisie'!C49=2,'Grille de saisie'!BZ49=0),2,IF(AND('Grille de saisie'!C49=3,'Grille de saisie'!BZ49=0),3,IF(AND('Grille de saisie'!C49=2,'Grille de saisie'!BZ49=1),3,IF(AND('Grille de saisie'!C49=1,'Grille de saisie'!BZ49=2),3,IF(AND('Grille de saisie'!C49="",'Grille de saisie'!BZ49=""),5,IF(AND('Grille de saisie'!C49=5),5,4))))))))</f>
        <v>5</v>
      </c>
      <c r="CQ49" s="237">
        <f>IF('Grille de saisie'!BZ49="",3,IF('Grille de saisie'!C49=5,3,IF('Grille de saisie'!BZ49=0,1,2)))</f>
        <v>3</v>
      </c>
    </row>
    <row r="50" spans="1:95" ht="15">
      <c r="A50" s="510">
        <v>48</v>
      </c>
      <c r="B50" s="240"/>
      <c r="C50" s="513"/>
      <c r="D50" s="240"/>
      <c r="E50" s="517"/>
      <c r="F50" s="265"/>
      <c r="G50" s="513"/>
      <c r="H50" s="265"/>
      <c r="I50" s="520"/>
      <c r="J50" s="241"/>
      <c r="K50" s="520"/>
      <c r="L50" s="241"/>
      <c r="M50" s="521"/>
      <c r="N50" s="241"/>
      <c r="O50" s="521"/>
      <c r="P50" s="241"/>
      <c r="Q50" s="520"/>
      <c r="R50" s="241"/>
      <c r="S50" s="520"/>
      <c r="T50" s="241"/>
      <c r="U50" s="520"/>
      <c r="V50" s="241"/>
      <c r="W50" s="242"/>
      <c r="X50" s="241"/>
      <c r="Y50" s="242"/>
      <c r="Z50" s="241"/>
      <c r="AA50" s="241"/>
      <c r="AB50" s="275"/>
      <c r="AC50" s="524"/>
      <c r="AD50" s="241"/>
      <c r="AE50" s="241"/>
      <c r="AF50" s="241"/>
      <c r="AG50" s="241"/>
      <c r="AH50" s="241"/>
      <c r="AI50" s="241"/>
      <c r="AJ50" s="529"/>
      <c r="AK50" s="258"/>
      <c r="AL50" s="241"/>
      <c r="AM50" s="242"/>
      <c r="AN50" s="241"/>
      <c r="AO50" s="242"/>
      <c r="AP50" s="241"/>
      <c r="AQ50" s="242"/>
      <c r="AR50" s="241"/>
      <c r="AS50" s="242"/>
      <c r="AT50" s="241"/>
      <c r="AU50" s="241"/>
      <c r="AV50" s="256"/>
      <c r="AW50" s="241"/>
      <c r="AX50" s="256"/>
      <c r="AY50" s="241"/>
      <c r="AZ50" s="256"/>
      <c r="BA50" s="239"/>
      <c r="BB50" s="242"/>
      <c r="BC50" s="239"/>
      <c r="BD50" s="242"/>
      <c r="BE50" s="239"/>
      <c r="BF50" s="241"/>
      <c r="BG50" s="239"/>
      <c r="BH50" s="241"/>
      <c r="BI50" s="260"/>
      <c r="BJ50" s="241"/>
      <c r="BK50" s="260"/>
      <c r="BL50" s="239"/>
      <c r="BM50" s="256"/>
      <c r="BN50" s="241"/>
      <c r="BO50" s="243"/>
      <c r="BP50" s="241"/>
      <c r="BQ50" s="239"/>
      <c r="BR50" s="276"/>
      <c r="BS50" s="256"/>
      <c r="BT50" s="260"/>
      <c r="BU50" s="261"/>
      <c r="BV50" s="260"/>
      <c r="BW50" s="239"/>
      <c r="BX50" s="260"/>
      <c r="BY50" s="260"/>
      <c r="BZ50" s="239"/>
      <c r="CA50" s="260"/>
      <c r="CB50" s="239"/>
      <c r="CC50" s="260"/>
      <c r="CD50" s="539"/>
      <c r="CE50" s="239"/>
      <c r="CF50" s="276"/>
      <c r="CG50" s="256"/>
      <c r="CH50" s="259"/>
      <c r="CI50" s="347"/>
      <c r="CJ50" s="540"/>
      <c r="CK50" s="256"/>
      <c r="CL50" s="244">
        <v>1</v>
      </c>
      <c r="CM50" s="274">
        <f t="shared" si="0"/>
        <v>2015</v>
      </c>
      <c r="CN50" s="244">
        <f>IF('Grille de saisie'!CM50&lt;18,0,IF('Grille de saisie'!CM50&lt;40,1,IF('Grille de saisie'!CM50&lt;65,2,IF('Grille de saisie'!CM50&lt;100,3,4))))</f>
        <v>4</v>
      </c>
      <c r="CO50" s="236">
        <f>IF(AND('Grille de saisie'!C50=1,'Grille de saisie'!BZ50=0),1,IF(AND('Grille de saisie'!C50="",'Grille de saisie'!BZ50=""),3,IF(AND('Grille de saisie'!C50=5),3,2)))</f>
        <v>3</v>
      </c>
      <c r="CP50" s="236">
        <f>IF(AND('Grille de saisie'!C50=1,'Grille de saisie'!BZ50=0),1,IF(AND('Grille de saisie'!C50=1,'Grille de saisie'!BZ50=1),2,IF(AND('Grille de saisie'!C50=2,'Grille de saisie'!BZ50=0),2,IF(AND('Grille de saisie'!C50=3,'Grille de saisie'!BZ50=0),3,IF(AND('Grille de saisie'!C50=2,'Grille de saisie'!BZ50=1),3,IF(AND('Grille de saisie'!C50=1,'Grille de saisie'!BZ50=2),3,IF(AND('Grille de saisie'!C50="",'Grille de saisie'!BZ50=""),5,IF(AND('Grille de saisie'!C50=5),5,4))))))))</f>
        <v>5</v>
      </c>
      <c r="CQ50" s="237">
        <f>IF('Grille de saisie'!BZ50="",3,IF('Grille de saisie'!C50=5,3,IF('Grille de saisie'!BZ50=0,1,2)))</f>
        <v>3</v>
      </c>
    </row>
    <row r="51" spans="1:95" ht="15">
      <c r="A51" s="511">
        <v>49</v>
      </c>
      <c r="B51" s="240"/>
      <c r="C51" s="513"/>
      <c r="D51" s="240"/>
      <c r="E51" s="517"/>
      <c r="F51" s="265"/>
      <c r="G51" s="513"/>
      <c r="H51" s="265"/>
      <c r="I51" s="520"/>
      <c r="J51" s="241"/>
      <c r="K51" s="520"/>
      <c r="L51" s="241"/>
      <c r="M51" s="521"/>
      <c r="N51" s="241"/>
      <c r="O51" s="521"/>
      <c r="P51" s="241"/>
      <c r="Q51" s="520"/>
      <c r="R51" s="241"/>
      <c r="S51" s="520"/>
      <c r="T51" s="241"/>
      <c r="U51" s="520"/>
      <c r="V51" s="241"/>
      <c r="W51" s="242"/>
      <c r="X51" s="241"/>
      <c r="Y51" s="242"/>
      <c r="Z51" s="241"/>
      <c r="AA51" s="241"/>
      <c r="AB51" s="275"/>
      <c r="AC51" s="524"/>
      <c r="AD51" s="241"/>
      <c r="AE51" s="241"/>
      <c r="AF51" s="241"/>
      <c r="AG51" s="241"/>
      <c r="AH51" s="241"/>
      <c r="AI51" s="241"/>
      <c r="AJ51" s="529"/>
      <c r="AK51" s="258"/>
      <c r="AL51" s="241"/>
      <c r="AM51" s="242"/>
      <c r="AN51" s="241"/>
      <c r="AO51" s="242"/>
      <c r="AP51" s="241"/>
      <c r="AQ51" s="242"/>
      <c r="AR51" s="241"/>
      <c r="AS51" s="242"/>
      <c r="AT51" s="241"/>
      <c r="AU51" s="241"/>
      <c r="AV51" s="256"/>
      <c r="AW51" s="241"/>
      <c r="AX51" s="256"/>
      <c r="AY51" s="241"/>
      <c r="AZ51" s="256"/>
      <c r="BA51" s="239"/>
      <c r="BB51" s="242"/>
      <c r="BC51" s="239"/>
      <c r="BD51" s="242"/>
      <c r="BE51" s="239"/>
      <c r="BF51" s="241"/>
      <c r="BG51" s="239"/>
      <c r="BH51" s="241"/>
      <c r="BI51" s="260"/>
      <c r="BJ51" s="241"/>
      <c r="BK51" s="260"/>
      <c r="BL51" s="239"/>
      <c r="BM51" s="256"/>
      <c r="BN51" s="241"/>
      <c r="BO51" s="243"/>
      <c r="BP51" s="241"/>
      <c r="BQ51" s="239"/>
      <c r="BR51" s="276"/>
      <c r="BS51" s="256"/>
      <c r="BT51" s="260"/>
      <c r="BU51" s="261"/>
      <c r="BV51" s="260"/>
      <c r="BW51" s="239"/>
      <c r="BX51" s="260"/>
      <c r="BY51" s="260"/>
      <c r="BZ51" s="239"/>
      <c r="CA51" s="260"/>
      <c r="CB51" s="239"/>
      <c r="CC51" s="260"/>
      <c r="CD51" s="539"/>
      <c r="CE51" s="239"/>
      <c r="CF51" s="276"/>
      <c r="CG51" s="256"/>
      <c r="CH51" s="259"/>
      <c r="CI51" s="347"/>
      <c r="CJ51" s="540"/>
      <c r="CK51" s="256"/>
      <c r="CL51" s="244">
        <v>1</v>
      </c>
      <c r="CM51" s="274">
        <f t="shared" si="0"/>
        <v>2015</v>
      </c>
      <c r="CN51" s="244">
        <f>IF('Grille de saisie'!CM51&lt;18,0,IF('Grille de saisie'!CM51&lt;40,1,IF('Grille de saisie'!CM51&lt;65,2,IF('Grille de saisie'!CM51&lt;100,3,4))))</f>
        <v>4</v>
      </c>
      <c r="CO51" s="236">
        <f>IF(AND('Grille de saisie'!C51=1,'Grille de saisie'!BZ51=0),1,IF(AND('Grille de saisie'!C51="",'Grille de saisie'!BZ51=""),3,IF(AND('Grille de saisie'!C51=5),3,2)))</f>
        <v>3</v>
      </c>
      <c r="CP51" s="236">
        <f>IF(AND('Grille de saisie'!C51=1,'Grille de saisie'!BZ51=0),1,IF(AND('Grille de saisie'!C51=1,'Grille de saisie'!BZ51=1),2,IF(AND('Grille de saisie'!C51=2,'Grille de saisie'!BZ51=0),2,IF(AND('Grille de saisie'!C51=3,'Grille de saisie'!BZ51=0),3,IF(AND('Grille de saisie'!C51=2,'Grille de saisie'!BZ51=1),3,IF(AND('Grille de saisie'!C51=1,'Grille de saisie'!BZ51=2),3,IF(AND('Grille de saisie'!C51="",'Grille de saisie'!BZ51=""),5,IF(AND('Grille de saisie'!C51=5),5,4))))))))</f>
        <v>5</v>
      </c>
      <c r="CQ51" s="237">
        <f>IF('Grille de saisie'!BZ51="",3,IF('Grille de saisie'!C51=5,3,IF('Grille de saisie'!BZ51=0,1,2)))</f>
        <v>3</v>
      </c>
    </row>
    <row r="52" spans="1:95" ht="15">
      <c r="A52" s="510">
        <v>50</v>
      </c>
      <c r="B52" s="240"/>
      <c r="C52" s="513"/>
      <c r="D52" s="240"/>
      <c r="E52" s="517"/>
      <c r="F52" s="265"/>
      <c r="G52" s="513"/>
      <c r="H52" s="265"/>
      <c r="I52" s="520"/>
      <c r="J52" s="241"/>
      <c r="K52" s="520"/>
      <c r="L52" s="241"/>
      <c r="M52" s="521"/>
      <c r="N52" s="241"/>
      <c r="O52" s="521"/>
      <c r="P52" s="241"/>
      <c r="Q52" s="520"/>
      <c r="R52" s="241"/>
      <c r="S52" s="520"/>
      <c r="T52" s="241"/>
      <c r="U52" s="520"/>
      <c r="V52" s="241"/>
      <c r="W52" s="242"/>
      <c r="X52" s="241"/>
      <c r="Y52" s="242"/>
      <c r="Z52" s="241"/>
      <c r="AA52" s="241"/>
      <c r="AB52" s="275"/>
      <c r="AC52" s="524"/>
      <c r="AD52" s="241"/>
      <c r="AE52" s="241"/>
      <c r="AF52" s="241"/>
      <c r="AG52" s="241"/>
      <c r="AH52" s="241"/>
      <c r="AI52" s="241"/>
      <c r="AJ52" s="529"/>
      <c r="AK52" s="258"/>
      <c r="AL52" s="241"/>
      <c r="AM52" s="242"/>
      <c r="AN52" s="241"/>
      <c r="AO52" s="242"/>
      <c r="AP52" s="241"/>
      <c r="AQ52" s="242"/>
      <c r="AR52" s="241"/>
      <c r="AS52" s="242"/>
      <c r="AT52" s="241"/>
      <c r="AU52" s="241"/>
      <c r="AV52" s="256"/>
      <c r="AW52" s="241"/>
      <c r="AX52" s="256"/>
      <c r="AY52" s="241"/>
      <c r="AZ52" s="256"/>
      <c r="BA52" s="239"/>
      <c r="BB52" s="242"/>
      <c r="BC52" s="239"/>
      <c r="BD52" s="242"/>
      <c r="BE52" s="239"/>
      <c r="BF52" s="241"/>
      <c r="BG52" s="239"/>
      <c r="BH52" s="241"/>
      <c r="BI52" s="260"/>
      <c r="BJ52" s="241"/>
      <c r="BK52" s="260"/>
      <c r="BL52" s="239"/>
      <c r="BM52" s="256"/>
      <c r="BN52" s="241"/>
      <c r="BO52" s="243"/>
      <c r="BP52" s="241"/>
      <c r="BQ52" s="239"/>
      <c r="BR52" s="276"/>
      <c r="BS52" s="256"/>
      <c r="BT52" s="260"/>
      <c r="BU52" s="261"/>
      <c r="BV52" s="260"/>
      <c r="BW52" s="239"/>
      <c r="BX52" s="260"/>
      <c r="BY52" s="260"/>
      <c r="BZ52" s="239"/>
      <c r="CA52" s="260"/>
      <c r="CB52" s="239"/>
      <c r="CC52" s="260"/>
      <c r="CD52" s="539"/>
      <c r="CE52" s="239"/>
      <c r="CF52" s="276"/>
      <c r="CG52" s="256"/>
      <c r="CH52" s="259"/>
      <c r="CI52" s="347"/>
      <c r="CJ52" s="540"/>
      <c r="CK52" s="256"/>
      <c r="CL52" s="244">
        <v>1</v>
      </c>
      <c r="CM52" s="274">
        <f t="shared" si="0"/>
        <v>2015</v>
      </c>
      <c r="CN52" s="244">
        <f>IF('Grille de saisie'!CM52&lt;18,0,IF('Grille de saisie'!CM52&lt;40,1,IF('Grille de saisie'!CM52&lt;65,2,IF('Grille de saisie'!CM52&lt;100,3,4))))</f>
        <v>4</v>
      </c>
      <c r="CO52" s="236">
        <f>IF(AND('Grille de saisie'!C52=1,'Grille de saisie'!BZ52=0),1,IF(AND('Grille de saisie'!C52="",'Grille de saisie'!BZ52=""),3,IF(AND('Grille de saisie'!C52=5),3,2)))</f>
        <v>3</v>
      </c>
      <c r="CP52" s="236">
        <f>IF(AND('Grille de saisie'!C52=1,'Grille de saisie'!BZ52=0),1,IF(AND('Grille de saisie'!C52=1,'Grille de saisie'!BZ52=1),2,IF(AND('Grille de saisie'!C52=2,'Grille de saisie'!BZ52=0),2,IF(AND('Grille de saisie'!C52=3,'Grille de saisie'!BZ52=0),3,IF(AND('Grille de saisie'!C52=2,'Grille de saisie'!BZ52=1),3,IF(AND('Grille de saisie'!C52=1,'Grille de saisie'!BZ52=2),3,IF(AND('Grille de saisie'!C52="",'Grille de saisie'!BZ52=""),5,IF(AND('Grille de saisie'!C52=5),5,4))))))))</f>
        <v>5</v>
      </c>
      <c r="CQ52" s="237">
        <f>IF('Grille de saisie'!BZ52="",3,IF('Grille de saisie'!C52=5,3,IF('Grille de saisie'!BZ52=0,1,2)))</f>
        <v>3</v>
      </c>
    </row>
    <row r="53" spans="1:95" ht="15">
      <c r="A53" s="510">
        <v>51</v>
      </c>
      <c r="B53" s="240"/>
      <c r="C53" s="513"/>
      <c r="D53" s="240"/>
      <c r="E53" s="517"/>
      <c r="F53" s="265"/>
      <c r="G53" s="513"/>
      <c r="H53" s="265"/>
      <c r="I53" s="520"/>
      <c r="J53" s="241"/>
      <c r="K53" s="520"/>
      <c r="L53" s="241"/>
      <c r="M53" s="521"/>
      <c r="N53" s="241"/>
      <c r="O53" s="521"/>
      <c r="P53" s="241"/>
      <c r="Q53" s="520"/>
      <c r="R53" s="241"/>
      <c r="S53" s="520"/>
      <c r="T53" s="241"/>
      <c r="U53" s="520"/>
      <c r="V53" s="241"/>
      <c r="W53" s="242"/>
      <c r="X53" s="241"/>
      <c r="Y53" s="242"/>
      <c r="Z53" s="241"/>
      <c r="AA53" s="241"/>
      <c r="AB53" s="275"/>
      <c r="AC53" s="524"/>
      <c r="AD53" s="241"/>
      <c r="AE53" s="241"/>
      <c r="AF53" s="241"/>
      <c r="AG53" s="241"/>
      <c r="AH53" s="241"/>
      <c r="AI53" s="241"/>
      <c r="AJ53" s="529"/>
      <c r="AK53" s="258"/>
      <c r="AL53" s="241"/>
      <c r="AM53" s="242"/>
      <c r="AN53" s="241"/>
      <c r="AO53" s="242"/>
      <c r="AP53" s="241"/>
      <c r="AQ53" s="242"/>
      <c r="AR53" s="241"/>
      <c r="AS53" s="242"/>
      <c r="AT53" s="241"/>
      <c r="AU53" s="241"/>
      <c r="AV53" s="256"/>
      <c r="AW53" s="241"/>
      <c r="AX53" s="256"/>
      <c r="AY53" s="241"/>
      <c r="AZ53" s="256"/>
      <c r="BA53" s="239"/>
      <c r="BB53" s="242"/>
      <c r="BC53" s="239"/>
      <c r="BD53" s="242"/>
      <c r="BE53" s="239"/>
      <c r="BF53" s="241"/>
      <c r="BG53" s="239"/>
      <c r="BH53" s="241"/>
      <c r="BI53" s="260"/>
      <c r="BJ53" s="241"/>
      <c r="BK53" s="260"/>
      <c r="BL53" s="239"/>
      <c r="BM53" s="256"/>
      <c r="BN53" s="241"/>
      <c r="BO53" s="243"/>
      <c r="BP53" s="241"/>
      <c r="BQ53" s="239"/>
      <c r="BR53" s="276"/>
      <c r="BS53" s="256"/>
      <c r="BT53" s="260"/>
      <c r="BU53" s="261"/>
      <c r="BV53" s="260"/>
      <c r="BW53" s="239"/>
      <c r="BX53" s="260"/>
      <c r="BY53" s="260"/>
      <c r="BZ53" s="239"/>
      <c r="CA53" s="260"/>
      <c r="CB53" s="239"/>
      <c r="CC53" s="260"/>
      <c r="CD53" s="539"/>
      <c r="CE53" s="239"/>
      <c r="CF53" s="276"/>
      <c r="CG53" s="256"/>
      <c r="CH53" s="259"/>
      <c r="CI53" s="347"/>
      <c r="CJ53" s="540"/>
      <c r="CK53" s="256"/>
      <c r="CL53" s="244">
        <v>1</v>
      </c>
      <c r="CM53" s="274">
        <f t="shared" si="0"/>
        <v>2015</v>
      </c>
      <c r="CN53" s="244">
        <f>IF('Grille de saisie'!CM53&lt;18,0,IF('Grille de saisie'!CM53&lt;40,1,IF('Grille de saisie'!CM53&lt;65,2,IF('Grille de saisie'!CM53&lt;100,3,4))))</f>
        <v>4</v>
      </c>
      <c r="CO53" s="236">
        <f>IF(AND('Grille de saisie'!C53=1,'Grille de saisie'!BZ53=0),1,IF(AND('Grille de saisie'!C53="",'Grille de saisie'!BZ53=""),3,IF(AND('Grille de saisie'!C53=5),3,2)))</f>
        <v>3</v>
      </c>
      <c r="CP53" s="236">
        <f>IF(AND('Grille de saisie'!C53=1,'Grille de saisie'!BZ53=0),1,IF(AND('Grille de saisie'!C53=1,'Grille de saisie'!BZ53=1),2,IF(AND('Grille de saisie'!C53=2,'Grille de saisie'!BZ53=0),2,IF(AND('Grille de saisie'!C53=3,'Grille de saisie'!BZ53=0),3,IF(AND('Grille de saisie'!C53=2,'Grille de saisie'!BZ53=1),3,IF(AND('Grille de saisie'!C53=1,'Grille de saisie'!BZ53=2),3,IF(AND('Grille de saisie'!C53="",'Grille de saisie'!BZ53=""),5,IF(AND('Grille de saisie'!C53=5),5,4))))))))</f>
        <v>5</v>
      </c>
      <c r="CQ53" s="237">
        <f>IF('Grille de saisie'!BZ53="",3,IF('Grille de saisie'!C53=5,3,IF('Grille de saisie'!BZ53=0,1,2)))</f>
        <v>3</v>
      </c>
    </row>
    <row r="54" spans="1:95" ht="15">
      <c r="A54" s="511">
        <v>52</v>
      </c>
      <c r="B54" s="240"/>
      <c r="C54" s="513"/>
      <c r="D54" s="240"/>
      <c r="E54" s="517"/>
      <c r="F54" s="265"/>
      <c r="G54" s="513"/>
      <c r="H54" s="265"/>
      <c r="I54" s="520"/>
      <c r="J54" s="241"/>
      <c r="K54" s="520"/>
      <c r="L54" s="241"/>
      <c r="M54" s="521"/>
      <c r="N54" s="241"/>
      <c r="O54" s="521"/>
      <c r="P54" s="241"/>
      <c r="Q54" s="520"/>
      <c r="R54" s="241"/>
      <c r="S54" s="520"/>
      <c r="T54" s="241"/>
      <c r="U54" s="520"/>
      <c r="V54" s="241"/>
      <c r="W54" s="242"/>
      <c r="X54" s="241"/>
      <c r="Y54" s="242"/>
      <c r="Z54" s="241"/>
      <c r="AA54" s="241"/>
      <c r="AB54" s="275"/>
      <c r="AC54" s="524"/>
      <c r="AD54" s="241"/>
      <c r="AE54" s="241"/>
      <c r="AF54" s="241"/>
      <c r="AG54" s="241"/>
      <c r="AH54" s="241"/>
      <c r="AI54" s="241"/>
      <c r="AJ54" s="529"/>
      <c r="AK54" s="258"/>
      <c r="AL54" s="241"/>
      <c r="AM54" s="242"/>
      <c r="AN54" s="241"/>
      <c r="AO54" s="242"/>
      <c r="AP54" s="241"/>
      <c r="AQ54" s="242"/>
      <c r="AR54" s="241"/>
      <c r="AS54" s="242"/>
      <c r="AT54" s="241"/>
      <c r="AU54" s="241"/>
      <c r="AV54" s="256"/>
      <c r="AW54" s="241"/>
      <c r="AX54" s="256"/>
      <c r="AY54" s="241"/>
      <c r="AZ54" s="256"/>
      <c r="BA54" s="239"/>
      <c r="BB54" s="242"/>
      <c r="BC54" s="239"/>
      <c r="BD54" s="242"/>
      <c r="BE54" s="239"/>
      <c r="BF54" s="241"/>
      <c r="BG54" s="239"/>
      <c r="BH54" s="241"/>
      <c r="BI54" s="260"/>
      <c r="BJ54" s="241"/>
      <c r="BK54" s="260"/>
      <c r="BL54" s="239"/>
      <c r="BM54" s="256"/>
      <c r="BN54" s="241"/>
      <c r="BO54" s="243"/>
      <c r="BP54" s="241"/>
      <c r="BQ54" s="239"/>
      <c r="BR54" s="276"/>
      <c r="BS54" s="256"/>
      <c r="BT54" s="260"/>
      <c r="BU54" s="261"/>
      <c r="BV54" s="260"/>
      <c r="BW54" s="239"/>
      <c r="BX54" s="260"/>
      <c r="BY54" s="260"/>
      <c r="BZ54" s="239"/>
      <c r="CA54" s="260"/>
      <c r="CB54" s="239"/>
      <c r="CC54" s="260"/>
      <c r="CD54" s="539"/>
      <c r="CE54" s="239"/>
      <c r="CF54" s="276"/>
      <c r="CG54" s="256"/>
      <c r="CH54" s="259"/>
      <c r="CI54" s="347"/>
      <c r="CJ54" s="540"/>
      <c r="CK54" s="256"/>
      <c r="CL54" s="244">
        <v>1</v>
      </c>
      <c r="CM54" s="274">
        <f t="shared" si="0"/>
        <v>2015</v>
      </c>
      <c r="CN54" s="244">
        <f>IF('Grille de saisie'!CM54&lt;18,0,IF('Grille de saisie'!CM54&lt;40,1,IF('Grille de saisie'!CM54&lt;65,2,IF('Grille de saisie'!CM54&lt;100,3,4))))</f>
        <v>4</v>
      </c>
      <c r="CO54" s="236">
        <f>IF(AND('Grille de saisie'!C54=1,'Grille de saisie'!BZ54=0),1,IF(AND('Grille de saisie'!C54="",'Grille de saisie'!BZ54=""),3,IF(AND('Grille de saisie'!C54=5),3,2)))</f>
        <v>3</v>
      </c>
      <c r="CP54" s="236">
        <f>IF(AND('Grille de saisie'!C54=1,'Grille de saisie'!BZ54=0),1,IF(AND('Grille de saisie'!C54=1,'Grille de saisie'!BZ54=1),2,IF(AND('Grille de saisie'!C54=2,'Grille de saisie'!BZ54=0),2,IF(AND('Grille de saisie'!C54=3,'Grille de saisie'!BZ54=0),3,IF(AND('Grille de saisie'!C54=2,'Grille de saisie'!BZ54=1),3,IF(AND('Grille de saisie'!C54=1,'Grille de saisie'!BZ54=2),3,IF(AND('Grille de saisie'!C54="",'Grille de saisie'!BZ54=""),5,IF(AND('Grille de saisie'!C54=5),5,4))))))))</f>
        <v>5</v>
      </c>
      <c r="CQ54" s="237">
        <f>IF('Grille de saisie'!BZ54="",3,IF('Grille de saisie'!C54=5,3,IF('Grille de saisie'!BZ54=0,1,2)))</f>
        <v>3</v>
      </c>
    </row>
    <row r="55" spans="1:95" ht="15">
      <c r="A55" s="510">
        <v>53</v>
      </c>
      <c r="B55" s="240"/>
      <c r="C55" s="513"/>
      <c r="D55" s="240"/>
      <c r="E55" s="517"/>
      <c r="F55" s="265"/>
      <c r="G55" s="513"/>
      <c r="H55" s="265"/>
      <c r="I55" s="520"/>
      <c r="J55" s="241"/>
      <c r="K55" s="520"/>
      <c r="L55" s="241"/>
      <c r="M55" s="521"/>
      <c r="N55" s="241"/>
      <c r="O55" s="521"/>
      <c r="P55" s="241"/>
      <c r="Q55" s="520"/>
      <c r="R55" s="241"/>
      <c r="S55" s="520"/>
      <c r="T55" s="241"/>
      <c r="U55" s="520"/>
      <c r="V55" s="241"/>
      <c r="W55" s="242"/>
      <c r="X55" s="241"/>
      <c r="Y55" s="242"/>
      <c r="Z55" s="241"/>
      <c r="AA55" s="241"/>
      <c r="AB55" s="275"/>
      <c r="AC55" s="524"/>
      <c r="AD55" s="241"/>
      <c r="AE55" s="241"/>
      <c r="AF55" s="241"/>
      <c r="AG55" s="241"/>
      <c r="AH55" s="241"/>
      <c r="AI55" s="241"/>
      <c r="AJ55" s="529"/>
      <c r="AK55" s="258"/>
      <c r="AL55" s="241"/>
      <c r="AM55" s="242"/>
      <c r="AN55" s="241"/>
      <c r="AO55" s="242"/>
      <c r="AP55" s="241"/>
      <c r="AQ55" s="242"/>
      <c r="AR55" s="241"/>
      <c r="AS55" s="242"/>
      <c r="AT55" s="241"/>
      <c r="AU55" s="241"/>
      <c r="AV55" s="256"/>
      <c r="AW55" s="241"/>
      <c r="AX55" s="256"/>
      <c r="AY55" s="241"/>
      <c r="AZ55" s="256"/>
      <c r="BA55" s="239"/>
      <c r="BB55" s="242"/>
      <c r="BC55" s="239"/>
      <c r="BD55" s="242"/>
      <c r="BE55" s="239"/>
      <c r="BF55" s="241"/>
      <c r="BG55" s="239"/>
      <c r="BH55" s="241"/>
      <c r="BI55" s="260"/>
      <c r="BJ55" s="241"/>
      <c r="BK55" s="260"/>
      <c r="BL55" s="239"/>
      <c r="BM55" s="256"/>
      <c r="BN55" s="241"/>
      <c r="BO55" s="243"/>
      <c r="BP55" s="241"/>
      <c r="BQ55" s="239"/>
      <c r="BR55" s="276"/>
      <c r="BS55" s="256"/>
      <c r="BT55" s="260"/>
      <c r="BU55" s="261"/>
      <c r="BV55" s="260"/>
      <c r="BW55" s="239"/>
      <c r="BX55" s="260"/>
      <c r="BY55" s="260"/>
      <c r="BZ55" s="239"/>
      <c r="CA55" s="260"/>
      <c r="CB55" s="239"/>
      <c r="CC55" s="260"/>
      <c r="CD55" s="539"/>
      <c r="CE55" s="239"/>
      <c r="CF55" s="276"/>
      <c r="CG55" s="256"/>
      <c r="CH55" s="259"/>
      <c r="CI55" s="347"/>
      <c r="CJ55" s="540"/>
      <c r="CK55" s="256"/>
      <c r="CL55" s="244">
        <v>1</v>
      </c>
      <c r="CM55" s="274">
        <f t="shared" si="0"/>
        <v>2015</v>
      </c>
      <c r="CN55" s="244">
        <f>IF('Grille de saisie'!CM55&lt;18,0,IF('Grille de saisie'!CM55&lt;40,1,IF('Grille de saisie'!CM55&lt;65,2,IF('Grille de saisie'!CM55&lt;100,3,4))))</f>
        <v>4</v>
      </c>
      <c r="CO55" s="236">
        <f>IF(AND('Grille de saisie'!C55=1,'Grille de saisie'!BZ55=0),1,IF(AND('Grille de saisie'!C55="",'Grille de saisie'!BZ55=""),3,IF(AND('Grille de saisie'!C55=5),3,2)))</f>
        <v>3</v>
      </c>
      <c r="CP55" s="236">
        <f>IF(AND('Grille de saisie'!C55=1,'Grille de saisie'!BZ55=0),1,IF(AND('Grille de saisie'!C55=1,'Grille de saisie'!BZ55=1),2,IF(AND('Grille de saisie'!C55=2,'Grille de saisie'!BZ55=0),2,IF(AND('Grille de saisie'!C55=3,'Grille de saisie'!BZ55=0),3,IF(AND('Grille de saisie'!C55=2,'Grille de saisie'!BZ55=1),3,IF(AND('Grille de saisie'!C55=1,'Grille de saisie'!BZ55=2),3,IF(AND('Grille de saisie'!C55="",'Grille de saisie'!BZ55=""),5,IF(AND('Grille de saisie'!C55=5),5,4))))))))</f>
        <v>5</v>
      </c>
      <c r="CQ55" s="237">
        <f>IF('Grille de saisie'!BZ55="",3,IF('Grille de saisie'!C55=5,3,IF('Grille de saisie'!BZ55=0,1,2)))</f>
        <v>3</v>
      </c>
    </row>
    <row r="56" spans="1:95" ht="15">
      <c r="A56" s="510">
        <v>54</v>
      </c>
      <c r="B56" s="240"/>
      <c r="C56" s="513"/>
      <c r="D56" s="240"/>
      <c r="E56" s="517"/>
      <c r="F56" s="265"/>
      <c r="G56" s="513"/>
      <c r="H56" s="265"/>
      <c r="I56" s="520"/>
      <c r="J56" s="241"/>
      <c r="K56" s="520"/>
      <c r="L56" s="241"/>
      <c r="M56" s="521"/>
      <c r="N56" s="241"/>
      <c r="O56" s="521"/>
      <c r="P56" s="241"/>
      <c r="Q56" s="520"/>
      <c r="R56" s="241"/>
      <c r="S56" s="520"/>
      <c r="T56" s="241"/>
      <c r="U56" s="520"/>
      <c r="V56" s="241"/>
      <c r="W56" s="242"/>
      <c r="X56" s="241"/>
      <c r="Y56" s="242"/>
      <c r="Z56" s="241"/>
      <c r="AA56" s="241"/>
      <c r="AB56" s="275"/>
      <c r="AC56" s="524"/>
      <c r="AD56" s="241"/>
      <c r="AE56" s="241"/>
      <c r="AF56" s="241"/>
      <c r="AG56" s="241"/>
      <c r="AH56" s="241"/>
      <c r="AI56" s="241"/>
      <c r="AJ56" s="529"/>
      <c r="AK56" s="258"/>
      <c r="AL56" s="241"/>
      <c r="AM56" s="242"/>
      <c r="AN56" s="241"/>
      <c r="AO56" s="242"/>
      <c r="AP56" s="241"/>
      <c r="AQ56" s="242"/>
      <c r="AR56" s="241"/>
      <c r="AS56" s="242"/>
      <c r="AT56" s="241"/>
      <c r="AU56" s="241"/>
      <c r="AV56" s="256"/>
      <c r="AW56" s="241"/>
      <c r="AX56" s="256"/>
      <c r="AY56" s="241"/>
      <c r="AZ56" s="256"/>
      <c r="BA56" s="239"/>
      <c r="BB56" s="242"/>
      <c r="BC56" s="239"/>
      <c r="BD56" s="242"/>
      <c r="BE56" s="239"/>
      <c r="BF56" s="241"/>
      <c r="BG56" s="239"/>
      <c r="BH56" s="241"/>
      <c r="BI56" s="260"/>
      <c r="BJ56" s="241"/>
      <c r="BK56" s="260"/>
      <c r="BL56" s="239"/>
      <c r="BM56" s="256"/>
      <c r="BN56" s="241"/>
      <c r="BO56" s="243"/>
      <c r="BP56" s="241"/>
      <c r="BQ56" s="239"/>
      <c r="BR56" s="276"/>
      <c r="BS56" s="256"/>
      <c r="BT56" s="260"/>
      <c r="BU56" s="261"/>
      <c r="BV56" s="260"/>
      <c r="BW56" s="239"/>
      <c r="BX56" s="260"/>
      <c r="BY56" s="260"/>
      <c r="BZ56" s="239"/>
      <c r="CA56" s="260"/>
      <c r="CB56" s="239"/>
      <c r="CC56" s="260"/>
      <c r="CD56" s="539"/>
      <c r="CE56" s="239"/>
      <c r="CF56" s="276"/>
      <c r="CG56" s="256"/>
      <c r="CH56" s="259"/>
      <c r="CI56" s="347"/>
      <c r="CJ56" s="540"/>
      <c r="CK56" s="256"/>
      <c r="CL56" s="244">
        <v>1</v>
      </c>
      <c r="CM56" s="274">
        <f t="shared" si="0"/>
        <v>2015</v>
      </c>
      <c r="CN56" s="244">
        <f>IF('Grille de saisie'!CM56&lt;18,0,IF('Grille de saisie'!CM56&lt;40,1,IF('Grille de saisie'!CM56&lt;65,2,IF('Grille de saisie'!CM56&lt;100,3,4))))</f>
        <v>4</v>
      </c>
      <c r="CO56" s="236">
        <f>IF(AND('Grille de saisie'!C56=1,'Grille de saisie'!BZ56=0),1,IF(AND('Grille de saisie'!C56="",'Grille de saisie'!BZ56=""),3,IF(AND('Grille de saisie'!C56=5),3,2)))</f>
        <v>3</v>
      </c>
      <c r="CP56" s="236">
        <f>IF(AND('Grille de saisie'!C56=1,'Grille de saisie'!BZ56=0),1,IF(AND('Grille de saisie'!C56=1,'Grille de saisie'!BZ56=1),2,IF(AND('Grille de saisie'!C56=2,'Grille de saisie'!BZ56=0),2,IF(AND('Grille de saisie'!C56=3,'Grille de saisie'!BZ56=0),3,IF(AND('Grille de saisie'!C56=2,'Grille de saisie'!BZ56=1),3,IF(AND('Grille de saisie'!C56=1,'Grille de saisie'!BZ56=2),3,IF(AND('Grille de saisie'!C56="",'Grille de saisie'!BZ56=""),5,IF(AND('Grille de saisie'!C56=5),5,4))))))))</f>
        <v>5</v>
      </c>
      <c r="CQ56" s="237">
        <f>IF('Grille de saisie'!BZ56="",3,IF('Grille de saisie'!C56=5,3,IF('Grille de saisie'!BZ56=0,1,2)))</f>
        <v>3</v>
      </c>
    </row>
    <row r="57" spans="1:95" ht="15">
      <c r="A57" s="511">
        <v>55</v>
      </c>
      <c r="B57" s="240"/>
      <c r="C57" s="513"/>
      <c r="D57" s="240"/>
      <c r="E57" s="517"/>
      <c r="F57" s="265"/>
      <c r="G57" s="513"/>
      <c r="H57" s="265"/>
      <c r="I57" s="520"/>
      <c r="J57" s="241"/>
      <c r="K57" s="520"/>
      <c r="L57" s="241"/>
      <c r="M57" s="521"/>
      <c r="N57" s="241"/>
      <c r="O57" s="521"/>
      <c r="P57" s="241"/>
      <c r="Q57" s="520"/>
      <c r="R57" s="241"/>
      <c r="S57" s="520"/>
      <c r="T57" s="241"/>
      <c r="U57" s="520"/>
      <c r="V57" s="241"/>
      <c r="W57" s="242"/>
      <c r="X57" s="241"/>
      <c r="Y57" s="242"/>
      <c r="Z57" s="241"/>
      <c r="AA57" s="241"/>
      <c r="AB57" s="275"/>
      <c r="AC57" s="524"/>
      <c r="AD57" s="241"/>
      <c r="AE57" s="241"/>
      <c r="AF57" s="241"/>
      <c r="AG57" s="241"/>
      <c r="AH57" s="241"/>
      <c r="AI57" s="241"/>
      <c r="AJ57" s="529"/>
      <c r="AK57" s="258"/>
      <c r="AL57" s="241"/>
      <c r="AM57" s="242"/>
      <c r="AN57" s="241"/>
      <c r="AO57" s="242"/>
      <c r="AP57" s="241"/>
      <c r="AQ57" s="242"/>
      <c r="AR57" s="241"/>
      <c r="AS57" s="242"/>
      <c r="AT57" s="241"/>
      <c r="AU57" s="241"/>
      <c r="AV57" s="256"/>
      <c r="AW57" s="241"/>
      <c r="AX57" s="256"/>
      <c r="AY57" s="241"/>
      <c r="AZ57" s="256"/>
      <c r="BA57" s="239"/>
      <c r="BB57" s="242"/>
      <c r="BC57" s="239"/>
      <c r="BD57" s="242"/>
      <c r="BE57" s="239"/>
      <c r="BF57" s="241"/>
      <c r="BG57" s="239"/>
      <c r="BH57" s="241"/>
      <c r="BI57" s="260"/>
      <c r="BJ57" s="241"/>
      <c r="BK57" s="260"/>
      <c r="BL57" s="239"/>
      <c r="BM57" s="256"/>
      <c r="BN57" s="241"/>
      <c r="BO57" s="243"/>
      <c r="BP57" s="241"/>
      <c r="BQ57" s="239"/>
      <c r="BR57" s="276"/>
      <c r="BS57" s="256"/>
      <c r="BT57" s="260"/>
      <c r="BU57" s="261"/>
      <c r="BV57" s="260"/>
      <c r="BW57" s="239"/>
      <c r="BX57" s="260"/>
      <c r="BY57" s="260"/>
      <c r="BZ57" s="239"/>
      <c r="CA57" s="260"/>
      <c r="CB57" s="239"/>
      <c r="CC57" s="260"/>
      <c r="CD57" s="539"/>
      <c r="CE57" s="239"/>
      <c r="CF57" s="276"/>
      <c r="CG57" s="256"/>
      <c r="CH57" s="259"/>
      <c r="CI57" s="347"/>
      <c r="CJ57" s="540"/>
      <c r="CK57" s="256"/>
      <c r="CL57" s="244">
        <v>1</v>
      </c>
      <c r="CM57" s="274">
        <f t="shared" si="0"/>
        <v>2015</v>
      </c>
      <c r="CN57" s="244">
        <f>IF('Grille de saisie'!CM57&lt;18,0,IF('Grille de saisie'!CM57&lt;40,1,IF('Grille de saisie'!CM57&lt;65,2,IF('Grille de saisie'!CM57&lt;100,3,4))))</f>
        <v>4</v>
      </c>
      <c r="CO57" s="236">
        <f>IF(AND('Grille de saisie'!C57=1,'Grille de saisie'!BZ57=0),1,IF(AND('Grille de saisie'!C57="",'Grille de saisie'!BZ57=""),3,IF(AND('Grille de saisie'!C57=5),3,2)))</f>
        <v>3</v>
      </c>
      <c r="CP57" s="236">
        <f>IF(AND('Grille de saisie'!C57=1,'Grille de saisie'!BZ57=0),1,IF(AND('Grille de saisie'!C57=1,'Grille de saisie'!BZ57=1),2,IF(AND('Grille de saisie'!C57=2,'Grille de saisie'!BZ57=0),2,IF(AND('Grille de saisie'!C57=3,'Grille de saisie'!BZ57=0),3,IF(AND('Grille de saisie'!C57=2,'Grille de saisie'!BZ57=1),3,IF(AND('Grille de saisie'!C57=1,'Grille de saisie'!BZ57=2),3,IF(AND('Grille de saisie'!C57="",'Grille de saisie'!BZ57=""),5,IF(AND('Grille de saisie'!C57=5),5,4))))))))</f>
        <v>5</v>
      </c>
      <c r="CQ57" s="237">
        <f>IF('Grille de saisie'!BZ57="",3,IF('Grille de saisie'!C57=5,3,IF('Grille de saisie'!BZ57=0,1,2)))</f>
        <v>3</v>
      </c>
    </row>
    <row r="58" spans="1:95" ht="15">
      <c r="A58" s="510">
        <v>56</v>
      </c>
      <c r="B58" s="240"/>
      <c r="C58" s="513"/>
      <c r="D58" s="240"/>
      <c r="E58" s="517"/>
      <c r="F58" s="265"/>
      <c r="G58" s="513"/>
      <c r="H58" s="265"/>
      <c r="I58" s="520"/>
      <c r="J58" s="241"/>
      <c r="K58" s="520"/>
      <c r="L58" s="241"/>
      <c r="M58" s="521"/>
      <c r="N58" s="241"/>
      <c r="O58" s="521"/>
      <c r="P58" s="241"/>
      <c r="Q58" s="520"/>
      <c r="R58" s="241"/>
      <c r="S58" s="520"/>
      <c r="T58" s="241"/>
      <c r="U58" s="520"/>
      <c r="V58" s="241"/>
      <c r="W58" s="242"/>
      <c r="X58" s="241"/>
      <c r="Y58" s="242"/>
      <c r="Z58" s="241"/>
      <c r="AA58" s="241"/>
      <c r="AB58" s="275"/>
      <c r="AC58" s="524"/>
      <c r="AD58" s="241"/>
      <c r="AE58" s="241"/>
      <c r="AF58" s="241"/>
      <c r="AG58" s="241"/>
      <c r="AH58" s="241"/>
      <c r="AI58" s="241"/>
      <c r="AJ58" s="529"/>
      <c r="AK58" s="258"/>
      <c r="AL58" s="241"/>
      <c r="AM58" s="242"/>
      <c r="AN58" s="241"/>
      <c r="AO58" s="242"/>
      <c r="AP58" s="241"/>
      <c r="AQ58" s="242"/>
      <c r="AR58" s="241"/>
      <c r="AS58" s="242"/>
      <c r="AT58" s="241"/>
      <c r="AU58" s="241"/>
      <c r="AV58" s="256"/>
      <c r="AW58" s="241"/>
      <c r="AX58" s="256"/>
      <c r="AY58" s="241"/>
      <c r="AZ58" s="256"/>
      <c r="BA58" s="239"/>
      <c r="BB58" s="242"/>
      <c r="BC58" s="239"/>
      <c r="BD58" s="242"/>
      <c r="BE58" s="239"/>
      <c r="BF58" s="241"/>
      <c r="BG58" s="239"/>
      <c r="BH58" s="241"/>
      <c r="BI58" s="260"/>
      <c r="BJ58" s="241"/>
      <c r="BK58" s="260"/>
      <c r="BL58" s="239"/>
      <c r="BM58" s="256"/>
      <c r="BN58" s="241"/>
      <c r="BO58" s="243"/>
      <c r="BP58" s="241"/>
      <c r="BQ58" s="239"/>
      <c r="BR58" s="276"/>
      <c r="BS58" s="256"/>
      <c r="BT58" s="260"/>
      <c r="BU58" s="261"/>
      <c r="BV58" s="260"/>
      <c r="BW58" s="239"/>
      <c r="BX58" s="260"/>
      <c r="BY58" s="260"/>
      <c r="BZ58" s="239"/>
      <c r="CA58" s="260"/>
      <c r="CB58" s="239"/>
      <c r="CC58" s="260"/>
      <c r="CD58" s="539"/>
      <c r="CE58" s="239"/>
      <c r="CF58" s="276"/>
      <c r="CG58" s="256"/>
      <c r="CH58" s="259"/>
      <c r="CI58" s="347"/>
      <c r="CJ58" s="540"/>
      <c r="CK58" s="256"/>
      <c r="CL58" s="244">
        <v>1</v>
      </c>
      <c r="CM58" s="274">
        <f t="shared" si="0"/>
        <v>2015</v>
      </c>
      <c r="CN58" s="244">
        <f>IF('Grille de saisie'!CM58&lt;18,0,IF('Grille de saisie'!CM58&lt;40,1,IF('Grille de saisie'!CM58&lt;65,2,IF('Grille de saisie'!CM58&lt;100,3,4))))</f>
        <v>4</v>
      </c>
      <c r="CO58" s="236">
        <f>IF(AND('Grille de saisie'!C58=1,'Grille de saisie'!BZ58=0),1,IF(AND('Grille de saisie'!C58="",'Grille de saisie'!BZ58=""),3,IF(AND('Grille de saisie'!C58=5),3,2)))</f>
        <v>3</v>
      </c>
      <c r="CP58" s="236">
        <f>IF(AND('Grille de saisie'!C58=1,'Grille de saisie'!BZ58=0),1,IF(AND('Grille de saisie'!C58=1,'Grille de saisie'!BZ58=1),2,IF(AND('Grille de saisie'!C58=2,'Grille de saisie'!BZ58=0),2,IF(AND('Grille de saisie'!C58=3,'Grille de saisie'!BZ58=0),3,IF(AND('Grille de saisie'!C58=2,'Grille de saisie'!BZ58=1),3,IF(AND('Grille de saisie'!C58=1,'Grille de saisie'!BZ58=2),3,IF(AND('Grille de saisie'!C58="",'Grille de saisie'!BZ58=""),5,IF(AND('Grille de saisie'!C58=5),5,4))))))))</f>
        <v>5</v>
      </c>
      <c r="CQ58" s="237">
        <f>IF('Grille de saisie'!BZ58="",3,IF('Grille de saisie'!C58=5,3,IF('Grille de saisie'!BZ58=0,1,2)))</f>
        <v>3</v>
      </c>
    </row>
    <row r="59" spans="1:95" ht="15">
      <c r="A59" s="510">
        <v>57</v>
      </c>
      <c r="B59" s="240"/>
      <c r="C59" s="513"/>
      <c r="D59" s="240"/>
      <c r="E59" s="517"/>
      <c r="F59" s="265"/>
      <c r="G59" s="513"/>
      <c r="H59" s="265"/>
      <c r="I59" s="520"/>
      <c r="J59" s="241"/>
      <c r="K59" s="520"/>
      <c r="L59" s="241"/>
      <c r="M59" s="521"/>
      <c r="N59" s="241"/>
      <c r="O59" s="521"/>
      <c r="P59" s="241"/>
      <c r="Q59" s="520"/>
      <c r="R59" s="241"/>
      <c r="S59" s="520"/>
      <c r="T59" s="241"/>
      <c r="U59" s="520"/>
      <c r="V59" s="241"/>
      <c r="W59" s="242"/>
      <c r="X59" s="241"/>
      <c r="Y59" s="242"/>
      <c r="Z59" s="241"/>
      <c r="AA59" s="241"/>
      <c r="AB59" s="275"/>
      <c r="AC59" s="524"/>
      <c r="AD59" s="241"/>
      <c r="AE59" s="241"/>
      <c r="AF59" s="241"/>
      <c r="AG59" s="241"/>
      <c r="AH59" s="241"/>
      <c r="AI59" s="241"/>
      <c r="AJ59" s="529"/>
      <c r="AK59" s="258"/>
      <c r="AL59" s="241"/>
      <c r="AM59" s="242"/>
      <c r="AN59" s="241"/>
      <c r="AO59" s="242"/>
      <c r="AP59" s="241"/>
      <c r="AQ59" s="242"/>
      <c r="AR59" s="241"/>
      <c r="AS59" s="242"/>
      <c r="AT59" s="241"/>
      <c r="AU59" s="241"/>
      <c r="AV59" s="256"/>
      <c r="AW59" s="241"/>
      <c r="AX59" s="256"/>
      <c r="AY59" s="241"/>
      <c r="AZ59" s="256"/>
      <c r="BA59" s="239"/>
      <c r="BB59" s="242"/>
      <c r="BC59" s="239"/>
      <c r="BD59" s="242"/>
      <c r="BE59" s="239"/>
      <c r="BF59" s="241"/>
      <c r="BG59" s="239"/>
      <c r="BH59" s="241"/>
      <c r="BI59" s="260"/>
      <c r="BJ59" s="241"/>
      <c r="BK59" s="260"/>
      <c r="BL59" s="239"/>
      <c r="BM59" s="256"/>
      <c r="BN59" s="241"/>
      <c r="BO59" s="243"/>
      <c r="BP59" s="241"/>
      <c r="BQ59" s="239"/>
      <c r="BR59" s="276"/>
      <c r="BS59" s="256"/>
      <c r="BT59" s="260"/>
      <c r="BU59" s="261"/>
      <c r="BV59" s="260"/>
      <c r="BW59" s="239"/>
      <c r="BX59" s="260"/>
      <c r="BY59" s="260"/>
      <c r="BZ59" s="239"/>
      <c r="CA59" s="260"/>
      <c r="CB59" s="239"/>
      <c r="CC59" s="260"/>
      <c r="CD59" s="539"/>
      <c r="CE59" s="239"/>
      <c r="CF59" s="276"/>
      <c r="CG59" s="256"/>
      <c r="CH59" s="259"/>
      <c r="CI59" s="347"/>
      <c r="CJ59" s="540"/>
      <c r="CK59" s="256"/>
      <c r="CL59" s="244">
        <v>1</v>
      </c>
      <c r="CM59" s="274">
        <f t="shared" si="0"/>
        <v>2015</v>
      </c>
      <c r="CN59" s="244">
        <f>IF('Grille de saisie'!CM59&lt;18,0,IF('Grille de saisie'!CM59&lt;40,1,IF('Grille de saisie'!CM59&lt;65,2,IF('Grille de saisie'!CM59&lt;100,3,4))))</f>
        <v>4</v>
      </c>
      <c r="CO59" s="236">
        <f>IF(AND('Grille de saisie'!C59=1,'Grille de saisie'!BZ59=0),1,IF(AND('Grille de saisie'!C59="",'Grille de saisie'!BZ59=""),3,IF(AND('Grille de saisie'!C59=5),3,2)))</f>
        <v>3</v>
      </c>
      <c r="CP59" s="236">
        <f>IF(AND('Grille de saisie'!C59=1,'Grille de saisie'!BZ59=0),1,IF(AND('Grille de saisie'!C59=1,'Grille de saisie'!BZ59=1),2,IF(AND('Grille de saisie'!C59=2,'Grille de saisie'!BZ59=0),2,IF(AND('Grille de saisie'!C59=3,'Grille de saisie'!BZ59=0),3,IF(AND('Grille de saisie'!C59=2,'Grille de saisie'!BZ59=1),3,IF(AND('Grille de saisie'!C59=1,'Grille de saisie'!BZ59=2),3,IF(AND('Grille de saisie'!C59="",'Grille de saisie'!BZ59=""),5,IF(AND('Grille de saisie'!C59=5),5,4))))))))</f>
        <v>5</v>
      </c>
      <c r="CQ59" s="237">
        <f>IF('Grille de saisie'!BZ59="",3,IF('Grille de saisie'!C59=5,3,IF('Grille de saisie'!BZ59=0,1,2)))</f>
        <v>3</v>
      </c>
    </row>
    <row r="60" spans="1:95" ht="15">
      <c r="A60" s="511">
        <v>58</v>
      </c>
      <c r="B60" s="240"/>
      <c r="C60" s="513"/>
      <c r="D60" s="240"/>
      <c r="E60" s="517"/>
      <c r="F60" s="265"/>
      <c r="G60" s="513"/>
      <c r="H60" s="265"/>
      <c r="I60" s="520"/>
      <c r="J60" s="241"/>
      <c r="K60" s="520"/>
      <c r="L60" s="241"/>
      <c r="M60" s="521"/>
      <c r="N60" s="241"/>
      <c r="O60" s="521"/>
      <c r="P60" s="241"/>
      <c r="Q60" s="520"/>
      <c r="R60" s="241"/>
      <c r="S60" s="520"/>
      <c r="T60" s="241"/>
      <c r="U60" s="520"/>
      <c r="V60" s="241"/>
      <c r="W60" s="242"/>
      <c r="X60" s="241"/>
      <c r="Y60" s="242"/>
      <c r="Z60" s="241"/>
      <c r="AA60" s="241"/>
      <c r="AB60" s="275"/>
      <c r="AC60" s="524"/>
      <c r="AD60" s="241"/>
      <c r="AE60" s="241"/>
      <c r="AF60" s="241"/>
      <c r="AG60" s="241"/>
      <c r="AH60" s="241"/>
      <c r="AI60" s="241"/>
      <c r="AJ60" s="529"/>
      <c r="AK60" s="258"/>
      <c r="AL60" s="241"/>
      <c r="AM60" s="242"/>
      <c r="AN60" s="241"/>
      <c r="AO60" s="242"/>
      <c r="AP60" s="241"/>
      <c r="AQ60" s="242"/>
      <c r="AR60" s="241"/>
      <c r="AS60" s="242"/>
      <c r="AT60" s="241"/>
      <c r="AU60" s="241"/>
      <c r="AV60" s="256"/>
      <c r="AW60" s="241"/>
      <c r="AX60" s="256"/>
      <c r="AY60" s="241"/>
      <c r="AZ60" s="256"/>
      <c r="BA60" s="239"/>
      <c r="BB60" s="242"/>
      <c r="BC60" s="239"/>
      <c r="BD60" s="242"/>
      <c r="BE60" s="239"/>
      <c r="BF60" s="241"/>
      <c r="BG60" s="239"/>
      <c r="BH60" s="241"/>
      <c r="BI60" s="260"/>
      <c r="BJ60" s="241"/>
      <c r="BK60" s="260"/>
      <c r="BL60" s="239"/>
      <c r="BM60" s="256"/>
      <c r="BN60" s="241"/>
      <c r="BO60" s="243"/>
      <c r="BP60" s="241"/>
      <c r="BQ60" s="239"/>
      <c r="BR60" s="276"/>
      <c r="BS60" s="256"/>
      <c r="BT60" s="260"/>
      <c r="BU60" s="261"/>
      <c r="BV60" s="260"/>
      <c r="BW60" s="239"/>
      <c r="BX60" s="260"/>
      <c r="BY60" s="260"/>
      <c r="BZ60" s="239"/>
      <c r="CA60" s="260"/>
      <c r="CB60" s="239"/>
      <c r="CC60" s="260"/>
      <c r="CD60" s="539"/>
      <c r="CE60" s="239"/>
      <c r="CF60" s="276"/>
      <c r="CG60" s="256"/>
      <c r="CH60" s="259"/>
      <c r="CI60" s="347"/>
      <c r="CJ60" s="540"/>
      <c r="CK60" s="256"/>
      <c r="CL60" s="244">
        <v>1</v>
      </c>
      <c r="CM60" s="274">
        <f t="shared" si="0"/>
        <v>2015</v>
      </c>
      <c r="CN60" s="244">
        <f>IF('Grille de saisie'!CM60&lt;18,0,IF('Grille de saisie'!CM60&lt;40,1,IF('Grille de saisie'!CM60&lt;65,2,IF('Grille de saisie'!CM60&lt;100,3,4))))</f>
        <v>4</v>
      </c>
      <c r="CO60" s="236">
        <f>IF(AND('Grille de saisie'!C60=1,'Grille de saisie'!BZ60=0),1,IF(AND('Grille de saisie'!C60="",'Grille de saisie'!BZ60=""),3,IF(AND('Grille de saisie'!C60=5),3,2)))</f>
        <v>3</v>
      </c>
      <c r="CP60" s="236">
        <f>IF(AND('Grille de saisie'!C60=1,'Grille de saisie'!BZ60=0),1,IF(AND('Grille de saisie'!C60=1,'Grille de saisie'!BZ60=1),2,IF(AND('Grille de saisie'!C60=2,'Grille de saisie'!BZ60=0),2,IF(AND('Grille de saisie'!C60=3,'Grille de saisie'!BZ60=0),3,IF(AND('Grille de saisie'!C60=2,'Grille de saisie'!BZ60=1),3,IF(AND('Grille de saisie'!C60=1,'Grille de saisie'!BZ60=2),3,IF(AND('Grille de saisie'!C60="",'Grille de saisie'!BZ60=""),5,IF(AND('Grille de saisie'!C60=5),5,4))))))))</f>
        <v>5</v>
      </c>
      <c r="CQ60" s="237">
        <f>IF('Grille de saisie'!BZ60="",3,IF('Grille de saisie'!C60=5,3,IF('Grille de saisie'!BZ60=0,1,2)))</f>
        <v>3</v>
      </c>
    </row>
    <row r="61" spans="1:95" ht="15">
      <c r="A61" s="510">
        <v>59</v>
      </c>
      <c r="B61" s="240"/>
      <c r="C61" s="513"/>
      <c r="D61" s="240"/>
      <c r="E61" s="517"/>
      <c r="F61" s="265"/>
      <c r="G61" s="513"/>
      <c r="H61" s="265"/>
      <c r="I61" s="520"/>
      <c r="J61" s="241"/>
      <c r="K61" s="520"/>
      <c r="L61" s="241"/>
      <c r="M61" s="521"/>
      <c r="N61" s="241"/>
      <c r="O61" s="521"/>
      <c r="P61" s="241"/>
      <c r="Q61" s="520"/>
      <c r="R61" s="241"/>
      <c r="S61" s="520"/>
      <c r="T61" s="241"/>
      <c r="U61" s="520"/>
      <c r="V61" s="241"/>
      <c r="W61" s="242"/>
      <c r="X61" s="241"/>
      <c r="Y61" s="242"/>
      <c r="Z61" s="241"/>
      <c r="AA61" s="241"/>
      <c r="AB61" s="275"/>
      <c r="AC61" s="524"/>
      <c r="AD61" s="241"/>
      <c r="AE61" s="241"/>
      <c r="AF61" s="241"/>
      <c r="AG61" s="241"/>
      <c r="AH61" s="241"/>
      <c r="AI61" s="241"/>
      <c r="AJ61" s="529"/>
      <c r="AK61" s="258"/>
      <c r="AL61" s="241"/>
      <c r="AM61" s="242"/>
      <c r="AN61" s="241"/>
      <c r="AO61" s="242"/>
      <c r="AP61" s="241"/>
      <c r="AQ61" s="242"/>
      <c r="AR61" s="241"/>
      <c r="AS61" s="242"/>
      <c r="AT61" s="241"/>
      <c r="AU61" s="241"/>
      <c r="AV61" s="256"/>
      <c r="AW61" s="241"/>
      <c r="AX61" s="256"/>
      <c r="AY61" s="241"/>
      <c r="AZ61" s="256"/>
      <c r="BA61" s="239"/>
      <c r="BB61" s="242"/>
      <c r="BC61" s="239"/>
      <c r="BD61" s="242"/>
      <c r="BE61" s="239"/>
      <c r="BF61" s="241"/>
      <c r="BG61" s="239"/>
      <c r="BH61" s="241"/>
      <c r="BI61" s="260"/>
      <c r="BJ61" s="241"/>
      <c r="BK61" s="260"/>
      <c r="BL61" s="239"/>
      <c r="BM61" s="256"/>
      <c r="BN61" s="241"/>
      <c r="BO61" s="243"/>
      <c r="BP61" s="241"/>
      <c r="BQ61" s="239"/>
      <c r="BR61" s="276"/>
      <c r="BS61" s="256"/>
      <c r="BT61" s="260"/>
      <c r="BU61" s="261"/>
      <c r="BV61" s="260"/>
      <c r="BW61" s="239"/>
      <c r="BX61" s="260"/>
      <c r="BY61" s="260"/>
      <c r="BZ61" s="239"/>
      <c r="CA61" s="260"/>
      <c r="CB61" s="239"/>
      <c r="CC61" s="260"/>
      <c r="CD61" s="539"/>
      <c r="CE61" s="239"/>
      <c r="CF61" s="276"/>
      <c r="CG61" s="256"/>
      <c r="CH61" s="259"/>
      <c r="CI61" s="347"/>
      <c r="CJ61" s="540"/>
      <c r="CK61" s="256"/>
      <c r="CL61" s="244">
        <v>1</v>
      </c>
      <c r="CM61" s="274">
        <f t="shared" si="0"/>
        <v>2015</v>
      </c>
      <c r="CN61" s="244">
        <f>IF('Grille de saisie'!CM61&lt;18,0,IF('Grille de saisie'!CM61&lt;40,1,IF('Grille de saisie'!CM61&lt;65,2,IF('Grille de saisie'!CM61&lt;100,3,4))))</f>
        <v>4</v>
      </c>
      <c r="CO61" s="236">
        <f>IF(AND('Grille de saisie'!C61=1,'Grille de saisie'!BZ61=0),1,IF(AND('Grille de saisie'!C61="",'Grille de saisie'!BZ61=""),3,IF(AND('Grille de saisie'!C61=5),3,2)))</f>
        <v>3</v>
      </c>
      <c r="CP61" s="236">
        <f>IF(AND('Grille de saisie'!C61=1,'Grille de saisie'!BZ61=0),1,IF(AND('Grille de saisie'!C61=1,'Grille de saisie'!BZ61=1),2,IF(AND('Grille de saisie'!C61=2,'Grille de saisie'!BZ61=0),2,IF(AND('Grille de saisie'!C61=3,'Grille de saisie'!BZ61=0),3,IF(AND('Grille de saisie'!C61=2,'Grille de saisie'!BZ61=1),3,IF(AND('Grille de saisie'!C61=1,'Grille de saisie'!BZ61=2),3,IF(AND('Grille de saisie'!C61="",'Grille de saisie'!BZ61=""),5,IF(AND('Grille de saisie'!C61=5),5,4))))))))</f>
        <v>5</v>
      </c>
      <c r="CQ61" s="237">
        <f>IF('Grille de saisie'!BZ61="",3,IF('Grille de saisie'!C61=5,3,IF('Grille de saisie'!BZ61=0,1,2)))</f>
        <v>3</v>
      </c>
    </row>
    <row r="62" spans="1:95" ht="15">
      <c r="A62" s="510">
        <v>60</v>
      </c>
      <c r="B62" s="240"/>
      <c r="C62" s="513"/>
      <c r="D62" s="240"/>
      <c r="E62" s="517"/>
      <c r="F62" s="265"/>
      <c r="G62" s="513"/>
      <c r="H62" s="265"/>
      <c r="I62" s="520"/>
      <c r="J62" s="241"/>
      <c r="K62" s="520"/>
      <c r="L62" s="241"/>
      <c r="M62" s="521"/>
      <c r="N62" s="241"/>
      <c r="O62" s="521"/>
      <c r="P62" s="241"/>
      <c r="Q62" s="520"/>
      <c r="R62" s="241"/>
      <c r="S62" s="520"/>
      <c r="T62" s="241"/>
      <c r="U62" s="520"/>
      <c r="V62" s="241"/>
      <c r="W62" s="242"/>
      <c r="X62" s="241"/>
      <c r="Y62" s="242"/>
      <c r="Z62" s="241"/>
      <c r="AA62" s="241"/>
      <c r="AB62" s="275"/>
      <c r="AC62" s="524"/>
      <c r="AD62" s="241"/>
      <c r="AE62" s="241"/>
      <c r="AF62" s="241"/>
      <c r="AG62" s="241"/>
      <c r="AH62" s="241"/>
      <c r="AI62" s="241"/>
      <c r="AJ62" s="529"/>
      <c r="AK62" s="258"/>
      <c r="AL62" s="241"/>
      <c r="AM62" s="242"/>
      <c r="AN62" s="241"/>
      <c r="AO62" s="242"/>
      <c r="AP62" s="241"/>
      <c r="AQ62" s="242"/>
      <c r="AR62" s="241"/>
      <c r="AS62" s="242"/>
      <c r="AT62" s="241"/>
      <c r="AU62" s="241"/>
      <c r="AV62" s="256"/>
      <c r="AW62" s="241"/>
      <c r="AX62" s="256"/>
      <c r="AY62" s="241"/>
      <c r="AZ62" s="256"/>
      <c r="BA62" s="239"/>
      <c r="BB62" s="242"/>
      <c r="BC62" s="239"/>
      <c r="BD62" s="242"/>
      <c r="BE62" s="239"/>
      <c r="BF62" s="241"/>
      <c r="BG62" s="239"/>
      <c r="BH62" s="241"/>
      <c r="BI62" s="260"/>
      <c r="BJ62" s="241"/>
      <c r="BK62" s="260"/>
      <c r="BL62" s="239"/>
      <c r="BM62" s="256"/>
      <c r="BN62" s="241"/>
      <c r="BO62" s="243"/>
      <c r="BP62" s="241"/>
      <c r="BQ62" s="239"/>
      <c r="BR62" s="276"/>
      <c r="BS62" s="256"/>
      <c r="BT62" s="260"/>
      <c r="BU62" s="261"/>
      <c r="BV62" s="260"/>
      <c r="BW62" s="239"/>
      <c r="BX62" s="260"/>
      <c r="BY62" s="260"/>
      <c r="BZ62" s="239"/>
      <c r="CA62" s="260"/>
      <c r="CB62" s="239"/>
      <c r="CC62" s="260"/>
      <c r="CD62" s="539"/>
      <c r="CE62" s="239"/>
      <c r="CF62" s="276"/>
      <c r="CG62" s="256"/>
      <c r="CH62" s="259"/>
      <c r="CI62" s="347"/>
      <c r="CJ62" s="540"/>
      <c r="CK62" s="256"/>
      <c r="CL62" s="244">
        <v>1</v>
      </c>
      <c r="CM62" s="274">
        <f t="shared" si="0"/>
        <v>2015</v>
      </c>
      <c r="CN62" s="244">
        <f>IF('Grille de saisie'!CM62&lt;18,0,IF('Grille de saisie'!CM62&lt;40,1,IF('Grille de saisie'!CM62&lt;65,2,IF('Grille de saisie'!CM62&lt;100,3,4))))</f>
        <v>4</v>
      </c>
      <c r="CO62" s="236">
        <f>IF(AND('Grille de saisie'!C62=1,'Grille de saisie'!BZ62=0),1,IF(AND('Grille de saisie'!C62="",'Grille de saisie'!BZ62=""),3,IF(AND('Grille de saisie'!C62=5),3,2)))</f>
        <v>3</v>
      </c>
      <c r="CP62" s="236">
        <f>IF(AND('Grille de saisie'!C62=1,'Grille de saisie'!BZ62=0),1,IF(AND('Grille de saisie'!C62=1,'Grille de saisie'!BZ62=1),2,IF(AND('Grille de saisie'!C62=2,'Grille de saisie'!BZ62=0),2,IF(AND('Grille de saisie'!C62=3,'Grille de saisie'!BZ62=0),3,IF(AND('Grille de saisie'!C62=2,'Grille de saisie'!BZ62=1),3,IF(AND('Grille de saisie'!C62=1,'Grille de saisie'!BZ62=2),3,IF(AND('Grille de saisie'!C62="",'Grille de saisie'!BZ62=""),5,IF(AND('Grille de saisie'!C62=5),5,4))))))))</f>
        <v>5</v>
      </c>
      <c r="CQ62" s="237">
        <f>IF('Grille de saisie'!BZ62="",3,IF('Grille de saisie'!C62=5,3,IF('Grille de saisie'!BZ62=0,1,2)))</f>
        <v>3</v>
      </c>
    </row>
    <row r="63" spans="1:95" ht="15">
      <c r="A63" s="511">
        <v>61</v>
      </c>
      <c r="B63" s="240"/>
      <c r="C63" s="513"/>
      <c r="D63" s="240"/>
      <c r="E63" s="517"/>
      <c r="F63" s="265"/>
      <c r="G63" s="513"/>
      <c r="H63" s="265"/>
      <c r="I63" s="520"/>
      <c r="J63" s="241"/>
      <c r="K63" s="520"/>
      <c r="L63" s="241"/>
      <c r="M63" s="521"/>
      <c r="N63" s="241"/>
      <c r="O63" s="521"/>
      <c r="P63" s="241"/>
      <c r="Q63" s="520"/>
      <c r="R63" s="241"/>
      <c r="S63" s="520"/>
      <c r="T63" s="241"/>
      <c r="U63" s="520"/>
      <c r="V63" s="241"/>
      <c r="W63" s="242"/>
      <c r="X63" s="241"/>
      <c r="Y63" s="242"/>
      <c r="Z63" s="241"/>
      <c r="AA63" s="241"/>
      <c r="AB63" s="275"/>
      <c r="AC63" s="524"/>
      <c r="AD63" s="241"/>
      <c r="AE63" s="241"/>
      <c r="AF63" s="241"/>
      <c r="AG63" s="241"/>
      <c r="AH63" s="241"/>
      <c r="AI63" s="241"/>
      <c r="AJ63" s="529"/>
      <c r="AK63" s="258"/>
      <c r="AL63" s="241"/>
      <c r="AM63" s="242"/>
      <c r="AN63" s="241"/>
      <c r="AO63" s="242"/>
      <c r="AP63" s="241"/>
      <c r="AQ63" s="242"/>
      <c r="AR63" s="241"/>
      <c r="AS63" s="242"/>
      <c r="AT63" s="241"/>
      <c r="AU63" s="241"/>
      <c r="AV63" s="256"/>
      <c r="AW63" s="241"/>
      <c r="AX63" s="256"/>
      <c r="AY63" s="241"/>
      <c r="AZ63" s="256"/>
      <c r="BA63" s="239"/>
      <c r="BB63" s="242"/>
      <c r="BC63" s="239"/>
      <c r="BD63" s="242"/>
      <c r="BE63" s="239"/>
      <c r="BF63" s="241"/>
      <c r="BG63" s="239"/>
      <c r="BH63" s="241"/>
      <c r="BI63" s="260"/>
      <c r="BJ63" s="241"/>
      <c r="BK63" s="260"/>
      <c r="BL63" s="239"/>
      <c r="BM63" s="256"/>
      <c r="BN63" s="241"/>
      <c r="BO63" s="243"/>
      <c r="BP63" s="241"/>
      <c r="BQ63" s="239"/>
      <c r="BR63" s="276"/>
      <c r="BS63" s="256"/>
      <c r="BT63" s="260"/>
      <c r="BU63" s="261"/>
      <c r="BV63" s="260"/>
      <c r="BW63" s="239"/>
      <c r="BX63" s="260"/>
      <c r="BY63" s="260"/>
      <c r="BZ63" s="239"/>
      <c r="CA63" s="260"/>
      <c r="CB63" s="239"/>
      <c r="CC63" s="260"/>
      <c r="CD63" s="539"/>
      <c r="CE63" s="239"/>
      <c r="CF63" s="276"/>
      <c r="CG63" s="256"/>
      <c r="CH63" s="259"/>
      <c r="CI63" s="347"/>
      <c r="CJ63" s="540"/>
      <c r="CK63" s="256"/>
      <c r="CL63" s="244">
        <v>1</v>
      </c>
      <c r="CM63" s="274">
        <f t="shared" si="0"/>
        <v>2015</v>
      </c>
      <c r="CN63" s="244">
        <f>IF('Grille de saisie'!CM63&lt;18,0,IF('Grille de saisie'!CM63&lt;40,1,IF('Grille de saisie'!CM63&lt;65,2,IF('Grille de saisie'!CM63&lt;100,3,4))))</f>
        <v>4</v>
      </c>
      <c r="CO63" s="236">
        <f>IF(AND('Grille de saisie'!C63=1,'Grille de saisie'!BZ63=0),1,IF(AND('Grille de saisie'!C63="",'Grille de saisie'!BZ63=""),3,IF(AND('Grille de saisie'!C63=5),3,2)))</f>
        <v>3</v>
      </c>
      <c r="CP63" s="236">
        <f>IF(AND('Grille de saisie'!C63=1,'Grille de saisie'!BZ63=0),1,IF(AND('Grille de saisie'!C63=1,'Grille de saisie'!BZ63=1),2,IF(AND('Grille de saisie'!C63=2,'Grille de saisie'!BZ63=0),2,IF(AND('Grille de saisie'!C63=3,'Grille de saisie'!BZ63=0),3,IF(AND('Grille de saisie'!C63=2,'Grille de saisie'!BZ63=1),3,IF(AND('Grille de saisie'!C63=1,'Grille de saisie'!BZ63=2),3,IF(AND('Grille de saisie'!C63="",'Grille de saisie'!BZ63=""),5,IF(AND('Grille de saisie'!C63=5),5,4))))))))</f>
        <v>5</v>
      </c>
      <c r="CQ63" s="237">
        <f>IF('Grille de saisie'!BZ63="",3,IF('Grille de saisie'!C63=5,3,IF('Grille de saisie'!BZ63=0,1,2)))</f>
        <v>3</v>
      </c>
    </row>
    <row r="64" spans="1:95" ht="15">
      <c r="A64" s="510">
        <v>62</v>
      </c>
      <c r="B64" s="240"/>
      <c r="C64" s="513"/>
      <c r="D64" s="240"/>
      <c r="E64" s="517"/>
      <c r="F64" s="265"/>
      <c r="G64" s="513"/>
      <c r="H64" s="265"/>
      <c r="I64" s="520"/>
      <c r="J64" s="241"/>
      <c r="K64" s="520"/>
      <c r="L64" s="241"/>
      <c r="M64" s="521"/>
      <c r="N64" s="241"/>
      <c r="O64" s="521"/>
      <c r="P64" s="241"/>
      <c r="Q64" s="520"/>
      <c r="R64" s="241"/>
      <c r="S64" s="520"/>
      <c r="T64" s="241"/>
      <c r="U64" s="520"/>
      <c r="V64" s="241"/>
      <c r="W64" s="242"/>
      <c r="X64" s="241"/>
      <c r="Y64" s="242"/>
      <c r="Z64" s="241"/>
      <c r="AA64" s="241"/>
      <c r="AB64" s="275"/>
      <c r="AC64" s="524"/>
      <c r="AD64" s="241"/>
      <c r="AE64" s="241"/>
      <c r="AF64" s="241"/>
      <c r="AG64" s="241"/>
      <c r="AH64" s="241"/>
      <c r="AI64" s="241"/>
      <c r="AJ64" s="529"/>
      <c r="AK64" s="258"/>
      <c r="AL64" s="241"/>
      <c r="AM64" s="242"/>
      <c r="AN64" s="241"/>
      <c r="AO64" s="242"/>
      <c r="AP64" s="241"/>
      <c r="AQ64" s="242"/>
      <c r="AR64" s="241"/>
      <c r="AS64" s="242"/>
      <c r="AT64" s="241"/>
      <c r="AU64" s="241"/>
      <c r="AV64" s="256"/>
      <c r="AW64" s="241"/>
      <c r="AX64" s="256"/>
      <c r="AY64" s="241"/>
      <c r="AZ64" s="256"/>
      <c r="BA64" s="239"/>
      <c r="BB64" s="242"/>
      <c r="BC64" s="239"/>
      <c r="BD64" s="242"/>
      <c r="BE64" s="239"/>
      <c r="BF64" s="241"/>
      <c r="BG64" s="239"/>
      <c r="BH64" s="241"/>
      <c r="BI64" s="260"/>
      <c r="BJ64" s="241"/>
      <c r="BK64" s="260"/>
      <c r="BL64" s="239"/>
      <c r="BM64" s="256"/>
      <c r="BN64" s="241"/>
      <c r="BO64" s="243"/>
      <c r="BP64" s="241"/>
      <c r="BQ64" s="239"/>
      <c r="BR64" s="276"/>
      <c r="BS64" s="256"/>
      <c r="BT64" s="260"/>
      <c r="BU64" s="261"/>
      <c r="BV64" s="260"/>
      <c r="BW64" s="239"/>
      <c r="BX64" s="260"/>
      <c r="BY64" s="260"/>
      <c r="BZ64" s="239"/>
      <c r="CA64" s="260"/>
      <c r="CB64" s="239"/>
      <c r="CC64" s="260"/>
      <c r="CD64" s="539"/>
      <c r="CE64" s="239"/>
      <c r="CF64" s="276"/>
      <c r="CG64" s="256"/>
      <c r="CH64" s="259"/>
      <c r="CI64" s="347"/>
      <c r="CJ64" s="540"/>
      <c r="CK64" s="256"/>
      <c r="CL64" s="244">
        <v>1</v>
      </c>
      <c r="CM64" s="274">
        <f t="shared" si="0"/>
        <v>2015</v>
      </c>
      <c r="CN64" s="244">
        <f>IF('Grille de saisie'!CM64&lt;18,0,IF('Grille de saisie'!CM64&lt;40,1,IF('Grille de saisie'!CM64&lt;65,2,IF('Grille de saisie'!CM64&lt;100,3,4))))</f>
        <v>4</v>
      </c>
      <c r="CO64" s="236">
        <f>IF(AND('Grille de saisie'!C64=1,'Grille de saisie'!BZ64=0),1,IF(AND('Grille de saisie'!C64="",'Grille de saisie'!BZ64=""),3,IF(AND('Grille de saisie'!C64=5),3,2)))</f>
        <v>3</v>
      </c>
      <c r="CP64" s="236">
        <f>IF(AND('Grille de saisie'!C64=1,'Grille de saisie'!BZ64=0),1,IF(AND('Grille de saisie'!C64=1,'Grille de saisie'!BZ64=1),2,IF(AND('Grille de saisie'!C64=2,'Grille de saisie'!BZ64=0),2,IF(AND('Grille de saisie'!C64=3,'Grille de saisie'!BZ64=0),3,IF(AND('Grille de saisie'!C64=2,'Grille de saisie'!BZ64=1),3,IF(AND('Grille de saisie'!C64=1,'Grille de saisie'!BZ64=2),3,IF(AND('Grille de saisie'!C64="",'Grille de saisie'!BZ64=""),5,IF(AND('Grille de saisie'!C64=5),5,4))))))))</f>
        <v>5</v>
      </c>
      <c r="CQ64" s="237">
        <f>IF('Grille de saisie'!BZ64="",3,IF('Grille de saisie'!C64=5,3,IF('Grille de saisie'!BZ64=0,1,2)))</f>
        <v>3</v>
      </c>
    </row>
    <row r="65" spans="1:95" ht="15">
      <c r="A65" s="510">
        <v>63</v>
      </c>
      <c r="B65" s="240"/>
      <c r="C65" s="513"/>
      <c r="D65" s="240"/>
      <c r="E65" s="517"/>
      <c r="F65" s="265"/>
      <c r="G65" s="513"/>
      <c r="H65" s="265"/>
      <c r="I65" s="520"/>
      <c r="J65" s="241"/>
      <c r="K65" s="520"/>
      <c r="L65" s="241"/>
      <c r="M65" s="521"/>
      <c r="N65" s="241"/>
      <c r="O65" s="521"/>
      <c r="P65" s="241"/>
      <c r="Q65" s="520"/>
      <c r="R65" s="241"/>
      <c r="S65" s="520"/>
      <c r="T65" s="241"/>
      <c r="U65" s="520"/>
      <c r="V65" s="241"/>
      <c r="W65" s="242"/>
      <c r="X65" s="241"/>
      <c r="Y65" s="242"/>
      <c r="Z65" s="241"/>
      <c r="AA65" s="241"/>
      <c r="AB65" s="275"/>
      <c r="AC65" s="524"/>
      <c r="AD65" s="241"/>
      <c r="AE65" s="241"/>
      <c r="AF65" s="241"/>
      <c r="AG65" s="241"/>
      <c r="AH65" s="241"/>
      <c r="AI65" s="241"/>
      <c r="AJ65" s="529"/>
      <c r="AK65" s="258"/>
      <c r="AL65" s="241"/>
      <c r="AM65" s="242"/>
      <c r="AN65" s="241"/>
      <c r="AO65" s="242"/>
      <c r="AP65" s="241"/>
      <c r="AQ65" s="242"/>
      <c r="AR65" s="241"/>
      <c r="AS65" s="242"/>
      <c r="AT65" s="241"/>
      <c r="AU65" s="241"/>
      <c r="AV65" s="256"/>
      <c r="AW65" s="241"/>
      <c r="AX65" s="256"/>
      <c r="AY65" s="241"/>
      <c r="AZ65" s="256"/>
      <c r="BA65" s="239"/>
      <c r="BB65" s="242"/>
      <c r="BC65" s="239"/>
      <c r="BD65" s="242"/>
      <c r="BE65" s="239"/>
      <c r="BF65" s="241"/>
      <c r="BG65" s="239"/>
      <c r="BH65" s="241"/>
      <c r="BI65" s="260"/>
      <c r="BJ65" s="241"/>
      <c r="BK65" s="260"/>
      <c r="BL65" s="239"/>
      <c r="BM65" s="256"/>
      <c r="BN65" s="241"/>
      <c r="BO65" s="243"/>
      <c r="BP65" s="241"/>
      <c r="BQ65" s="239"/>
      <c r="BR65" s="276"/>
      <c r="BS65" s="256"/>
      <c r="BT65" s="260"/>
      <c r="BU65" s="261"/>
      <c r="BV65" s="260"/>
      <c r="BW65" s="239"/>
      <c r="BX65" s="260"/>
      <c r="BY65" s="260"/>
      <c r="BZ65" s="239"/>
      <c r="CA65" s="260"/>
      <c r="CB65" s="239"/>
      <c r="CC65" s="260"/>
      <c r="CD65" s="539"/>
      <c r="CE65" s="239"/>
      <c r="CF65" s="276"/>
      <c r="CG65" s="256"/>
      <c r="CH65" s="259"/>
      <c r="CI65" s="347"/>
      <c r="CJ65" s="540"/>
      <c r="CK65" s="256"/>
      <c r="CL65" s="244">
        <v>1</v>
      </c>
      <c r="CM65" s="274">
        <f t="shared" si="0"/>
        <v>2015</v>
      </c>
      <c r="CN65" s="244">
        <f>IF('Grille de saisie'!CM65&lt;18,0,IF('Grille de saisie'!CM65&lt;40,1,IF('Grille de saisie'!CM65&lt;65,2,IF('Grille de saisie'!CM65&lt;100,3,4))))</f>
        <v>4</v>
      </c>
      <c r="CO65" s="236">
        <f>IF(AND('Grille de saisie'!C65=1,'Grille de saisie'!BZ65=0),1,IF(AND('Grille de saisie'!C65="",'Grille de saisie'!BZ65=""),3,IF(AND('Grille de saisie'!C65=5),3,2)))</f>
        <v>3</v>
      </c>
      <c r="CP65" s="236">
        <f>IF(AND('Grille de saisie'!C65=1,'Grille de saisie'!BZ65=0),1,IF(AND('Grille de saisie'!C65=1,'Grille de saisie'!BZ65=1),2,IF(AND('Grille de saisie'!C65=2,'Grille de saisie'!BZ65=0),2,IF(AND('Grille de saisie'!C65=3,'Grille de saisie'!BZ65=0),3,IF(AND('Grille de saisie'!C65=2,'Grille de saisie'!BZ65=1),3,IF(AND('Grille de saisie'!C65=1,'Grille de saisie'!BZ65=2),3,IF(AND('Grille de saisie'!C65="",'Grille de saisie'!BZ65=""),5,IF(AND('Grille de saisie'!C65=5),5,4))))))))</f>
        <v>5</v>
      </c>
      <c r="CQ65" s="237">
        <f>IF('Grille de saisie'!BZ65="",3,IF('Grille de saisie'!C65=5,3,IF('Grille de saisie'!BZ65=0,1,2)))</f>
        <v>3</v>
      </c>
    </row>
    <row r="66" spans="1:95" ht="15">
      <c r="A66" s="511">
        <v>64</v>
      </c>
      <c r="B66" s="240"/>
      <c r="C66" s="513"/>
      <c r="D66" s="240"/>
      <c r="E66" s="517"/>
      <c r="F66" s="265"/>
      <c r="G66" s="513"/>
      <c r="H66" s="265"/>
      <c r="I66" s="520"/>
      <c r="J66" s="241"/>
      <c r="K66" s="520"/>
      <c r="L66" s="241"/>
      <c r="M66" s="521"/>
      <c r="N66" s="241"/>
      <c r="O66" s="521"/>
      <c r="P66" s="241"/>
      <c r="Q66" s="520"/>
      <c r="R66" s="241"/>
      <c r="S66" s="520"/>
      <c r="T66" s="241"/>
      <c r="U66" s="520"/>
      <c r="V66" s="241"/>
      <c r="W66" s="242"/>
      <c r="X66" s="241"/>
      <c r="Y66" s="242"/>
      <c r="Z66" s="241"/>
      <c r="AA66" s="241"/>
      <c r="AB66" s="275"/>
      <c r="AC66" s="524"/>
      <c r="AD66" s="241"/>
      <c r="AE66" s="241"/>
      <c r="AF66" s="241"/>
      <c r="AG66" s="241"/>
      <c r="AH66" s="241"/>
      <c r="AI66" s="241"/>
      <c r="AJ66" s="529"/>
      <c r="AK66" s="258"/>
      <c r="AL66" s="241"/>
      <c r="AM66" s="242"/>
      <c r="AN66" s="241"/>
      <c r="AO66" s="242"/>
      <c r="AP66" s="241"/>
      <c r="AQ66" s="242"/>
      <c r="AR66" s="241"/>
      <c r="AS66" s="242"/>
      <c r="AT66" s="241"/>
      <c r="AU66" s="241"/>
      <c r="AV66" s="256"/>
      <c r="AW66" s="241"/>
      <c r="AX66" s="256"/>
      <c r="AY66" s="241"/>
      <c r="AZ66" s="256"/>
      <c r="BA66" s="239"/>
      <c r="BB66" s="242"/>
      <c r="BC66" s="239"/>
      <c r="BD66" s="242"/>
      <c r="BE66" s="239"/>
      <c r="BF66" s="241"/>
      <c r="BG66" s="239"/>
      <c r="BH66" s="241"/>
      <c r="BI66" s="260"/>
      <c r="BJ66" s="241"/>
      <c r="BK66" s="260"/>
      <c r="BL66" s="239"/>
      <c r="BM66" s="256"/>
      <c r="BN66" s="241"/>
      <c r="BO66" s="243"/>
      <c r="BP66" s="241"/>
      <c r="BQ66" s="239"/>
      <c r="BR66" s="276"/>
      <c r="BS66" s="256"/>
      <c r="BT66" s="260"/>
      <c r="BU66" s="261"/>
      <c r="BV66" s="260"/>
      <c r="BW66" s="239"/>
      <c r="BX66" s="260"/>
      <c r="BY66" s="260"/>
      <c r="BZ66" s="239"/>
      <c r="CA66" s="260"/>
      <c r="CB66" s="239"/>
      <c r="CC66" s="260"/>
      <c r="CD66" s="539"/>
      <c r="CE66" s="239"/>
      <c r="CF66" s="276"/>
      <c r="CG66" s="256"/>
      <c r="CH66" s="259"/>
      <c r="CI66" s="347"/>
      <c r="CJ66" s="540"/>
      <c r="CK66" s="256"/>
      <c r="CL66" s="244">
        <v>1</v>
      </c>
      <c r="CM66" s="274">
        <f t="shared" si="0"/>
        <v>2015</v>
      </c>
      <c r="CN66" s="244">
        <f>IF('Grille de saisie'!CM66&lt;18,0,IF('Grille de saisie'!CM66&lt;40,1,IF('Grille de saisie'!CM66&lt;65,2,IF('Grille de saisie'!CM66&lt;100,3,4))))</f>
        <v>4</v>
      </c>
      <c r="CO66" s="236">
        <f>IF(AND('Grille de saisie'!C66=1,'Grille de saisie'!BZ66=0),1,IF(AND('Grille de saisie'!C66="",'Grille de saisie'!BZ66=""),3,IF(AND('Grille de saisie'!C66=5),3,2)))</f>
        <v>3</v>
      </c>
      <c r="CP66" s="236">
        <f>IF(AND('Grille de saisie'!C66=1,'Grille de saisie'!BZ66=0),1,IF(AND('Grille de saisie'!C66=1,'Grille de saisie'!BZ66=1),2,IF(AND('Grille de saisie'!C66=2,'Grille de saisie'!BZ66=0),2,IF(AND('Grille de saisie'!C66=3,'Grille de saisie'!BZ66=0),3,IF(AND('Grille de saisie'!C66=2,'Grille de saisie'!BZ66=1),3,IF(AND('Grille de saisie'!C66=1,'Grille de saisie'!BZ66=2),3,IF(AND('Grille de saisie'!C66="",'Grille de saisie'!BZ66=""),5,IF(AND('Grille de saisie'!C66=5),5,4))))))))</f>
        <v>5</v>
      </c>
      <c r="CQ66" s="237">
        <f>IF('Grille de saisie'!BZ66="",3,IF('Grille de saisie'!C66=5,3,IF('Grille de saisie'!BZ66=0,1,2)))</f>
        <v>3</v>
      </c>
    </row>
    <row r="67" spans="1:95" ht="15">
      <c r="A67" s="510">
        <v>65</v>
      </c>
      <c r="B67" s="240"/>
      <c r="C67" s="513"/>
      <c r="D67" s="240"/>
      <c r="E67" s="517"/>
      <c r="F67" s="265"/>
      <c r="G67" s="513"/>
      <c r="H67" s="265"/>
      <c r="I67" s="520"/>
      <c r="J67" s="241"/>
      <c r="K67" s="520"/>
      <c r="L67" s="241"/>
      <c r="M67" s="521"/>
      <c r="N67" s="241"/>
      <c r="O67" s="521"/>
      <c r="P67" s="241"/>
      <c r="Q67" s="520"/>
      <c r="R67" s="241"/>
      <c r="S67" s="520"/>
      <c r="T67" s="241"/>
      <c r="U67" s="520"/>
      <c r="V67" s="241"/>
      <c r="W67" s="242"/>
      <c r="X67" s="241"/>
      <c r="Y67" s="242"/>
      <c r="Z67" s="241"/>
      <c r="AA67" s="241"/>
      <c r="AB67" s="275"/>
      <c r="AC67" s="524"/>
      <c r="AD67" s="241"/>
      <c r="AE67" s="241"/>
      <c r="AF67" s="241"/>
      <c r="AG67" s="241"/>
      <c r="AH67" s="241"/>
      <c r="AI67" s="241"/>
      <c r="AJ67" s="529"/>
      <c r="AK67" s="258"/>
      <c r="AL67" s="241"/>
      <c r="AM67" s="242"/>
      <c r="AN67" s="241"/>
      <c r="AO67" s="242"/>
      <c r="AP67" s="241"/>
      <c r="AQ67" s="242"/>
      <c r="AR67" s="241"/>
      <c r="AS67" s="242"/>
      <c r="AT67" s="241"/>
      <c r="AU67" s="241"/>
      <c r="AV67" s="256"/>
      <c r="AW67" s="241"/>
      <c r="AX67" s="256"/>
      <c r="AY67" s="241"/>
      <c r="AZ67" s="256"/>
      <c r="BA67" s="239"/>
      <c r="BB67" s="242"/>
      <c r="BC67" s="239"/>
      <c r="BD67" s="242"/>
      <c r="BE67" s="239"/>
      <c r="BF67" s="241"/>
      <c r="BG67" s="239"/>
      <c r="BH67" s="241"/>
      <c r="BI67" s="260"/>
      <c r="BJ67" s="241"/>
      <c r="BK67" s="260"/>
      <c r="BL67" s="239"/>
      <c r="BM67" s="256"/>
      <c r="BN67" s="241"/>
      <c r="BO67" s="243"/>
      <c r="BP67" s="241"/>
      <c r="BQ67" s="239"/>
      <c r="BR67" s="276"/>
      <c r="BS67" s="256"/>
      <c r="BT67" s="260"/>
      <c r="BU67" s="261"/>
      <c r="BV67" s="260"/>
      <c r="BW67" s="239"/>
      <c r="BX67" s="260"/>
      <c r="BY67" s="260"/>
      <c r="BZ67" s="239"/>
      <c r="CA67" s="260"/>
      <c r="CB67" s="239"/>
      <c r="CC67" s="260"/>
      <c r="CD67" s="539"/>
      <c r="CE67" s="239"/>
      <c r="CF67" s="276"/>
      <c r="CG67" s="256"/>
      <c r="CH67" s="259"/>
      <c r="CI67" s="347"/>
      <c r="CJ67" s="540"/>
      <c r="CK67" s="256"/>
      <c r="CL67" s="244">
        <v>1</v>
      </c>
      <c r="CM67" s="274">
        <f t="shared" si="0"/>
        <v>2015</v>
      </c>
      <c r="CN67" s="244">
        <f>IF('Grille de saisie'!CM67&lt;18,0,IF('Grille de saisie'!CM67&lt;40,1,IF('Grille de saisie'!CM67&lt;65,2,IF('Grille de saisie'!CM67&lt;100,3,4))))</f>
        <v>4</v>
      </c>
      <c r="CO67" s="236">
        <f>IF(AND('Grille de saisie'!C67=1,'Grille de saisie'!BZ67=0),1,IF(AND('Grille de saisie'!C67="",'Grille de saisie'!BZ67=""),3,IF(AND('Grille de saisie'!C67=5),3,2)))</f>
        <v>3</v>
      </c>
      <c r="CP67" s="236">
        <f>IF(AND('Grille de saisie'!C67=1,'Grille de saisie'!BZ67=0),1,IF(AND('Grille de saisie'!C67=1,'Grille de saisie'!BZ67=1),2,IF(AND('Grille de saisie'!C67=2,'Grille de saisie'!BZ67=0),2,IF(AND('Grille de saisie'!C67=3,'Grille de saisie'!BZ67=0),3,IF(AND('Grille de saisie'!C67=2,'Grille de saisie'!BZ67=1),3,IF(AND('Grille de saisie'!C67=1,'Grille de saisie'!BZ67=2),3,IF(AND('Grille de saisie'!C67="",'Grille de saisie'!BZ67=""),5,IF(AND('Grille de saisie'!C67=5),5,4))))))))</f>
        <v>5</v>
      </c>
      <c r="CQ67" s="237">
        <f>IF('Grille de saisie'!BZ67="",3,IF('Grille de saisie'!C67=5,3,IF('Grille de saisie'!BZ67=0,1,2)))</f>
        <v>3</v>
      </c>
    </row>
    <row r="68" spans="1:95" ht="15">
      <c r="A68" s="510">
        <v>66</v>
      </c>
      <c r="B68" s="240"/>
      <c r="C68" s="513"/>
      <c r="D68" s="240"/>
      <c r="E68" s="517"/>
      <c r="F68" s="265"/>
      <c r="G68" s="513"/>
      <c r="H68" s="265"/>
      <c r="I68" s="520"/>
      <c r="J68" s="241"/>
      <c r="K68" s="520"/>
      <c r="L68" s="241"/>
      <c r="M68" s="521"/>
      <c r="N68" s="241"/>
      <c r="O68" s="521"/>
      <c r="P68" s="241"/>
      <c r="Q68" s="520"/>
      <c r="R68" s="241"/>
      <c r="S68" s="520"/>
      <c r="T68" s="241"/>
      <c r="U68" s="520"/>
      <c r="V68" s="241"/>
      <c r="W68" s="242"/>
      <c r="X68" s="241"/>
      <c r="Y68" s="242"/>
      <c r="Z68" s="241"/>
      <c r="AA68" s="241"/>
      <c r="AB68" s="275"/>
      <c r="AC68" s="524"/>
      <c r="AD68" s="241"/>
      <c r="AE68" s="241"/>
      <c r="AF68" s="241"/>
      <c r="AG68" s="241"/>
      <c r="AH68" s="241"/>
      <c r="AI68" s="241"/>
      <c r="AJ68" s="529"/>
      <c r="AK68" s="258"/>
      <c r="AL68" s="241"/>
      <c r="AM68" s="242"/>
      <c r="AN68" s="241"/>
      <c r="AO68" s="242"/>
      <c r="AP68" s="241"/>
      <c r="AQ68" s="242"/>
      <c r="AR68" s="241"/>
      <c r="AS68" s="242"/>
      <c r="AT68" s="241"/>
      <c r="AU68" s="241"/>
      <c r="AV68" s="256"/>
      <c r="AW68" s="241"/>
      <c r="AX68" s="256"/>
      <c r="AY68" s="241"/>
      <c r="AZ68" s="256"/>
      <c r="BA68" s="239"/>
      <c r="BB68" s="242"/>
      <c r="BC68" s="239"/>
      <c r="BD68" s="242"/>
      <c r="BE68" s="239"/>
      <c r="BF68" s="241"/>
      <c r="BG68" s="239"/>
      <c r="BH68" s="241"/>
      <c r="BI68" s="260"/>
      <c r="BJ68" s="241"/>
      <c r="BK68" s="260"/>
      <c r="BL68" s="239"/>
      <c r="BM68" s="256"/>
      <c r="BN68" s="241"/>
      <c r="BO68" s="243"/>
      <c r="BP68" s="241"/>
      <c r="BQ68" s="239"/>
      <c r="BR68" s="276"/>
      <c r="BS68" s="256"/>
      <c r="BT68" s="260"/>
      <c r="BU68" s="261"/>
      <c r="BV68" s="260"/>
      <c r="BW68" s="239"/>
      <c r="BX68" s="260"/>
      <c r="BY68" s="260"/>
      <c r="BZ68" s="239"/>
      <c r="CA68" s="260"/>
      <c r="CB68" s="239"/>
      <c r="CC68" s="260"/>
      <c r="CD68" s="539"/>
      <c r="CE68" s="239"/>
      <c r="CF68" s="276"/>
      <c r="CG68" s="256"/>
      <c r="CH68" s="259"/>
      <c r="CI68" s="347"/>
      <c r="CJ68" s="540"/>
      <c r="CK68" s="256"/>
      <c r="CL68" s="244">
        <v>1</v>
      </c>
      <c r="CM68" s="274">
        <f t="shared" ref="CM68:CM131" si="1">$A$1-CB68</f>
        <v>2015</v>
      </c>
      <c r="CN68" s="244">
        <f>IF('Grille de saisie'!CM68&lt;18,0,IF('Grille de saisie'!CM68&lt;40,1,IF('Grille de saisie'!CM68&lt;65,2,IF('Grille de saisie'!CM68&lt;100,3,4))))</f>
        <v>4</v>
      </c>
      <c r="CO68" s="236">
        <f>IF(AND('Grille de saisie'!C68=1,'Grille de saisie'!BZ68=0),1,IF(AND('Grille de saisie'!C68="",'Grille de saisie'!BZ68=""),3,IF(AND('Grille de saisie'!C68=5),3,2)))</f>
        <v>3</v>
      </c>
      <c r="CP68" s="236">
        <f>IF(AND('Grille de saisie'!C68=1,'Grille de saisie'!BZ68=0),1,IF(AND('Grille de saisie'!C68=1,'Grille de saisie'!BZ68=1),2,IF(AND('Grille de saisie'!C68=2,'Grille de saisie'!BZ68=0),2,IF(AND('Grille de saisie'!C68=3,'Grille de saisie'!BZ68=0),3,IF(AND('Grille de saisie'!C68=2,'Grille de saisie'!BZ68=1),3,IF(AND('Grille de saisie'!C68=1,'Grille de saisie'!BZ68=2),3,IF(AND('Grille de saisie'!C68="",'Grille de saisie'!BZ68=""),5,IF(AND('Grille de saisie'!C68=5),5,4))))))))</f>
        <v>5</v>
      </c>
      <c r="CQ68" s="237">
        <f>IF('Grille de saisie'!BZ68="",3,IF('Grille de saisie'!C68=5,3,IF('Grille de saisie'!BZ68=0,1,2)))</f>
        <v>3</v>
      </c>
    </row>
    <row r="69" spans="1:95" ht="15">
      <c r="A69" s="511">
        <v>67</v>
      </c>
      <c r="B69" s="240"/>
      <c r="C69" s="513"/>
      <c r="D69" s="240"/>
      <c r="E69" s="517"/>
      <c r="F69" s="265"/>
      <c r="G69" s="513"/>
      <c r="H69" s="265"/>
      <c r="I69" s="520"/>
      <c r="J69" s="241"/>
      <c r="K69" s="520"/>
      <c r="L69" s="241"/>
      <c r="M69" s="521"/>
      <c r="N69" s="241"/>
      <c r="O69" s="521"/>
      <c r="P69" s="241"/>
      <c r="Q69" s="520"/>
      <c r="R69" s="241"/>
      <c r="S69" s="520"/>
      <c r="T69" s="241"/>
      <c r="U69" s="520"/>
      <c r="V69" s="241"/>
      <c r="W69" s="242"/>
      <c r="X69" s="241"/>
      <c r="Y69" s="242"/>
      <c r="Z69" s="241"/>
      <c r="AA69" s="241"/>
      <c r="AB69" s="275"/>
      <c r="AC69" s="524"/>
      <c r="AD69" s="241"/>
      <c r="AE69" s="241"/>
      <c r="AF69" s="241"/>
      <c r="AG69" s="241"/>
      <c r="AH69" s="241"/>
      <c r="AI69" s="241"/>
      <c r="AJ69" s="529"/>
      <c r="AK69" s="258"/>
      <c r="AL69" s="241"/>
      <c r="AM69" s="242"/>
      <c r="AN69" s="241"/>
      <c r="AO69" s="242"/>
      <c r="AP69" s="241"/>
      <c r="AQ69" s="242"/>
      <c r="AR69" s="241"/>
      <c r="AS69" s="242"/>
      <c r="AT69" s="241"/>
      <c r="AU69" s="241"/>
      <c r="AV69" s="256"/>
      <c r="AW69" s="241"/>
      <c r="AX69" s="256"/>
      <c r="AY69" s="241"/>
      <c r="AZ69" s="256"/>
      <c r="BA69" s="239"/>
      <c r="BB69" s="242"/>
      <c r="BC69" s="239"/>
      <c r="BD69" s="242"/>
      <c r="BE69" s="239"/>
      <c r="BF69" s="241"/>
      <c r="BG69" s="239"/>
      <c r="BH69" s="241"/>
      <c r="BI69" s="260"/>
      <c r="BJ69" s="241"/>
      <c r="BK69" s="260"/>
      <c r="BL69" s="239"/>
      <c r="BM69" s="256"/>
      <c r="BN69" s="241"/>
      <c r="BO69" s="243"/>
      <c r="BP69" s="241"/>
      <c r="BQ69" s="239"/>
      <c r="BR69" s="276"/>
      <c r="BS69" s="256"/>
      <c r="BT69" s="260"/>
      <c r="BU69" s="261"/>
      <c r="BV69" s="260"/>
      <c r="BW69" s="239"/>
      <c r="BX69" s="260"/>
      <c r="BY69" s="260"/>
      <c r="BZ69" s="239"/>
      <c r="CA69" s="260"/>
      <c r="CB69" s="239"/>
      <c r="CC69" s="260"/>
      <c r="CD69" s="539"/>
      <c r="CE69" s="239"/>
      <c r="CF69" s="276"/>
      <c r="CG69" s="256"/>
      <c r="CH69" s="259"/>
      <c r="CI69" s="347"/>
      <c r="CJ69" s="540"/>
      <c r="CK69" s="256"/>
      <c r="CL69" s="244">
        <v>1</v>
      </c>
      <c r="CM69" s="274">
        <f t="shared" si="1"/>
        <v>2015</v>
      </c>
      <c r="CN69" s="244">
        <f>IF('Grille de saisie'!CM69&lt;18,0,IF('Grille de saisie'!CM69&lt;40,1,IF('Grille de saisie'!CM69&lt;65,2,IF('Grille de saisie'!CM69&lt;100,3,4))))</f>
        <v>4</v>
      </c>
      <c r="CO69" s="236">
        <f>IF(AND('Grille de saisie'!C69=1,'Grille de saisie'!BZ69=0),1,IF(AND('Grille de saisie'!C69="",'Grille de saisie'!BZ69=""),3,IF(AND('Grille de saisie'!C69=5),3,2)))</f>
        <v>3</v>
      </c>
      <c r="CP69" s="236">
        <f>IF(AND('Grille de saisie'!C69=1,'Grille de saisie'!BZ69=0),1,IF(AND('Grille de saisie'!C69=1,'Grille de saisie'!BZ69=1),2,IF(AND('Grille de saisie'!C69=2,'Grille de saisie'!BZ69=0),2,IF(AND('Grille de saisie'!C69=3,'Grille de saisie'!BZ69=0),3,IF(AND('Grille de saisie'!C69=2,'Grille de saisie'!BZ69=1),3,IF(AND('Grille de saisie'!C69=1,'Grille de saisie'!BZ69=2),3,IF(AND('Grille de saisie'!C69="",'Grille de saisie'!BZ69=""),5,IF(AND('Grille de saisie'!C69=5),5,4))))))))</f>
        <v>5</v>
      </c>
      <c r="CQ69" s="237">
        <f>IF('Grille de saisie'!BZ69="",3,IF('Grille de saisie'!C69=5,3,IF('Grille de saisie'!BZ69=0,1,2)))</f>
        <v>3</v>
      </c>
    </row>
    <row r="70" spans="1:95" ht="15">
      <c r="A70" s="510">
        <v>68</v>
      </c>
      <c r="B70" s="240"/>
      <c r="C70" s="513"/>
      <c r="D70" s="240"/>
      <c r="E70" s="517"/>
      <c r="F70" s="265"/>
      <c r="G70" s="513"/>
      <c r="H70" s="265"/>
      <c r="I70" s="520"/>
      <c r="J70" s="241"/>
      <c r="K70" s="520"/>
      <c r="L70" s="241"/>
      <c r="M70" s="521"/>
      <c r="N70" s="241"/>
      <c r="O70" s="521"/>
      <c r="P70" s="241"/>
      <c r="Q70" s="520"/>
      <c r="R70" s="241"/>
      <c r="S70" s="520"/>
      <c r="T70" s="241"/>
      <c r="U70" s="520"/>
      <c r="V70" s="241"/>
      <c r="W70" s="242"/>
      <c r="X70" s="241"/>
      <c r="Y70" s="242"/>
      <c r="Z70" s="241"/>
      <c r="AA70" s="241"/>
      <c r="AB70" s="275"/>
      <c r="AC70" s="524"/>
      <c r="AD70" s="241"/>
      <c r="AE70" s="241"/>
      <c r="AF70" s="241"/>
      <c r="AG70" s="241"/>
      <c r="AH70" s="241"/>
      <c r="AI70" s="241"/>
      <c r="AJ70" s="529"/>
      <c r="AK70" s="258"/>
      <c r="AL70" s="241"/>
      <c r="AM70" s="242"/>
      <c r="AN70" s="241"/>
      <c r="AO70" s="242"/>
      <c r="AP70" s="241"/>
      <c r="AQ70" s="242"/>
      <c r="AR70" s="241"/>
      <c r="AS70" s="242"/>
      <c r="AT70" s="241"/>
      <c r="AU70" s="241"/>
      <c r="AV70" s="256"/>
      <c r="AW70" s="241"/>
      <c r="AX70" s="256"/>
      <c r="AY70" s="241"/>
      <c r="AZ70" s="256"/>
      <c r="BA70" s="239"/>
      <c r="BB70" s="242"/>
      <c r="BC70" s="239"/>
      <c r="BD70" s="242"/>
      <c r="BE70" s="239"/>
      <c r="BF70" s="241"/>
      <c r="BG70" s="239"/>
      <c r="BH70" s="241"/>
      <c r="BI70" s="260"/>
      <c r="BJ70" s="241"/>
      <c r="BK70" s="260"/>
      <c r="BL70" s="239"/>
      <c r="BM70" s="256"/>
      <c r="BN70" s="241"/>
      <c r="BO70" s="243"/>
      <c r="BP70" s="241"/>
      <c r="BQ70" s="239"/>
      <c r="BR70" s="276"/>
      <c r="BS70" s="256"/>
      <c r="BT70" s="260"/>
      <c r="BU70" s="261"/>
      <c r="BV70" s="260"/>
      <c r="BW70" s="239"/>
      <c r="BX70" s="260"/>
      <c r="BY70" s="260"/>
      <c r="BZ70" s="239"/>
      <c r="CA70" s="260"/>
      <c r="CB70" s="239"/>
      <c r="CC70" s="260"/>
      <c r="CD70" s="539"/>
      <c r="CE70" s="239"/>
      <c r="CF70" s="276"/>
      <c r="CG70" s="256"/>
      <c r="CH70" s="259"/>
      <c r="CI70" s="347"/>
      <c r="CJ70" s="540"/>
      <c r="CK70" s="256"/>
      <c r="CL70" s="244">
        <v>1</v>
      </c>
      <c r="CM70" s="274">
        <f t="shared" si="1"/>
        <v>2015</v>
      </c>
      <c r="CN70" s="244">
        <f>IF('Grille de saisie'!CM70&lt;18,0,IF('Grille de saisie'!CM70&lt;40,1,IF('Grille de saisie'!CM70&lt;65,2,IF('Grille de saisie'!CM70&lt;100,3,4))))</f>
        <v>4</v>
      </c>
      <c r="CO70" s="236">
        <f>IF(AND('Grille de saisie'!C70=1,'Grille de saisie'!BZ70=0),1,IF(AND('Grille de saisie'!C70="",'Grille de saisie'!BZ70=""),3,IF(AND('Grille de saisie'!C70=5),3,2)))</f>
        <v>3</v>
      </c>
      <c r="CP70" s="236">
        <f>IF(AND('Grille de saisie'!C70=1,'Grille de saisie'!BZ70=0),1,IF(AND('Grille de saisie'!C70=1,'Grille de saisie'!BZ70=1),2,IF(AND('Grille de saisie'!C70=2,'Grille de saisie'!BZ70=0),2,IF(AND('Grille de saisie'!C70=3,'Grille de saisie'!BZ70=0),3,IF(AND('Grille de saisie'!C70=2,'Grille de saisie'!BZ70=1),3,IF(AND('Grille de saisie'!C70=1,'Grille de saisie'!BZ70=2),3,IF(AND('Grille de saisie'!C70="",'Grille de saisie'!BZ70=""),5,IF(AND('Grille de saisie'!C70=5),5,4))))))))</f>
        <v>5</v>
      </c>
      <c r="CQ70" s="237">
        <f>IF('Grille de saisie'!BZ70="",3,IF('Grille de saisie'!C70=5,3,IF('Grille de saisie'!BZ70=0,1,2)))</f>
        <v>3</v>
      </c>
    </row>
    <row r="71" spans="1:95" ht="15">
      <c r="A71" s="510">
        <v>69</v>
      </c>
      <c r="B71" s="240"/>
      <c r="C71" s="513"/>
      <c r="D71" s="240"/>
      <c r="E71" s="517"/>
      <c r="F71" s="265"/>
      <c r="G71" s="513"/>
      <c r="H71" s="265"/>
      <c r="I71" s="520"/>
      <c r="J71" s="241"/>
      <c r="K71" s="520"/>
      <c r="L71" s="241"/>
      <c r="M71" s="521"/>
      <c r="N71" s="241"/>
      <c r="O71" s="521"/>
      <c r="P71" s="241"/>
      <c r="Q71" s="520"/>
      <c r="R71" s="241"/>
      <c r="S71" s="520"/>
      <c r="T71" s="241"/>
      <c r="U71" s="520"/>
      <c r="V71" s="241"/>
      <c r="W71" s="242"/>
      <c r="X71" s="241"/>
      <c r="Y71" s="242"/>
      <c r="Z71" s="241"/>
      <c r="AA71" s="241"/>
      <c r="AB71" s="275"/>
      <c r="AC71" s="524"/>
      <c r="AD71" s="241"/>
      <c r="AE71" s="241"/>
      <c r="AF71" s="241"/>
      <c r="AG71" s="241"/>
      <c r="AH71" s="241"/>
      <c r="AI71" s="241"/>
      <c r="AJ71" s="529"/>
      <c r="AK71" s="258"/>
      <c r="AL71" s="241"/>
      <c r="AM71" s="242"/>
      <c r="AN71" s="241"/>
      <c r="AO71" s="242"/>
      <c r="AP71" s="241"/>
      <c r="AQ71" s="242"/>
      <c r="AR71" s="241"/>
      <c r="AS71" s="242"/>
      <c r="AT71" s="241"/>
      <c r="AU71" s="241"/>
      <c r="AV71" s="256"/>
      <c r="AW71" s="241"/>
      <c r="AX71" s="256"/>
      <c r="AY71" s="241"/>
      <c r="AZ71" s="256"/>
      <c r="BA71" s="239"/>
      <c r="BB71" s="242"/>
      <c r="BC71" s="239"/>
      <c r="BD71" s="242"/>
      <c r="BE71" s="239"/>
      <c r="BF71" s="241"/>
      <c r="BG71" s="239"/>
      <c r="BH71" s="241"/>
      <c r="BI71" s="260"/>
      <c r="BJ71" s="241"/>
      <c r="BK71" s="260"/>
      <c r="BL71" s="239"/>
      <c r="BM71" s="256"/>
      <c r="BN71" s="241"/>
      <c r="BO71" s="243"/>
      <c r="BP71" s="241"/>
      <c r="BQ71" s="239"/>
      <c r="BR71" s="276"/>
      <c r="BS71" s="256"/>
      <c r="BT71" s="260"/>
      <c r="BU71" s="261"/>
      <c r="BV71" s="260"/>
      <c r="BW71" s="239"/>
      <c r="BX71" s="260"/>
      <c r="BY71" s="260"/>
      <c r="BZ71" s="239"/>
      <c r="CA71" s="260"/>
      <c r="CB71" s="239"/>
      <c r="CC71" s="260"/>
      <c r="CD71" s="539"/>
      <c r="CE71" s="239"/>
      <c r="CF71" s="276"/>
      <c r="CG71" s="256"/>
      <c r="CH71" s="259"/>
      <c r="CI71" s="347"/>
      <c r="CJ71" s="540"/>
      <c r="CK71" s="256"/>
      <c r="CL71" s="244">
        <v>1</v>
      </c>
      <c r="CM71" s="274">
        <f t="shared" si="1"/>
        <v>2015</v>
      </c>
      <c r="CN71" s="244">
        <f>IF('Grille de saisie'!CM71&lt;18,0,IF('Grille de saisie'!CM71&lt;40,1,IF('Grille de saisie'!CM71&lt;65,2,IF('Grille de saisie'!CM71&lt;100,3,4))))</f>
        <v>4</v>
      </c>
      <c r="CO71" s="236">
        <f>IF(AND('Grille de saisie'!C71=1,'Grille de saisie'!BZ71=0),1,IF(AND('Grille de saisie'!C71="",'Grille de saisie'!BZ71=""),3,IF(AND('Grille de saisie'!C71=5),3,2)))</f>
        <v>3</v>
      </c>
      <c r="CP71" s="236">
        <f>IF(AND('Grille de saisie'!C71=1,'Grille de saisie'!BZ71=0),1,IF(AND('Grille de saisie'!C71=1,'Grille de saisie'!BZ71=1),2,IF(AND('Grille de saisie'!C71=2,'Grille de saisie'!BZ71=0),2,IF(AND('Grille de saisie'!C71=3,'Grille de saisie'!BZ71=0),3,IF(AND('Grille de saisie'!C71=2,'Grille de saisie'!BZ71=1),3,IF(AND('Grille de saisie'!C71=1,'Grille de saisie'!BZ71=2),3,IF(AND('Grille de saisie'!C71="",'Grille de saisie'!BZ71=""),5,IF(AND('Grille de saisie'!C71=5),5,4))))))))</f>
        <v>5</v>
      </c>
      <c r="CQ71" s="237">
        <f>IF('Grille de saisie'!BZ71="",3,IF('Grille de saisie'!C71=5,3,IF('Grille de saisie'!BZ71=0,1,2)))</f>
        <v>3</v>
      </c>
    </row>
    <row r="72" spans="1:95" ht="15">
      <c r="A72" s="511">
        <v>70</v>
      </c>
      <c r="B72" s="240"/>
      <c r="C72" s="513"/>
      <c r="D72" s="240"/>
      <c r="E72" s="517"/>
      <c r="F72" s="265"/>
      <c r="G72" s="513"/>
      <c r="H72" s="265"/>
      <c r="I72" s="520"/>
      <c r="J72" s="241"/>
      <c r="K72" s="520"/>
      <c r="L72" s="241"/>
      <c r="M72" s="521"/>
      <c r="N72" s="241"/>
      <c r="O72" s="521"/>
      <c r="P72" s="241"/>
      <c r="Q72" s="520"/>
      <c r="R72" s="241"/>
      <c r="S72" s="520"/>
      <c r="T72" s="241"/>
      <c r="U72" s="520"/>
      <c r="V72" s="241"/>
      <c r="W72" s="242"/>
      <c r="X72" s="241"/>
      <c r="Y72" s="242"/>
      <c r="Z72" s="241"/>
      <c r="AA72" s="241"/>
      <c r="AB72" s="275"/>
      <c r="AC72" s="524"/>
      <c r="AD72" s="241"/>
      <c r="AE72" s="241"/>
      <c r="AF72" s="241"/>
      <c r="AG72" s="241"/>
      <c r="AH72" s="241"/>
      <c r="AI72" s="241"/>
      <c r="AJ72" s="529"/>
      <c r="AK72" s="258"/>
      <c r="AL72" s="241"/>
      <c r="AM72" s="242"/>
      <c r="AN72" s="241"/>
      <c r="AO72" s="242"/>
      <c r="AP72" s="241"/>
      <c r="AQ72" s="242"/>
      <c r="AR72" s="241"/>
      <c r="AS72" s="242"/>
      <c r="AT72" s="241"/>
      <c r="AU72" s="241"/>
      <c r="AV72" s="256"/>
      <c r="AW72" s="241"/>
      <c r="AX72" s="256"/>
      <c r="AY72" s="241"/>
      <c r="AZ72" s="256"/>
      <c r="BA72" s="239"/>
      <c r="BB72" s="242"/>
      <c r="BC72" s="239"/>
      <c r="BD72" s="242"/>
      <c r="BE72" s="239"/>
      <c r="BF72" s="241"/>
      <c r="BG72" s="239"/>
      <c r="BH72" s="241"/>
      <c r="BI72" s="260"/>
      <c r="BJ72" s="241"/>
      <c r="BK72" s="260"/>
      <c r="BL72" s="239"/>
      <c r="BM72" s="256"/>
      <c r="BN72" s="241"/>
      <c r="BO72" s="243"/>
      <c r="BP72" s="241"/>
      <c r="BQ72" s="239"/>
      <c r="BR72" s="276"/>
      <c r="BS72" s="256"/>
      <c r="BT72" s="260"/>
      <c r="BU72" s="261"/>
      <c r="BV72" s="260"/>
      <c r="BW72" s="239"/>
      <c r="BX72" s="260"/>
      <c r="BY72" s="260"/>
      <c r="BZ72" s="239"/>
      <c r="CA72" s="260"/>
      <c r="CB72" s="239"/>
      <c r="CC72" s="260"/>
      <c r="CD72" s="539"/>
      <c r="CE72" s="239"/>
      <c r="CF72" s="276"/>
      <c r="CG72" s="256"/>
      <c r="CH72" s="259"/>
      <c r="CI72" s="347"/>
      <c r="CJ72" s="540"/>
      <c r="CK72" s="256"/>
      <c r="CL72" s="244">
        <v>1</v>
      </c>
      <c r="CM72" s="274">
        <f t="shared" si="1"/>
        <v>2015</v>
      </c>
      <c r="CN72" s="244">
        <f>IF('Grille de saisie'!CM72&lt;18,0,IF('Grille de saisie'!CM72&lt;40,1,IF('Grille de saisie'!CM72&lt;65,2,IF('Grille de saisie'!CM72&lt;100,3,4))))</f>
        <v>4</v>
      </c>
      <c r="CO72" s="236">
        <f>IF(AND('Grille de saisie'!C72=1,'Grille de saisie'!BZ72=0),1,IF(AND('Grille de saisie'!C72="",'Grille de saisie'!BZ72=""),3,IF(AND('Grille de saisie'!C72=5),3,2)))</f>
        <v>3</v>
      </c>
      <c r="CP72" s="236">
        <f>IF(AND('Grille de saisie'!C72=1,'Grille de saisie'!BZ72=0),1,IF(AND('Grille de saisie'!C72=1,'Grille de saisie'!BZ72=1),2,IF(AND('Grille de saisie'!C72=2,'Grille de saisie'!BZ72=0),2,IF(AND('Grille de saisie'!C72=3,'Grille de saisie'!BZ72=0),3,IF(AND('Grille de saisie'!C72=2,'Grille de saisie'!BZ72=1),3,IF(AND('Grille de saisie'!C72=1,'Grille de saisie'!BZ72=2),3,IF(AND('Grille de saisie'!C72="",'Grille de saisie'!BZ72=""),5,IF(AND('Grille de saisie'!C72=5),5,4))))))))</f>
        <v>5</v>
      </c>
      <c r="CQ72" s="237">
        <f>IF('Grille de saisie'!BZ72="",3,IF('Grille de saisie'!C72=5,3,IF('Grille de saisie'!BZ72=0,1,2)))</f>
        <v>3</v>
      </c>
    </row>
    <row r="73" spans="1:95" ht="15">
      <c r="A73" s="510">
        <v>71</v>
      </c>
      <c r="B73" s="240"/>
      <c r="C73" s="513"/>
      <c r="D73" s="240"/>
      <c r="E73" s="517"/>
      <c r="F73" s="265"/>
      <c r="G73" s="513"/>
      <c r="H73" s="265"/>
      <c r="I73" s="520"/>
      <c r="J73" s="241"/>
      <c r="K73" s="520"/>
      <c r="L73" s="241"/>
      <c r="M73" s="521"/>
      <c r="N73" s="241"/>
      <c r="O73" s="521"/>
      <c r="P73" s="241"/>
      <c r="Q73" s="520"/>
      <c r="R73" s="241"/>
      <c r="S73" s="520"/>
      <c r="T73" s="241"/>
      <c r="U73" s="520"/>
      <c r="V73" s="241"/>
      <c r="W73" s="242"/>
      <c r="X73" s="241"/>
      <c r="Y73" s="242"/>
      <c r="Z73" s="241"/>
      <c r="AA73" s="241"/>
      <c r="AB73" s="275"/>
      <c r="AC73" s="524"/>
      <c r="AD73" s="241"/>
      <c r="AE73" s="241"/>
      <c r="AF73" s="241"/>
      <c r="AG73" s="241"/>
      <c r="AH73" s="241"/>
      <c r="AI73" s="241"/>
      <c r="AJ73" s="529"/>
      <c r="AK73" s="258"/>
      <c r="AL73" s="241"/>
      <c r="AM73" s="242"/>
      <c r="AN73" s="241"/>
      <c r="AO73" s="242"/>
      <c r="AP73" s="241"/>
      <c r="AQ73" s="242"/>
      <c r="AR73" s="241"/>
      <c r="AS73" s="242"/>
      <c r="AT73" s="241"/>
      <c r="AU73" s="241"/>
      <c r="AV73" s="256"/>
      <c r="AW73" s="241"/>
      <c r="AX73" s="256"/>
      <c r="AY73" s="241"/>
      <c r="AZ73" s="256"/>
      <c r="BA73" s="239"/>
      <c r="BB73" s="242"/>
      <c r="BC73" s="239"/>
      <c r="BD73" s="242"/>
      <c r="BE73" s="239"/>
      <c r="BF73" s="241"/>
      <c r="BG73" s="239"/>
      <c r="BH73" s="241"/>
      <c r="BI73" s="260"/>
      <c r="BJ73" s="241"/>
      <c r="BK73" s="260"/>
      <c r="BL73" s="239"/>
      <c r="BM73" s="256"/>
      <c r="BN73" s="241"/>
      <c r="BO73" s="243"/>
      <c r="BP73" s="241"/>
      <c r="BQ73" s="239"/>
      <c r="BR73" s="276"/>
      <c r="BS73" s="256"/>
      <c r="BT73" s="260"/>
      <c r="BU73" s="261"/>
      <c r="BV73" s="260"/>
      <c r="BW73" s="239"/>
      <c r="BX73" s="260"/>
      <c r="BY73" s="260"/>
      <c r="BZ73" s="239"/>
      <c r="CA73" s="260"/>
      <c r="CB73" s="239"/>
      <c r="CC73" s="260"/>
      <c r="CD73" s="539"/>
      <c r="CE73" s="239"/>
      <c r="CF73" s="276"/>
      <c r="CG73" s="256"/>
      <c r="CH73" s="259"/>
      <c r="CI73" s="347"/>
      <c r="CJ73" s="540"/>
      <c r="CK73" s="256"/>
      <c r="CL73" s="244">
        <v>1</v>
      </c>
      <c r="CM73" s="274">
        <f t="shared" si="1"/>
        <v>2015</v>
      </c>
      <c r="CN73" s="244">
        <f>IF('Grille de saisie'!CM73&lt;18,0,IF('Grille de saisie'!CM73&lt;40,1,IF('Grille de saisie'!CM73&lt;65,2,IF('Grille de saisie'!CM73&lt;100,3,4))))</f>
        <v>4</v>
      </c>
      <c r="CO73" s="236">
        <f>IF(AND('Grille de saisie'!C73=1,'Grille de saisie'!BZ73=0),1,IF(AND('Grille de saisie'!C73="",'Grille de saisie'!BZ73=""),3,IF(AND('Grille de saisie'!C73=5),3,2)))</f>
        <v>3</v>
      </c>
      <c r="CP73" s="236">
        <f>IF(AND('Grille de saisie'!C73=1,'Grille de saisie'!BZ73=0),1,IF(AND('Grille de saisie'!C73=1,'Grille de saisie'!BZ73=1),2,IF(AND('Grille de saisie'!C73=2,'Grille de saisie'!BZ73=0),2,IF(AND('Grille de saisie'!C73=3,'Grille de saisie'!BZ73=0),3,IF(AND('Grille de saisie'!C73=2,'Grille de saisie'!BZ73=1),3,IF(AND('Grille de saisie'!C73=1,'Grille de saisie'!BZ73=2),3,IF(AND('Grille de saisie'!C73="",'Grille de saisie'!BZ73=""),5,IF(AND('Grille de saisie'!C73=5),5,4))))))))</f>
        <v>5</v>
      </c>
      <c r="CQ73" s="237">
        <f>IF('Grille de saisie'!BZ73="",3,IF('Grille de saisie'!C73=5,3,IF('Grille de saisie'!BZ73=0,1,2)))</f>
        <v>3</v>
      </c>
    </row>
    <row r="74" spans="1:95" ht="15">
      <c r="A74" s="510">
        <v>72</v>
      </c>
      <c r="B74" s="240"/>
      <c r="C74" s="513"/>
      <c r="D74" s="240"/>
      <c r="E74" s="517"/>
      <c r="F74" s="265"/>
      <c r="G74" s="513"/>
      <c r="H74" s="265"/>
      <c r="I74" s="520"/>
      <c r="J74" s="241"/>
      <c r="K74" s="520"/>
      <c r="L74" s="241"/>
      <c r="M74" s="521"/>
      <c r="N74" s="241"/>
      <c r="O74" s="521"/>
      <c r="P74" s="241"/>
      <c r="Q74" s="520"/>
      <c r="R74" s="241"/>
      <c r="S74" s="520"/>
      <c r="T74" s="241"/>
      <c r="U74" s="520"/>
      <c r="V74" s="241"/>
      <c r="W74" s="242"/>
      <c r="X74" s="241"/>
      <c r="Y74" s="242"/>
      <c r="Z74" s="241"/>
      <c r="AA74" s="241"/>
      <c r="AB74" s="275"/>
      <c r="AC74" s="524"/>
      <c r="AD74" s="241"/>
      <c r="AE74" s="241"/>
      <c r="AF74" s="241"/>
      <c r="AG74" s="241"/>
      <c r="AH74" s="241"/>
      <c r="AI74" s="241"/>
      <c r="AJ74" s="529"/>
      <c r="AK74" s="258"/>
      <c r="AL74" s="241"/>
      <c r="AM74" s="242"/>
      <c r="AN74" s="241"/>
      <c r="AO74" s="242"/>
      <c r="AP74" s="241"/>
      <c r="AQ74" s="242"/>
      <c r="AR74" s="241"/>
      <c r="AS74" s="242"/>
      <c r="AT74" s="241"/>
      <c r="AU74" s="241"/>
      <c r="AV74" s="256"/>
      <c r="AW74" s="241"/>
      <c r="AX74" s="256"/>
      <c r="AY74" s="241"/>
      <c r="AZ74" s="256"/>
      <c r="BA74" s="239"/>
      <c r="BB74" s="242"/>
      <c r="BC74" s="239"/>
      <c r="BD74" s="242"/>
      <c r="BE74" s="239"/>
      <c r="BF74" s="241"/>
      <c r="BG74" s="239"/>
      <c r="BH74" s="241"/>
      <c r="BI74" s="260"/>
      <c r="BJ74" s="241"/>
      <c r="BK74" s="260"/>
      <c r="BL74" s="239"/>
      <c r="BM74" s="256"/>
      <c r="BN74" s="241"/>
      <c r="BO74" s="243"/>
      <c r="BP74" s="241"/>
      <c r="BQ74" s="239"/>
      <c r="BR74" s="276"/>
      <c r="BS74" s="256"/>
      <c r="BT74" s="260"/>
      <c r="BU74" s="261"/>
      <c r="BV74" s="260"/>
      <c r="BW74" s="239"/>
      <c r="BX74" s="260"/>
      <c r="BY74" s="260"/>
      <c r="BZ74" s="239"/>
      <c r="CA74" s="260"/>
      <c r="CB74" s="239"/>
      <c r="CC74" s="260"/>
      <c r="CD74" s="539"/>
      <c r="CE74" s="239"/>
      <c r="CF74" s="276"/>
      <c r="CG74" s="256"/>
      <c r="CH74" s="259"/>
      <c r="CI74" s="347"/>
      <c r="CJ74" s="540"/>
      <c r="CK74" s="256"/>
      <c r="CL74" s="244">
        <v>1</v>
      </c>
      <c r="CM74" s="274">
        <f t="shared" si="1"/>
        <v>2015</v>
      </c>
      <c r="CN74" s="244">
        <f>IF('Grille de saisie'!CM74&lt;18,0,IF('Grille de saisie'!CM74&lt;40,1,IF('Grille de saisie'!CM74&lt;65,2,IF('Grille de saisie'!CM74&lt;100,3,4))))</f>
        <v>4</v>
      </c>
      <c r="CO74" s="236">
        <f>IF(AND('Grille de saisie'!C74=1,'Grille de saisie'!BZ74=0),1,IF(AND('Grille de saisie'!C74="",'Grille de saisie'!BZ74=""),3,IF(AND('Grille de saisie'!C74=5),3,2)))</f>
        <v>3</v>
      </c>
      <c r="CP74" s="236">
        <f>IF(AND('Grille de saisie'!C74=1,'Grille de saisie'!BZ74=0),1,IF(AND('Grille de saisie'!C74=1,'Grille de saisie'!BZ74=1),2,IF(AND('Grille de saisie'!C74=2,'Grille de saisie'!BZ74=0),2,IF(AND('Grille de saisie'!C74=3,'Grille de saisie'!BZ74=0),3,IF(AND('Grille de saisie'!C74=2,'Grille de saisie'!BZ74=1),3,IF(AND('Grille de saisie'!C74=1,'Grille de saisie'!BZ74=2),3,IF(AND('Grille de saisie'!C74="",'Grille de saisie'!BZ74=""),5,IF(AND('Grille de saisie'!C74=5),5,4))))))))</f>
        <v>5</v>
      </c>
      <c r="CQ74" s="237">
        <f>IF('Grille de saisie'!BZ74="",3,IF('Grille de saisie'!C74=5,3,IF('Grille de saisie'!BZ74=0,1,2)))</f>
        <v>3</v>
      </c>
    </row>
    <row r="75" spans="1:95" ht="15">
      <c r="A75" s="511">
        <v>73</v>
      </c>
      <c r="B75" s="240"/>
      <c r="C75" s="513"/>
      <c r="D75" s="240"/>
      <c r="E75" s="517"/>
      <c r="F75" s="265"/>
      <c r="G75" s="513"/>
      <c r="H75" s="265"/>
      <c r="I75" s="520"/>
      <c r="J75" s="241"/>
      <c r="K75" s="520"/>
      <c r="L75" s="241"/>
      <c r="M75" s="521"/>
      <c r="N75" s="241"/>
      <c r="O75" s="521"/>
      <c r="P75" s="241"/>
      <c r="Q75" s="520"/>
      <c r="R75" s="241"/>
      <c r="S75" s="520"/>
      <c r="T75" s="241"/>
      <c r="U75" s="520"/>
      <c r="V75" s="241"/>
      <c r="W75" s="242"/>
      <c r="X75" s="241"/>
      <c r="Y75" s="242"/>
      <c r="Z75" s="241"/>
      <c r="AA75" s="241"/>
      <c r="AB75" s="275"/>
      <c r="AC75" s="524"/>
      <c r="AD75" s="241"/>
      <c r="AE75" s="241"/>
      <c r="AF75" s="241"/>
      <c r="AG75" s="241"/>
      <c r="AH75" s="241"/>
      <c r="AI75" s="241"/>
      <c r="AJ75" s="529"/>
      <c r="AK75" s="258"/>
      <c r="AL75" s="241"/>
      <c r="AM75" s="242"/>
      <c r="AN75" s="241"/>
      <c r="AO75" s="242"/>
      <c r="AP75" s="241"/>
      <c r="AQ75" s="242"/>
      <c r="AR75" s="241"/>
      <c r="AS75" s="242"/>
      <c r="AT75" s="241"/>
      <c r="AU75" s="241"/>
      <c r="AV75" s="256"/>
      <c r="AW75" s="241"/>
      <c r="AX75" s="256"/>
      <c r="AY75" s="241"/>
      <c r="AZ75" s="256"/>
      <c r="BA75" s="239"/>
      <c r="BB75" s="242"/>
      <c r="BC75" s="239"/>
      <c r="BD75" s="242"/>
      <c r="BE75" s="239"/>
      <c r="BF75" s="241"/>
      <c r="BG75" s="239"/>
      <c r="BH75" s="241"/>
      <c r="BI75" s="260"/>
      <c r="BJ75" s="241"/>
      <c r="BK75" s="260"/>
      <c r="BL75" s="239"/>
      <c r="BM75" s="256"/>
      <c r="BN75" s="241"/>
      <c r="BO75" s="243"/>
      <c r="BP75" s="241"/>
      <c r="BQ75" s="239"/>
      <c r="BR75" s="276"/>
      <c r="BS75" s="256"/>
      <c r="BT75" s="260"/>
      <c r="BU75" s="261"/>
      <c r="BV75" s="260"/>
      <c r="BW75" s="239"/>
      <c r="BX75" s="260"/>
      <c r="BY75" s="260"/>
      <c r="BZ75" s="239"/>
      <c r="CA75" s="260"/>
      <c r="CB75" s="239"/>
      <c r="CC75" s="260"/>
      <c r="CD75" s="539"/>
      <c r="CE75" s="239"/>
      <c r="CF75" s="276"/>
      <c r="CG75" s="256"/>
      <c r="CH75" s="259"/>
      <c r="CI75" s="347"/>
      <c r="CJ75" s="540"/>
      <c r="CK75" s="256"/>
      <c r="CL75" s="244">
        <v>1</v>
      </c>
      <c r="CM75" s="274">
        <f t="shared" si="1"/>
        <v>2015</v>
      </c>
      <c r="CN75" s="244">
        <f>IF('Grille de saisie'!CM75&lt;18,0,IF('Grille de saisie'!CM75&lt;40,1,IF('Grille de saisie'!CM75&lt;65,2,IF('Grille de saisie'!CM75&lt;100,3,4))))</f>
        <v>4</v>
      </c>
      <c r="CO75" s="236">
        <f>IF(AND('Grille de saisie'!C75=1,'Grille de saisie'!BZ75=0),1,IF(AND('Grille de saisie'!C75="",'Grille de saisie'!BZ75=""),3,IF(AND('Grille de saisie'!C75=5),3,2)))</f>
        <v>3</v>
      </c>
      <c r="CP75" s="236">
        <f>IF(AND('Grille de saisie'!C75=1,'Grille de saisie'!BZ75=0),1,IF(AND('Grille de saisie'!C75=1,'Grille de saisie'!BZ75=1),2,IF(AND('Grille de saisie'!C75=2,'Grille de saisie'!BZ75=0),2,IF(AND('Grille de saisie'!C75=3,'Grille de saisie'!BZ75=0),3,IF(AND('Grille de saisie'!C75=2,'Grille de saisie'!BZ75=1),3,IF(AND('Grille de saisie'!C75=1,'Grille de saisie'!BZ75=2),3,IF(AND('Grille de saisie'!C75="",'Grille de saisie'!BZ75=""),5,IF(AND('Grille de saisie'!C75=5),5,4))))))))</f>
        <v>5</v>
      </c>
      <c r="CQ75" s="237">
        <f>IF('Grille de saisie'!BZ75="",3,IF('Grille de saisie'!C75=5,3,IF('Grille de saisie'!BZ75=0,1,2)))</f>
        <v>3</v>
      </c>
    </row>
    <row r="76" spans="1:95" ht="15">
      <c r="A76" s="510">
        <v>74</v>
      </c>
      <c r="B76" s="240"/>
      <c r="C76" s="513"/>
      <c r="D76" s="240"/>
      <c r="E76" s="517"/>
      <c r="F76" s="265"/>
      <c r="G76" s="513"/>
      <c r="H76" s="265"/>
      <c r="I76" s="520"/>
      <c r="J76" s="241"/>
      <c r="K76" s="520"/>
      <c r="L76" s="241"/>
      <c r="M76" s="521"/>
      <c r="N76" s="241"/>
      <c r="O76" s="521"/>
      <c r="P76" s="241"/>
      <c r="Q76" s="520"/>
      <c r="R76" s="241"/>
      <c r="S76" s="520"/>
      <c r="T76" s="241"/>
      <c r="U76" s="520"/>
      <c r="V76" s="241"/>
      <c r="W76" s="242"/>
      <c r="X76" s="241"/>
      <c r="Y76" s="242"/>
      <c r="Z76" s="241"/>
      <c r="AA76" s="241"/>
      <c r="AB76" s="275"/>
      <c r="AC76" s="524"/>
      <c r="AD76" s="241"/>
      <c r="AE76" s="241"/>
      <c r="AF76" s="241"/>
      <c r="AG76" s="241"/>
      <c r="AH76" s="241"/>
      <c r="AI76" s="241"/>
      <c r="AJ76" s="529"/>
      <c r="AK76" s="258"/>
      <c r="AL76" s="241"/>
      <c r="AM76" s="242"/>
      <c r="AN76" s="241"/>
      <c r="AO76" s="242"/>
      <c r="AP76" s="241"/>
      <c r="AQ76" s="242"/>
      <c r="AR76" s="241"/>
      <c r="AS76" s="242"/>
      <c r="AT76" s="241"/>
      <c r="AU76" s="241"/>
      <c r="AV76" s="256"/>
      <c r="AW76" s="241"/>
      <c r="AX76" s="256"/>
      <c r="AY76" s="241"/>
      <c r="AZ76" s="256"/>
      <c r="BA76" s="239"/>
      <c r="BB76" s="242"/>
      <c r="BC76" s="239"/>
      <c r="BD76" s="242"/>
      <c r="BE76" s="239"/>
      <c r="BF76" s="241"/>
      <c r="BG76" s="239"/>
      <c r="BH76" s="241"/>
      <c r="BI76" s="260"/>
      <c r="BJ76" s="241"/>
      <c r="BK76" s="260"/>
      <c r="BL76" s="239"/>
      <c r="BM76" s="256"/>
      <c r="BN76" s="241"/>
      <c r="BO76" s="243"/>
      <c r="BP76" s="241"/>
      <c r="BQ76" s="239"/>
      <c r="BR76" s="276"/>
      <c r="BS76" s="256"/>
      <c r="BT76" s="260"/>
      <c r="BU76" s="261"/>
      <c r="BV76" s="260"/>
      <c r="BW76" s="239"/>
      <c r="BX76" s="260"/>
      <c r="BY76" s="260"/>
      <c r="BZ76" s="239"/>
      <c r="CA76" s="260"/>
      <c r="CB76" s="239"/>
      <c r="CC76" s="260"/>
      <c r="CD76" s="539"/>
      <c r="CE76" s="239"/>
      <c r="CF76" s="276"/>
      <c r="CG76" s="256"/>
      <c r="CH76" s="259"/>
      <c r="CI76" s="347"/>
      <c r="CJ76" s="540"/>
      <c r="CK76" s="256"/>
      <c r="CL76" s="244">
        <v>1</v>
      </c>
      <c r="CM76" s="274">
        <f t="shared" si="1"/>
        <v>2015</v>
      </c>
      <c r="CN76" s="244">
        <f>IF('Grille de saisie'!CM76&lt;18,0,IF('Grille de saisie'!CM76&lt;40,1,IF('Grille de saisie'!CM76&lt;65,2,IF('Grille de saisie'!CM76&lt;100,3,4))))</f>
        <v>4</v>
      </c>
      <c r="CO76" s="236">
        <f>IF(AND('Grille de saisie'!C76=1,'Grille de saisie'!BZ76=0),1,IF(AND('Grille de saisie'!C76="",'Grille de saisie'!BZ76=""),3,IF(AND('Grille de saisie'!C76=5),3,2)))</f>
        <v>3</v>
      </c>
      <c r="CP76" s="236">
        <f>IF(AND('Grille de saisie'!C76=1,'Grille de saisie'!BZ76=0),1,IF(AND('Grille de saisie'!C76=1,'Grille de saisie'!BZ76=1),2,IF(AND('Grille de saisie'!C76=2,'Grille de saisie'!BZ76=0),2,IF(AND('Grille de saisie'!C76=3,'Grille de saisie'!BZ76=0),3,IF(AND('Grille de saisie'!C76=2,'Grille de saisie'!BZ76=1),3,IF(AND('Grille de saisie'!C76=1,'Grille de saisie'!BZ76=2),3,IF(AND('Grille de saisie'!C76="",'Grille de saisie'!BZ76=""),5,IF(AND('Grille de saisie'!C76=5),5,4))))))))</f>
        <v>5</v>
      </c>
      <c r="CQ76" s="237">
        <f>IF('Grille de saisie'!BZ76="",3,IF('Grille de saisie'!C76=5,3,IF('Grille de saisie'!BZ76=0,1,2)))</f>
        <v>3</v>
      </c>
    </row>
    <row r="77" spans="1:95" ht="15">
      <c r="A77" s="510">
        <v>75</v>
      </c>
      <c r="B77" s="240"/>
      <c r="C77" s="513"/>
      <c r="D77" s="240"/>
      <c r="E77" s="517"/>
      <c r="F77" s="265"/>
      <c r="G77" s="513"/>
      <c r="H77" s="265"/>
      <c r="I77" s="520"/>
      <c r="J77" s="241"/>
      <c r="K77" s="520"/>
      <c r="L77" s="241"/>
      <c r="M77" s="521"/>
      <c r="N77" s="241"/>
      <c r="O77" s="521"/>
      <c r="P77" s="241"/>
      <c r="Q77" s="520"/>
      <c r="R77" s="241"/>
      <c r="S77" s="520"/>
      <c r="T77" s="241"/>
      <c r="U77" s="520"/>
      <c r="V77" s="241"/>
      <c r="W77" s="242"/>
      <c r="X77" s="241"/>
      <c r="Y77" s="242"/>
      <c r="Z77" s="241"/>
      <c r="AA77" s="241"/>
      <c r="AB77" s="275"/>
      <c r="AC77" s="524"/>
      <c r="AD77" s="241"/>
      <c r="AE77" s="241"/>
      <c r="AF77" s="241"/>
      <c r="AG77" s="241"/>
      <c r="AH77" s="241"/>
      <c r="AI77" s="241"/>
      <c r="AJ77" s="529"/>
      <c r="AK77" s="258"/>
      <c r="AL77" s="241"/>
      <c r="AM77" s="242"/>
      <c r="AN77" s="241"/>
      <c r="AO77" s="242"/>
      <c r="AP77" s="241"/>
      <c r="AQ77" s="242"/>
      <c r="AR77" s="241"/>
      <c r="AS77" s="242"/>
      <c r="AT77" s="241"/>
      <c r="AU77" s="241"/>
      <c r="AV77" s="256"/>
      <c r="AW77" s="241"/>
      <c r="AX77" s="256"/>
      <c r="AY77" s="241"/>
      <c r="AZ77" s="256"/>
      <c r="BA77" s="239"/>
      <c r="BB77" s="242"/>
      <c r="BC77" s="239"/>
      <c r="BD77" s="242"/>
      <c r="BE77" s="239"/>
      <c r="BF77" s="241"/>
      <c r="BG77" s="239"/>
      <c r="BH77" s="241"/>
      <c r="BI77" s="260"/>
      <c r="BJ77" s="241"/>
      <c r="BK77" s="260"/>
      <c r="BL77" s="239"/>
      <c r="BM77" s="256"/>
      <c r="BN77" s="241"/>
      <c r="BO77" s="243"/>
      <c r="BP77" s="241"/>
      <c r="BQ77" s="239"/>
      <c r="BR77" s="276"/>
      <c r="BS77" s="256"/>
      <c r="BT77" s="260"/>
      <c r="BU77" s="261"/>
      <c r="BV77" s="260"/>
      <c r="BW77" s="239"/>
      <c r="BX77" s="260"/>
      <c r="BY77" s="260"/>
      <c r="BZ77" s="239"/>
      <c r="CA77" s="260"/>
      <c r="CB77" s="239"/>
      <c r="CC77" s="260"/>
      <c r="CD77" s="539"/>
      <c r="CE77" s="239"/>
      <c r="CF77" s="276"/>
      <c r="CG77" s="256"/>
      <c r="CH77" s="259"/>
      <c r="CI77" s="347"/>
      <c r="CJ77" s="540"/>
      <c r="CK77" s="256"/>
      <c r="CL77" s="244">
        <v>1</v>
      </c>
      <c r="CM77" s="274">
        <f t="shared" si="1"/>
        <v>2015</v>
      </c>
      <c r="CN77" s="244">
        <f>IF('Grille de saisie'!CM77&lt;18,0,IF('Grille de saisie'!CM77&lt;40,1,IF('Grille de saisie'!CM77&lt;65,2,IF('Grille de saisie'!CM77&lt;100,3,4))))</f>
        <v>4</v>
      </c>
      <c r="CO77" s="236">
        <f>IF(AND('Grille de saisie'!C77=1,'Grille de saisie'!BZ77=0),1,IF(AND('Grille de saisie'!C77="",'Grille de saisie'!BZ77=""),3,IF(AND('Grille de saisie'!C77=5),3,2)))</f>
        <v>3</v>
      </c>
      <c r="CP77" s="236">
        <f>IF(AND('Grille de saisie'!C77=1,'Grille de saisie'!BZ77=0),1,IF(AND('Grille de saisie'!C77=1,'Grille de saisie'!BZ77=1),2,IF(AND('Grille de saisie'!C77=2,'Grille de saisie'!BZ77=0),2,IF(AND('Grille de saisie'!C77=3,'Grille de saisie'!BZ77=0),3,IF(AND('Grille de saisie'!C77=2,'Grille de saisie'!BZ77=1),3,IF(AND('Grille de saisie'!C77=1,'Grille de saisie'!BZ77=2),3,IF(AND('Grille de saisie'!C77="",'Grille de saisie'!BZ77=""),5,IF(AND('Grille de saisie'!C77=5),5,4))))))))</f>
        <v>5</v>
      </c>
      <c r="CQ77" s="237">
        <f>IF('Grille de saisie'!BZ77="",3,IF('Grille de saisie'!C77=5,3,IF('Grille de saisie'!BZ77=0,1,2)))</f>
        <v>3</v>
      </c>
    </row>
    <row r="78" spans="1:95" ht="15">
      <c r="A78" s="511">
        <v>76</v>
      </c>
      <c r="B78" s="240"/>
      <c r="C78" s="513"/>
      <c r="D78" s="240"/>
      <c r="E78" s="517"/>
      <c r="F78" s="265"/>
      <c r="G78" s="513"/>
      <c r="H78" s="265"/>
      <c r="I78" s="520"/>
      <c r="J78" s="241"/>
      <c r="K78" s="520"/>
      <c r="L78" s="241"/>
      <c r="M78" s="521"/>
      <c r="N78" s="241"/>
      <c r="O78" s="521"/>
      <c r="P78" s="241"/>
      <c r="Q78" s="520"/>
      <c r="R78" s="241"/>
      <c r="S78" s="520"/>
      <c r="T78" s="241"/>
      <c r="U78" s="520"/>
      <c r="V78" s="241"/>
      <c r="W78" s="242"/>
      <c r="X78" s="241"/>
      <c r="Y78" s="242"/>
      <c r="Z78" s="241"/>
      <c r="AA78" s="241"/>
      <c r="AB78" s="275"/>
      <c r="AC78" s="524"/>
      <c r="AD78" s="241"/>
      <c r="AE78" s="241"/>
      <c r="AF78" s="241"/>
      <c r="AG78" s="241"/>
      <c r="AH78" s="241"/>
      <c r="AI78" s="241"/>
      <c r="AJ78" s="529"/>
      <c r="AK78" s="258"/>
      <c r="AL78" s="241"/>
      <c r="AM78" s="242"/>
      <c r="AN78" s="241"/>
      <c r="AO78" s="242"/>
      <c r="AP78" s="241"/>
      <c r="AQ78" s="242"/>
      <c r="AR78" s="241"/>
      <c r="AS78" s="242"/>
      <c r="AT78" s="241"/>
      <c r="AU78" s="241"/>
      <c r="AV78" s="256"/>
      <c r="AW78" s="241"/>
      <c r="AX78" s="256"/>
      <c r="AY78" s="241"/>
      <c r="AZ78" s="256"/>
      <c r="BA78" s="239"/>
      <c r="BB78" s="242"/>
      <c r="BC78" s="239"/>
      <c r="BD78" s="242"/>
      <c r="BE78" s="239"/>
      <c r="BF78" s="241"/>
      <c r="BG78" s="239"/>
      <c r="BH78" s="241"/>
      <c r="BI78" s="260"/>
      <c r="BJ78" s="241"/>
      <c r="BK78" s="260"/>
      <c r="BL78" s="239"/>
      <c r="BM78" s="256"/>
      <c r="BN78" s="241"/>
      <c r="BO78" s="243"/>
      <c r="BP78" s="241"/>
      <c r="BQ78" s="239"/>
      <c r="BR78" s="276"/>
      <c r="BS78" s="256"/>
      <c r="BT78" s="260"/>
      <c r="BU78" s="261"/>
      <c r="BV78" s="260"/>
      <c r="BW78" s="239"/>
      <c r="BX78" s="260"/>
      <c r="BY78" s="260"/>
      <c r="BZ78" s="239"/>
      <c r="CA78" s="260"/>
      <c r="CB78" s="239"/>
      <c r="CC78" s="260"/>
      <c r="CD78" s="539"/>
      <c r="CE78" s="239"/>
      <c r="CF78" s="276"/>
      <c r="CG78" s="256"/>
      <c r="CH78" s="259"/>
      <c r="CI78" s="347"/>
      <c r="CJ78" s="540"/>
      <c r="CK78" s="256"/>
      <c r="CL78" s="244">
        <v>1</v>
      </c>
      <c r="CM78" s="274">
        <f t="shared" si="1"/>
        <v>2015</v>
      </c>
      <c r="CN78" s="244">
        <f>IF('Grille de saisie'!CM78&lt;18,0,IF('Grille de saisie'!CM78&lt;40,1,IF('Grille de saisie'!CM78&lt;65,2,IF('Grille de saisie'!CM78&lt;100,3,4))))</f>
        <v>4</v>
      </c>
      <c r="CO78" s="236">
        <f>IF(AND('Grille de saisie'!C78=1,'Grille de saisie'!BZ78=0),1,IF(AND('Grille de saisie'!C78="",'Grille de saisie'!BZ78=""),3,IF(AND('Grille de saisie'!C78=5),3,2)))</f>
        <v>3</v>
      </c>
      <c r="CP78" s="236">
        <f>IF(AND('Grille de saisie'!C78=1,'Grille de saisie'!BZ78=0),1,IF(AND('Grille de saisie'!C78=1,'Grille de saisie'!BZ78=1),2,IF(AND('Grille de saisie'!C78=2,'Grille de saisie'!BZ78=0),2,IF(AND('Grille de saisie'!C78=3,'Grille de saisie'!BZ78=0),3,IF(AND('Grille de saisie'!C78=2,'Grille de saisie'!BZ78=1),3,IF(AND('Grille de saisie'!C78=1,'Grille de saisie'!BZ78=2),3,IF(AND('Grille de saisie'!C78="",'Grille de saisie'!BZ78=""),5,IF(AND('Grille de saisie'!C78=5),5,4))))))))</f>
        <v>5</v>
      </c>
      <c r="CQ78" s="237">
        <f>IF('Grille de saisie'!BZ78="",3,IF('Grille de saisie'!C78=5,3,IF('Grille de saisie'!BZ78=0,1,2)))</f>
        <v>3</v>
      </c>
    </row>
    <row r="79" spans="1:95" ht="15">
      <c r="A79" s="510">
        <v>77</v>
      </c>
      <c r="B79" s="240"/>
      <c r="C79" s="513"/>
      <c r="D79" s="240"/>
      <c r="E79" s="517"/>
      <c r="F79" s="265"/>
      <c r="G79" s="513"/>
      <c r="H79" s="265"/>
      <c r="I79" s="520"/>
      <c r="J79" s="241"/>
      <c r="K79" s="520"/>
      <c r="L79" s="241"/>
      <c r="M79" s="521"/>
      <c r="N79" s="241"/>
      <c r="O79" s="521"/>
      <c r="P79" s="241"/>
      <c r="Q79" s="520"/>
      <c r="R79" s="241"/>
      <c r="S79" s="520"/>
      <c r="T79" s="241"/>
      <c r="U79" s="520"/>
      <c r="V79" s="241"/>
      <c r="W79" s="242"/>
      <c r="X79" s="241"/>
      <c r="Y79" s="242"/>
      <c r="Z79" s="241"/>
      <c r="AA79" s="241"/>
      <c r="AB79" s="275"/>
      <c r="AC79" s="524"/>
      <c r="AD79" s="241"/>
      <c r="AE79" s="241"/>
      <c r="AF79" s="241"/>
      <c r="AG79" s="241"/>
      <c r="AH79" s="241"/>
      <c r="AI79" s="241"/>
      <c r="AJ79" s="529"/>
      <c r="AK79" s="258"/>
      <c r="AL79" s="241"/>
      <c r="AM79" s="242"/>
      <c r="AN79" s="241"/>
      <c r="AO79" s="242"/>
      <c r="AP79" s="241"/>
      <c r="AQ79" s="242"/>
      <c r="AR79" s="241"/>
      <c r="AS79" s="242"/>
      <c r="AT79" s="241"/>
      <c r="AU79" s="241"/>
      <c r="AV79" s="256"/>
      <c r="AW79" s="241"/>
      <c r="AX79" s="256"/>
      <c r="AY79" s="241"/>
      <c r="AZ79" s="256"/>
      <c r="BA79" s="239"/>
      <c r="BB79" s="242"/>
      <c r="BC79" s="239"/>
      <c r="BD79" s="242"/>
      <c r="BE79" s="239"/>
      <c r="BF79" s="241"/>
      <c r="BG79" s="239"/>
      <c r="BH79" s="241"/>
      <c r="BI79" s="260"/>
      <c r="BJ79" s="241"/>
      <c r="BK79" s="260"/>
      <c r="BL79" s="239"/>
      <c r="BM79" s="256"/>
      <c r="BN79" s="241"/>
      <c r="BO79" s="243"/>
      <c r="BP79" s="241"/>
      <c r="BQ79" s="239"/>
      <c r="BR79" s="276"/>
      <c r="BS79" s="256"/>
      <c r="BT79" s="260"/>
      <c r="BU79" s="261"/>
      <c r="BV79" s="260"/>
      <c r="BW79" s="239"/>
      <c r="BX79" s="260"/>
      <c r="BY79" s="260"/>
      <c r="BZ79" s="239"/>
      <c r="CA79" s="260"/>
      <c r="CB79" s="239"/>
      <c r="CC79" s="260"/>
      <c r="CD79" s="539"/>
      <c r="CE79" s="239"/>
      <c r="CF79" s="276"/>
      <c r="CG79" s="256"/>
      <c r="CH79" s="259"/>
      <c r="CI79" s="347"/>
      <c r="CJ79" s="540"/>
      <c r="CK79" s="256"/>
      <c r="CL79" s="244">
        <v>1</v>
      </c>
      <c r="CM79" s="274">
        <f t="shared" si="1"/>
        <v>2015</v>
      </c>
      <c r="CN79" s="244">
        <f>IF('Grille de saisie'!CM79&lt;18,0,IF('Grille de saisie'!CM79&lt;40,1,IF('Grille de saisie'!CM79&lt;65,2,IF('Grille de saisie'!CM79&lt;100,3,4))))</f>
        <v>4</v>
      </c>
      <c r="CO79" s="236">
        <f>IF(AND('Grille de saisie'!C79=1,'Grille de saisie'!BZ79=0),1,IF(AND('Grille de saisie'!C79="",'Grille de saisie'!BZ79=""),3,IF(AND('Grille de saisie'!C79=5),3,2)))</f>
        <v>3</v>
      </c>
      <c r="CP79" s="236">
        <f>IF(AND('Grille de saisie'!C79=1,'Grille de saisie'!BZ79=0),1,IF(AND('Grille de saisie'!C79=1,'Grille de saisie'!BZ79=1),2,IF(AND('Grille de saisie'!C79=2,'Grille de saisie'!BZ79=0),2,IF(AND('Grille de saisie'!C79=3,'Grille de saisie'!BZ79=0),3,IF(AND('Grille de saisie'!C79=2,'Grille de saisie'!BZ79=1),3,IF(AND('Grille de saisie'!C79=1,'Grille de saisie'!BZ79=2),3,IF(AND('Grille de saisie'!C79="",'Grille de saisie'!BZ79=""),5,IF(AND('Grille de saisie'!C79=5),5,4))))))))</f>
        <v>5</v>
      </c>
      <c r="CQ79" s="237">
        <f>IF('Grille de saisie'!BZ79="",3,IF('Grille de saisie'!C79=5,3,IF('Grille de saisie'!BZ79=0,1,2)))</f>
        <v>3</v>
      </c>
    </row>
    <row r="80" spans="1:95" ht="15">
      <c r="A80" s="510">
        <v>78</v>
      </c>
      <c r="B80" s="240"/>
      <c r="C80" s="513"/>
      <c r="D80" s="240"/>
      <c r="E80" s="517"/>
      <c r="F80" s="265"/>
      <c r="G80" s="513"/>
      <c r="H80" s="265"/>
      <c r="I80" s="520"/>
      <c r="J80" s="241"/>
      <c r="K80" s="520"/>
      <c r="L80" s="241"/>
      <c r="M80" s="521"/>
      <c r="N80" s="241"/>
      <c r="O80" s="521"/>
      <c r="P80" s="241"/>
      <c r="Q80" s="520"/>
      <c r="R80" s="241"/>
      <c r="S80" s="520"/>
      <c r="T80" s="241"/>
      <c r="U80" s="520"/>
      <c r="V80" s="241"/>
      <c r="W80" s="242"/>
      <c r="X80" s="241"/>
      <c r="Y80" s="242"/>
      <c r="Z80" s="241"/>
      <c r="AA80" s="241"/>
      <c r="AB80" s="275"/>
      <c r="AC80" s="524"/>
      <c r="AD80" s="241"/>
      <c r="AE80" s="241"/>
      <c r="AF80" s="241"/>
      <c r="AG80" s="241"/>
      <c r="AH80" s="241"/>
      <c r="AI80" s="241"/>
      <c r="AJ80" s="529"/>
      <c r="AK80" s="258"/>
      <c r="AL80" s="241"/>
      <c r="AM80" s="242"/>
      <c r="AN80" s="241"/>
      <c r="AO80" s="242"/>
      <c r="AP80" s="241"/>
      <c r="AQ80" s="242"/>
      <c r="AR80" s="241"/>
      <c r="AS80" s="242"/>
      <c r="AT80" s="241"/>
      <c r="AU80" s="241"/>
      <c r="AV80" s="256"/>
      <c r="AW80" s="241"/>
      <c r="AX80" s="256"/>
      <c r="AY80" s="241"/>
      <c r="AZ80" s="256"/>
      <c r="BA80" s="239"/>
      <c r="BB80" s="242"/>
      <c r="BC80" s="239"/>
      <c r="BD80" s="242"/>
      <c r="BE80" s="239"/>
      <c r="BF80" s="241"/>
      <c r="BG80" s="239"/>
      <c r="BH80" s="241"/>
      <c r="BI80" s="260"/>
      <c r="BJ80" s="241"/>
      <c r="BK80" s="260"/>
      <c r="BL80" s="239"/>
      <c r="BM80" s="256"/>
      <c r="BN80" s="241"/>
      <c r="BO80" s="243"/>
      <c r="BP80" s="241"/>
      <c r="BQ80" s="239"/>
      <c r="BR80" s="276"/>
      <c r="BS80" s="256"/>
      <c r="BT80" s="260"/>
      <c r="BU80" s="261"/>
      <c r="BV80" s="260"/>
      <c r="BW80" s="239"/>
      <c r="BX80" s="260"/>
      <c r="BY80" s="260"/>
      <c r="BZ80" s="239"/>
      <c r="CA80" s="260"/>
      <c r="CB80" s="239"/>
      <c r="CC80" s="260"/>
      <c r="CD80" s="539"/>
      <c r="CE80" s="239"/>
      <c r="CF80" s="276"/>
      <c r="CG80" s="256"/>
      <c r="CH80" s="259"/>
      <c r="CI80" s="347"/>
      <c r="CJ80" s="540"/>
      <c r="CK80" s="256"/>
      <c r="CL80" s="244">
        <v>1</v>
      </c>
      <c r="CM80" s="274">
        <f t="shared" si="1"/>
        <v>2015</v>
      </c>
      <c r="CN80" s="244">
        <f>IF('Grille de saisie'!CM80&lt;18,0,IF('Grille de saisie'!CM80&lt;40,1,IF('Grille de saisie'!CM80&lt;65,2,IF('Grille de saisie'!CM80&lt;100,3,4))))</f>
        <v>4</v>
      </c>
      <c r="CO80" s="236">
        <f>IF(AND('Grille de saisie'!C80=1,'Grille de saisie'!BZ80=0),1,IF(AND('Grille de saisie'!C80="",'Grille de saisie'!BZ80=""),3,IF(AND('Grille de saisie'!C80=5),3,2)))</f>
        <v>3</v>
      </c>
      <c r="CP80" s="236">
        <f>IF(AND('Grille de saisie'!C80=1,'Grille de saisie'!BZ80=0),1,IF(AND('Grille de saisie'!C80=1,'Grille de saisie'!BZ80=1),2,IF(AND('Grille de saisie'!C80=2,'Grille de saisie'!BZ80=0),2,IF(AND('Grille de saisie'!C80=3,'Grille de saisie'!BZ80=0),3,IF(AND('Grille de saisie'!C80=2,'Grille de saisie'!BZ80=1),3,IF(AND('Grille de saisie'!C80=1,'Grille de saisie'!BZ80=2),3,IF(AND('Grille de saisie'!C80="",'Grille de saisie'!BZ80=""),5,IF(AND('Grille de saisie'!C80=5),5,4))))))))</f>
        <v>5</v>
      </c>
      <c r="CQ80" s="237">
        <f>IF('Grille de saisie'!BZ80="",3,IF('Grille de saisie'!C80=5,3,IF('Grille de saisie'!BZ80=0,1,2)))</f>
        <v>3</v>
      </c>
    </row>
    <row r="81" spans="1:95" ht="15">
      <c r="A81" s="511">
        <v>79</v>
      </c>
      <c r="B81" s="240"/>
      <c r="C81" s="513"/>
      <c r="D81" s="240"/>
      <c r="E81" s="517"/>
      <c r="F81" s="265"/>
      <c r="G81" s="513"/>
      <c r="H81" s="265"/>
      <c r="I81" s="520"/>
      <c r="J81" s="241"/>
      <c r="K81" s="520"/>
      <c r="L81" s="241"/>
      <c r="M81" s="521"/>
      <c r="N81" s="241"/>
      <c r="O81" s="521"/>
      <c r="P81" s="241"/>
      <c r="Q81" s="520"/>
      <c r="R81" s="241"/>
      <c r="S81" s="520"/>
      <c r="T81" s="241"/>
      <c r="U81" s="520"/>
      <c r="V81" s="241"/>
      <c r="W81" s="242"/>
      <c r="X81" s="241"/>
      <c r="Y81" s="242"/>
      <c r="Z81" s="241"/>
      <c r="AA81" s="241"/>
      <c r="AB81" s="275"/>
      <c r="AC81" s="524"/>
      <c r="AD81" s="241"/>
      <c r="AE81" s="241"/>
      <c r="AF81" s="241"/>
      <c r="AG81" s="241"/>
      <c r="AH81" s="241"/>
      <c r="AI81" s="241"/>
      <c r="AJ81" s="529"/>
      <c r="AK81" s="258"/>
      <c r="AL81" s="241"/>
      <c r="AM81" s="242"/>
      <c r="AN81" s="241"/>
      <c r="AO81" s="242"/>
      <c r="AP81" s="241"/>
      <c r="AQ81" s="242"/>
      <c r="AR81" s="241"/>
      <c r="AS81" s="242"/>
      <c r="AT81" s="241"/>
      <c r="AU81" s="241"/>
      <c r="AV81" s="256"/>
      <c r="AW81" s="241"/>
      <c r="AX81" s="256"/>
      <c r="AY81" s="241"/>
      <c r="AZ81" s="256"/>
      <c r="BA81" s="239"/>
      <c r="BB81" s="242"/>
      <c r="BC81" s="239"/>
      <c r="BD81" s="242"/>
      <c r="BE81" s="239"/>
      <c r="BF81" s="241"/>
      <c r="BG81" s="239"/>
      <c r="BH81" s="241"/>
      <c r="BI81" s="260"/>
      <c r="BJ81" s="241"/>
      <c r="BK81" s="260"/>
      <c r="BL81" s="239"/>
      <c r="BM81" s="256"/>
      <c r="BN81" s="241"/>
      <c r="BO81" s="243"/>
      <c r="BP81" s="241"/>
      <c r="BQ81" s="239"/>
      <c r="BR81" s="276"/>
      <c r="BS81" s="256"/>
      <c r="BT81" s="260"/>
      <c r="BU81" s="261"/>
      <c r="BV81" s="260"/>
      <c r="BW81" s="239"/>
      <c r="BX81" s="260"/>
      <c r="BY81" s="260"/>
      <c r="BZ81" s="239"/>
      <c r="CA81" s="260"/>
      <c r="CB81" s="239"/>
      <c r="CC81" s="260"/>
      <c r="CD81" s="539"/>
      <c r="CE81" s="239"/>
      <c r="CF81" s="276"/>
      <c r="CG81" s="256"/>
      <c r="CH81" s="259"/>
      <c r="CI81" s="347"/>
      <c r="CJ81" s="540"/>
      <c r="CK81" s="256"/>
      <c r="CL81" s="244">
        <v>1</v>
      </c>
      <c r="CM81" s="274">
        <f t="shared" si="1"/>
        <v>2015</v>
      </c>
      <c r="CN81" s="244">
        <f>IF('Grille de saisie'!CM81&lt;18,0,IF('Grille de saisie'!CM81&lt;40,1,IF('Grille de saisie'!CM81&lt;65,2,IF('Grille de saisie'!CM81&lt;100,3,4))))</f>
        <v>4</v>
      </c>
      <c r="CO81" s="236">
        <f>IF(AND('Grille de saisie'!C81=1,'Grille de saisie'!BZ81=0),1,IF(AND('Grille de saisie'!C81="",'Grille de saisie'!BZ81=""),3,IF(AND('Grille de saisie'!C81=5),3,2)))</f>
        <v>3</v>
      </c>
      <c r="CP81" s="236">
        <f>IF(AND('Grille de saisie'!C81=1,'Grille de saisie'!BZ81=0),1,IF(AND('Grille de saisie'!C81=1,'Grille de saisie'!BZ81=1),2,IF(AND('Grille de saisie'!C81=2,'Grille de saisie'!BZ81=0),2,IF(AND('Grille de saisie'!C81=3,'Grille de saisie'!BZ81=0),3,IF(AND('Grille de saisie'!C81=2,'Grille de saisie'!BZ81=1),3,IF(AND('Grille de saisie'!C81=1,'Grille de saisie'!BZ81=2),3,IF(AND('Grille de saisie'!C81="",'Grille de saisie'!BZ81=""),5,IF(AND('Grille de saisie'!C81=5),5,4))))))))</f>
        <v>5</v>
      </c>
      <c r="CQ81" s="237">
        <f>IF('Grille de saisie'!BZ81="",3,IF('Grille de saisie'!C81=5,3,IF('Grille de saisie'!BZ81=0,1,2)))</f>
        <v>3</v>
      </c>
    </row>
    <row r="82" spans="1:95" ht="15">
      <c r="A82" s="510">
        <v>80</v>
      </c>
      <c r="B82" s="240"/>
      <c r="C82" s="513"/>
      <c r="D82" s="240"/>
      <c r="E82" s="517"/>
      <c r="F82" s="265"/>
      <c r="G82" s="513"/>
      <c r="H82" s="265"/>
      <c r="I82" s="520"/>
      <c r="J82" s="241"/>
      <c r="K82" s="520"/>
      <c r="L82" s="241"/>
      <c r="M82" s="521"/>
      <c r="N82" s="241"/>
      <c r="O82" s="521"/>
      <c r="P82" s="241"/>
      <c r="Q82" s="520"/>
      <c r="R82" s="241"/>
      <c r="S82" s="520"/>
      <c r="T82" s="241"/>
      <c r="U82" s="520"/>
      <c r="V82" s="241"/>
      <c r="W82" s="242"/>
      <c r="X82" s="241"/>
      <c r="Y82" s="242"/>
      <c r="Z82" s="241"/>
      <c r="AA82" s="241"/>
      <c r="AB82" s="275"/>
      <c r="AC82" s="524"/>
      <c r="AD82" s="241"/>
      <c r="AE82" s="241"/>
      <c r="AF82" s="241"/>
      <c r="AG82" s="241"/>
      <c r="AH82" s="241"/>
      <c r="AI82" s="241"/>
      <c r="AJ82" s="529"/>
      <c r="AK82" s="258"/>
      <c r="AL82" s="241"/>
      <c r="AM82" s="242"/>
      <c r="AN82" s="241"/>
      <c r="AO82" s="242"/>
      <c r="AP82" s="241"/>
      <c r="AQ82" s="242"/>
      <c r="AR82" s="241"/>
      <c r="AS82" s="242"/>
      <c r="AT82" s="241"/>
      <c r="AU82" s="241"/>
      <c r="AV82" s="256"/>
      <c r="AW82" s="241"/>
      <c r="AX82" s="256"/>
      <c r="AY82" s="241"/>
      <c r="AZ82" s="256"/>
      <c r="BA82" s="239"/>
      <c r="BB82" s="242"/>
      <c r="BC82" s="239"/>
      <c r="BD82" s="242"/>
      <c r="BE82" s="239"/>
      <c r="BF82" s="241"/>
      <c r="BG82" s="239"/>
      <c r="BH82" s="241"/>
      <c r="BI82" s="260"/>
      <c r="BJ82" s="241"/>
      <c r="BK82" s="260"/>
      <c r="BL82" s="239"/>
      <c r="BM82" s="256"/>
      <c r="BN82" s="241"/>
      <c r="BO82" s="243"/>
      <c r="BP82" s="241"/>
      <c r="BQ82" s="239"/>
      <c r="BR82" s="276"/>
      <c r="BS82" s="256"/>
      <c r="BT82" s="260"/>
      <c r="BU82" s="261"/>
      <c r="BV82" s="260"/>
      <c r="BW82" s="239"/>
      <c r="BX82" s="260"/>
      <c r="BY82" s="260"/>
      <c r="BZ82" s="239"/>
      <c r="CA82" s="260"/>
      <c r="CB82" s="239"/>
      <c r="CC82" s="260"/>
      <c r="CD82" s="539"/>
      <c r="CE82" s="239"/>
      <c r="CF82" s="276"/>
      <c r="CG82" s="256"/>
      <c r="CH82" s="259"/>
      <c r="CI82" s="347"/>
      <c r="CJ82" s="540"/>
      <c r="CK82" s="256"/>
      <c r="CL82" s="244">
        <v>1</v>
      </c>
      <c r="CM82" s="274">
        <f t="shared" si="1"/>
        <v>2015</v>
      </c>
      <c r="CN82" s="244">
        <f>IF('Grille de saisie'!CM82&lt;18,0,IF('Grille de saisie'!CM82&lt;40,1,IF('Grille de saisie'!CM82&lt;65,2,IF('Grille de saisie'!CM82&lt;100,3,4))))</f>
        <v>4</v>
      </c>
      <c r="CO82" s="236">
        <f>IF(AND('Grille de saisie'!C82=1,'Grille de saisie'!BZ82=0),1,IF(AND('Grille de saisie'!C82="",'Grille de saisie'!BZ82=""),3,IF(AND('Grille de saisie'!C82=5),3,2)))</f>
        <v>3</v>
      </c>
      <c r="CP82" s="236">
        <f>IF(AND('Grille de saisie'!C82=1,'Grille de saisie'!BZ82=0),1,IF(AND('Grille de saisie'!C82=1,'Grille de saisie'!BZ82=1),2,IF(AND('Grille de saisie'!C82=2,'Grille de saisie'!BZ82=0),2,IF(AND('Grille de saisie'!C82=3,'Grille de saisie'!BZ82=0),3,IF(AND('Grille de saisie'!C82=2,'Grille de saisie'!BZ82=1),3,IF(AND('Grille de saisie'!C82=1,'Grille de saisie'!BZ82=2),3,IF(AND('Grille de saisie'!C82="",'Grille de saisie'!BZ82=""),5,IF(AND('Grille de saisie'!C82=5),5,4))))))))</f>
        <v>5</v>
      </c>
      <c r="CQ82" s="237">
        <f>IF('Grille de saisie'!BZ82="",3,IF('Grille de saisie'!C82=5,3,IF('Grille de saisie'!BZ82=0,1,2)))</f>
        <v>3</v>
      </c>
    </row>
    <row r="83" spans="1:95" ht="15">
      <c r="A83" s="510">
        <v>81</v>
      </c>
      <c r="B83" s="240"/>
      <c r="C83" s="513"/>
      <c r="D83" s="240"/>
      <c r="E83" s="517"/>
      <c r="F83" s="265"/>
      <c r="G83" s="513"/>
      <c r="H83" s="265"/>
      <c r="I83" s="520"/>
      <c r="J83" s="241"/>
      <c r="K83" s="520"/>
      <c r="L83" s="241"/>
      <c r="M83" s="521"/>
      <c r="N83" s="241"/>
      <c r="O83" s="521"/>
      <c r="P83" s="241"/>
      <c r="Q83" s="520"/>
      <c r="R83" s="241"/>
      <c r="S83" s="520"/>
      <c r="T83" s="241"/>
      <c r="U83" s="520"/>
      <c r="V83" s="241"/>
      <c r="W83" s="242"/>
      <c r="X83" s="241"/>
      <c r="Y83" s="242"/>
      <c r="Z83" s="241"/>
      <c r="AA83" s="241"/>
      <c r="AB83" s="275"/>
      <c r="AC83" s="524"/>
      <c r="AD83" s="241"/>
      <c r="AE83" s="241"/>
      <c r="AF83" s="241"/>
      <c r="AG83" s="241"/>
      <c r="AH83" s="241"/>
      <c r="AI83" s="241"/>
      <c r="AJ83" s="529"/>
      <c r="AK83" s="258"/>
      <c r="AL83" s="241"/>
      <c r="AM83" s="242"/>
      <c r="AN83" s="241"/>
      <c r="AO83" s="242"/>
      <c r="AP83" s="241"/>
      <c r="AQ83" s="242"/>
      <c r="AR83" s="241"/>
      <c r="AS83" s="242"/>
      <c r="AT83" s="241"/>
      <c r="AU83" s="241"/>
      <c r="AV83" s="256"/>
      <c r="AW83" s="241"/>
      <c r="AX83" s="256"/>
      <c r="AY83" s="241"/>
      <c r="AZ83" s="256"/>
      <c r="BA83" s="239"/>
      <c r="BB83" s="242"/>
      <c r="BC83" s="239"/>
      <c r="BD83" s="242"/>
      <c r="BE83" s="239"/>
      <c r="BF83" s="241"/>
      <c r="BG83" s="239"/>
      <c r="BH83" s="241"/>
      <c r="BI83" s="260"/>
      <c r="BJ83" s="241"/>
      <c r="BK83" s="260"/>
      <c r="BL83" s="239"/>
      <c r="BM83" s="256"/>
      <c r="BN83" s="241"/>
      <c r="BO83" s="243"/>
      <c r="BP83" s="241"/>
      <c r="BQ83" s="239"/>
      <c r="BR83" s="276"/>
      <c r="BS83" s="256"/>
      <c r="BT83" s="260"/>
      <c r="BU83" s="261"/>
      <c r="BV83" s="260"/>
      <c r="BW83" s="239"/>
      <c r="BX83" s="260"/>
      <c r="BY83" s="260"/>
      <c r="BZ83" s="239"/>
      <c r="CA83" s="260"/>
      <c r="CB83" s="239"/>
      <c r="CC83" s="260"/>
      <c r="CD83" s="539"/>
      <c r="CE83" s="239"/>
      <c r="CF83" s="276"/>
      <c r="CG83" s="256"/>
      <c r="CH83" s="259"/>
      <c r="CI83" s="347"/>
      <c r="CJ83" s="540"/>
      <c r="CK83" s="256"/>
      <c r="CL83" s="244">
        <v>1</v>
      </c>
      <c r="CM83" s="274">
        <f t="shared" si="1"/>
        <v>2015</v>
      </c>
      <c r="CN83" s="244">
        <f>IF('Grille de saisie'!CM83&lt;18,0,IF('Grille de saisie'!CM83&lt;40,1,IF('Grille de saisie'!CM83&lt;65,2,IF('Grille de saisie'!CM83&lt;100,3,4))))</f>
        <v>4</v>
      </c>
      <c r="CO83" s="236">
        <f>IF(AND('Grille de saisie'!C83=1,'Grille de saisie'!BZ83=0),1,IF(AND('Grille de saisie'!C83="",'Grille de saisie'!BZ83=""),3,IF(AND('Grille de saisie'!C83=5),3,2)))</f>
        <v>3</v>
      </c>
      <c r="CP83" s="236">
        <f>IF(AND('Grille de saisie'!C83=1,'Grille de saisie'!BZ83=0),1,IF(AND('Grille de saisie'!C83=1,'Grille de saisie'!BZ83=1),2,IF(AND('Grille de saisie'!C83=2,'Grille de saisie'!BZ83=0),2,IF(AND('Grille de saisie'!C83=3,'Grille de saisie'!BZ83=0),3,IF(AND('Grille de saisie'!C83=2,'Grille de saisie'!BZ83=1),3,IF(AND('Grille de saisie'!C83=1,'Grille de saisie'!BZ83=2),3,IF(AND('Grille de saisie'!C83="",'Grille de saisie'!BZ83=""),5,IF(AND('Grille de saisie'!C83=5),5,4))))))))</f>
        <v>5</v>
      </c>
      <c r="CQ83" s="237">
        <f>IF('Grille de saisie'!BZ83="",3,IF('Grille de saisie'!C83=5,3,IF('Grille de saisie'!BZ83=0,1,2)))</f>
        <v>3</v>
      </c>
    </row>
    <row r="84" spans="1:95" ht="15">
      <c r="A84" s="511">
        <v>82</v>
      </c>
      <c r="B84" s="240"/>
      <c r="C84" s="513"/>
      <c r="D84" s="240"/>
      <c r="E84" s="517"/>
      <c r="F84" s="265"/>
      <c r="G84" s="513"/>
      <c r="H84" s="265"/>
      <c r="I84" s="520"/>
      <c r="J84" s="241"/>
      <c r="K84" s="520"/>
      <c r="L84" s="241"/>
      <c r="M84" s="521"/>
      <c r="N84" s="241"/>
      <c r="O84" s="521"/>
      <c r="P84" s="241"/>
      <c r="Q84" s="520"/>
      <c r="R84" s="241"/>
      <c r="S84" s="520"/>
      <c r="T84" s="241"/>
      <c r="U84" s="520"/>
      <c r="V84" s="241"/>
      <c r="W84" s="242"/>
      <c r="X84" s="241"/>
      <c r="Y84" s="242"/>
      <c r="Z84" s="241"/>
      <c r="AA84" s="241"/>
      <c r="AB84" s="275"/>
      <c r="AC84" s="524"/>
      <c r="AD84" s="241"/>
      <c r="AE84" s="241"/>
      <c r="AF84" s="241"/>
      <c r="AG84" s="241"/>
      <c r="AH84" s="241"/>
      <c r="AI84" s="241"/>
      <c r="AJ84" s="529"/>
      <c r="AK84" s="258"/>
      <c r="AL84" s="241"/>
      <c r="AM84" s="242"/>
      <c r="AN84" s="241"/>
      <c r="AO84" s="242"/>
      <c r="AP84" s="241"/>
      <c r="AQ84" s="242"/>
      <c r="AR84" s="241"/>
      <c r="AS84" s="242"/>
      <c r="AT84" s="241"/>
      <c r="AU84" s="241"/>
      <c r="AV84" s="256"/>
      <c r="AW84" s="241"/>
      <c r="AX84" s="256"/>
      <c r="AY84" s="241"/>
      <c r="AZ84" s="256"/>
      <c r="BA84" s="239"/>
      <c r="BB84" s="242"/>
      <c r="BC84" s="239"/>
      <c r="BD84" s="242"/>
      <c r="BE84" s="239"/>
      <c r="BF84" s="241"/>
      <c r="BG84" s="239"/>
      <c r="BH84" s="241"/>
      <c r="BI84" s="260"/>
      <c r="BJ84" s="241"/>
      <c r="BK84" s="260"/>
      <c r="BL84" s="239"/>
      <c r="BM84" s="256"/>
      <c r="BN84" s="241"/>
      <c r="BO84" s="243"/>
      <c r="BP84" s="241"/>
      <c r="BQ84" s="239"/>
      <c r="BR84" s="276"/>
      <c r="BS84" s="256"/>
      <c r="BT84" s="260"/>
      <c r="BU84" s="261"/>
      <c r="BV84" s="260"/>
      <c r="BW84" s="239"/>
      <c r="BX84" s="260"/>
      <c r="BY84" s="260"/>
      <c r="BZ84" s="239"/>
      <c r="CA84" s="260"/>
      <c r="CB84" s="239"/>
      <c r="CC84" s="260"/>
      <c r="CD84" s="539"/>
      <c r="CE84" s="239"/>
      <c r="CF84" s="276"/>
      <c r="CG84" s="256"/>
      <c r="CH84" s="259"/>
      <c r="CI84" s="347"/>
      <c r="CJ84" s="540"/>
      <c r="CK84" s="256"/>
      <c r="CL84" s="244">
        <v>1</v>
      </c>
      <c r="CM84" s="274">
        <f t="shared" si="1"/>
        <v>2015</v>
      </c>
      <c r="CN84" s="244">
        <f>IF('Grille de saisie'!CM84&lt;18,0,IF('Grille de saisie'!CM84&lt;40,1,IF('Grille de saisie'!CM84&lt;65,2,IF('Grille de saisie'!CM84&lt;100,3,4))))</f>
        <v>4</v>
      </c>
      <c r="CO84" s="236">
        <f>IF(AND('Grille de saisie'!C84=1,'Grille de saisie'!BZ84=0),1,IF(AND('Grille de saisie'!C84="",'Grille de saisie'!BZ84=""),3,IF(AND('Grille de saisie'!C84=5),3,2)))</f>
        <v>3</v>
      </c>
      <c r="CP84" s="236">
        <f>IF(AND('Grille de saisie'!C84=1,'Grille de saisie'!BZ84=0),1,IF(AND('Grille de saisie'!C84=1,'Grille de saisie'!BZ84=1),2,IF(AND('Grille de saisie'!C84=2,'Grille de saisie'!BZ84=0),2,IF(AND('Grille de saisie'!C84=3,'Grille de saisie'!BZ84=0),3,IF(AND('Grille de saisie'!C84=2,'Grille de saisie'!BZ84=1),3,IF(AND('Grille de saisie'!C84=1,'Grille de saisie'!BZ84=2),3,IF(AND('Grille de saisie'!C84="",'Grille de saisie'!BZ84=""),5,IF(AND('Grille de saisie'!C84=5),5,4))))))))</f>
        <v>5</v>
      </c>
      <c r="CQ84" s="237">
        <f>IF('Grille de saisie'!BZ84="",3,IF('Grille de saisie'!C84=5,3,IF('Grille de saisie'!BZ84=0,1,2)))</f>
        <v>3</v>
      </c>
    </row>
    <row r="85" spans="1:95" ht="15">
      <c r="A85" s="510">
        <v>83</v>
      </c>
      <c r="B85" s="240"/>
      <c r="C85" s="513"/>
      <c r="D85" s="240"/>
      <c r="E85" s="517"/>
      <c r="F85" s="265"/>
      <c r="G85" s="513"/>
      <c r="H85" s="265"/>
      <c r="I85" s="520"/>
      <c r="J85" s="241"/>
      <c r="K85" s="520"/>
      <c r="L85" s="241"/>
      <c r="M85" s="521"/>
      <c r="N85" s="241"/>
      <c r="O85" s="521"/>
      <c r="P85" s="241"/>
      <c r="Q85" s="520"/>
      <c r="R85" s="241"/>
      <c r="S85" s="520"/>
      <c r="T85" s="241"/>
      <c r="U85" s="520"/>
      <c r="V85" s="241"/>
      <c r="W85" s="242"/>
      <c r="X85" s="241"/>
      <c r="Y85" s="242"/>
      <c r="Z85" s="241"/>
      <c r="AA85" s="241"/>
      <c r="AB85" s="275"/>
      <c r="AC85" s="524"/>
      <c r="AD85" s="241"/>
      <c r="AE85" s="241"/>
      <c r="AF85" s="241"/>
      <c r="AG85" s="241"/>
      <c r="AH85" s="241"/>
      <c r="AI85" s="241"/>
      <c r="AJ85" s="529"/>
      <c r="AK85" s="258"/>
      <c r="AL85" s="241"/>
      <c r="AM85" s="242"/>
      <c r="AN85" s="241"/>
      <c r="AO85" s="242"/>
      <c r="AP85" s="241"/>
      <c r="AQ85" s="242"/>
      <c r="AR85" s="241"/>
      <c r="AS85" s="242"/>
      <c r="AT85" s="241"/>
      <c r="AU85" s="241"/>
      <c r="AV85" s="256"/>
      <c r="AW85" s="241"/>
      <c r="AX85" s="256"/>
      <c r="AY85" s="241"/>
      <c r="AZ85" s="256"/>
      <c r="BA85" s="239"/>
      <c r="BB85" s="242"/>
      <c r="BC85" s="239"/>
      <c r="BD85" s="242"/>
      <c r="BE85" s="239"/>
      <c r="BF85" s="241"/>
      <c r="BG85" s="239"/>
      <c r="BH85" s="241"/>
      <c r="BI85" s="260"/>
      <c r="BJ85" s="241"/>
      <c r="BK85" s="260"/>
      <c r="BL85" s="239"/>
      <c r="BM85" s="256"/>
      <c r="BN85" s="241"/>
      <c r="BO85" s="243"/>
      <c r="BP85" s="241"/>
      <c r="BQ85" s="239"/>
      <c r="BR85" s="276"/>
      <c r="BS85" s="256"/>
      <c r="BT85" s="260"/>
      <c r="BU85" s="261"/>
      <c r="BV85" s="260"/>
      <c r="BW85" s="239"/>
      <c r="BX85" s="260"/>
      <c r="BY85" s="260"/>
      <c r="BZ85" s="239"/>
      <c r="CA85" s="260"/>
      <c r="CB85" s="239"/>
      <c r="CC85" s="260"/>
      <c r="CD85" s="539"/>
      <c r="CE85" s="239"/>
      <c r="CF85" s="276"/>
      <c r="CG85" s="256"/>
      <c r="CH85" s="259"/>
      <c r="CI85" s="347"/>
      <c r="CJ85" s="540"/>
      <c r="CK85" s="256"/>
      <c r="CL85" s="244">
        <v>1</v>
      </c>
      <c r="CM85" s="274">
        <f t="shared" si="1"/>
        <v>2015</v>
      </c>
      <c r="CN85" s="244">
        <f>IF('Grille de saisie'!CM85&lt;18,0,IF('Grille de saisie'!CM85&lt;40,1,IF('Grille de saisie'!CM85&lt;65,2,IF('Grille de saisie'!CM85&lt;100,3,4))))</f>
        <v>4</v>
      </c>
      <c r="CO85" s="236">
        <f>IF(AND('Grille de saisie'!C85=1,'Grille de saisie'!BZ85=0),1,IF(AND('Grille de saisie'!C85="",'Grille de saisie'!BZ85=""),3,IF(AND('Grille de saisie'!C85=5),3,2)))</f>
        <v>3</v>
      </c>
      <c r="CP85" s="236">
        <f>IF(AND('Grille de saisie'!C85=1,'Grille de saisie'!BZ85=0),1,IF(AND('Grille de saisie'!C85=1,'Grille de saisie'!BZ85=1),2,IF(AND('Grille de saisie'!C85=2,'Grille de saisie'!BZ85=0),2,IF(AND('Grille de saisie'!C85=3,'Grille de saisie'!BZ85=0),3,IF(AND('Grille de saisie'!C85=2,'Grille de saisie'!BZ85=1),3,IF(AND('Grille de saisie'!C85=1,'Grille de saisie'!BZ85=2),3,IF(AND('Grille de saisie'!C85="",'Grille de saisie'!BZ85=""),5,IF(AND('Grille de saisie'!C85=5),5,4))))))))</f>
        <v>5</v>
      </c>
      <c r="CQ85" s="237">
        <f>IF('Grille de saisie'!BZ85="",3,IF('Grille de saisie'!C85=5,3,IF('Grille de saisie'!BZ85=0,1,2)))</f>
        <v>3</v>
      </c>
    </row>
    <row r="86" spans="1:95" ht="15">
      <c r="A86" s="510">
        <v>84</v>
      </c>
      <c r="B86" s="240"/>
      <c r="C86" s="513"/>
      <c r="D86" s="240"/>
      <c r="E86" s="517"/>
      <c r="F86" s="265"/>
      <c r="G86" s="513"/>
      <c r="H86" s="265"/>
      <c r="I86" s="520"/>
      <c r="J86" s="241"/>
      <c r="K86" s="520"/>
      <c r="L86" s="241"/>
      <c r="M86" s="521"/>
      <c r="N86" s="241"/>
      <c r="O86" s="521"/>
      <c r="P86" s="241"/>
      <c r="Q86" s="520"/>
      <c r="R86" s="241"/>
      <c r="S86" s="520"/>
      <c r="T86" s="241"/>
      <c r="U86" s="520"/>
      <c r="V86" s="241"/>
      <c r="W86" s="242"/>
      <c r="X86" s="241"/>
      <c r="Y86" s="242"/>
      <c r="Z86" s="241"/>
      <c r="AA86" s="241"/>
      <c r="AB86" s="275"/>
      <c r="AC86" s="524"/>
      <c r="AD86" s="241"/>
      <c r="AE86" s="241"/>
      <c r="AF86" s="241"/>
      <c r="AG86" s="241"/>
      <c r="AH86" s="241"/>
      <c r="AI86" s="241"/>
      <c r="AJ86" s="529"/>
      <c r="AK86" s="258"/>
      <c r="AL86" s="241"/>
      <c r="AM86" s="242"/>
      <c r="AN86" s="241"/>
      <c r="AO86" s="242"/>
      <c r="AP86" s="241"/>
      <c r="AQ86" s="242"/>
      <c r="AR86" s="241"/>
      <c r="AS86" s="242"/>
      <c r="AT86" s="241"/>
      <c r="AU86" s="241"/>
      <c r="AV86" s="256"/>
      <c r="AW86" s="241"/>
      <c r="AX86" s="256"/>
      <c r="AY86" s="241"/>
      <c r="AZ86" s="256"/>
      <c r="BA86" s="239"/>
      <c r="BB86" s="242"/>
      <c r="BC86" s="239"/>
      <c r="BD86" s="242"/>
      <c r="BE86" s="239"/>
      <c r="BF86" s="241"/>
      <c r="BG86" s="239"/>
      <c r="BH86" s="241"/>
      <c r="BI86" s="260"/>
      <c r="BJ86" s="241"/>
      <c r="BK86" s="260"/>
      <c r="BL86" s="239"/>
      <c r="BM86" s="256"/>
      <c r="BN86" s="241"/>
      <c r="BO86" s="243"/>
      <c r="BP86" s="241"/>
      <c r="BQ86" s="239"/>
      <c r="BR86" s="276"/>
      <c r="BS86" s="256"/>
      <c r="BT86" s="260"/>
      <c r="BU86" s="261"/>
      <c r="BV86" s="260"/>
      <c r="BW86" s="239"/>
      <c r="BX86" s="260"/>
      <c r="BY86" s="260"/>
      <c r="BZ86" s="239"/>
      <c r="CA86" s="260"/>
      <c r="CB86" s="239"/>
      <c r="CC86" s="260"/>
      <c r="CD86" s="539"/>
      <c r="CE86" s="239"/>
      <c r="CF86" s="276"/>
      <c r="CG86" s="256"/>
      <c r="CH86" s="259"/>
      <c r="CI86" s="347"/>
      <c r="CJ86" s="540"/>
      <c r="CK86" s="256"/>
      <c r="CL86" s="244">
        <v>1</v>
      </c>
      <c r="CM86" s="274">
        <f t="shared" si="1"/>
        <v>2015</v>
      </c>
      <c r="CN86" s="244">
        <f>IF('Grille de saisie'!CM86&lt;18,0,IF('Grille de saisie'!CM86&lt;40,1,IF('Grille de saisie'!CM86&lt;65,2,IF('Grille de saisie'!CM86&lt;100,3,4))))</f>
        <v>4</v>
      </c>
      <c r="CO86" s="236">
        <f>IF(AND('Grille de saisie'!C86=1,'Grille de saisie'!BZ86=0),1,IF(AND('Grille de saisie'!C86="",'Grille de saisie'!BZ86=""),3,IF(AND('Grille de saisie'!C86=5),3,2)))</f>
        <v>3</v>
      </c>
      <c r="CP86" s="236">
        <f>IF(AND('Grille de saisie'!C86=1,'Grille de saisie'!BZ86=0),1,IF(AND('Grille de saisie'!C86=1,'Grille de saisie'!BZ86=1),2,IF(AND('Grille de saisie'!C86=2,'Grille de saisie'!BZ86=0),2,IF(AND('Grille de saisie'!C86=3,'Grille de saisie'!BZ86=0),3,IF(AND('Grille de saisie'!C86=2,'Grille de saisie'!BZ86=1),3,IF(AND('Grille de saisie'!C86=1,'Grille de saisie'!BZ86=2),3,IF(AND('Grille de saisie'!C86="",'Grille de saisie'!BZ86=""),5,IF(AND('Grille de saisie'!C86=5),5,4))))))))</f>
        <v>5</v>
      </c>
      <c r="CQ86" s="237">
        <f>IF('Grille de saisie'!BZ86="",3,IF('Grille de saisie'!C86=5,3,IF('Grille de saisie'!BZ86=0,1,2)))</f>
        <v>3</v>
      </c>
    </row>
    <row r="87" spans="1:95" ht="15">
      <c r="A87" s="511">
        <v>85</v>
      </c>
      <c r="B87" s="240"/>
      <c r="C87" s="513"/>
      <c r="D87" s="240"/>
      <c r="E87" s="517"/>
      <c r="F87" s="265"/>
      <c r="G87" s="513"/>
      <c r="H87" s="265"/>
      <c r="I87" s="520"/>
      <c r="J87" s="241"/>
      <c r="K87" s="520"/>
      <c r="L87" s="241"/>
      <c r="M87" s="521"/>
      <c r="N87" s="241"/>
      <c r="O87" s="521"/>
      <c r="P87" s="241"/>
      <c r="Q87" s="520"/>
      <c r="R87" s="241"/>
      <c r="S87" s="520"/>
      <c r="T87" s="241"/>
      <c r="U87" s="520"/>
      <c r="V87" s="241"/>
      <c r="W87" s="242"/>
      <c r="X87" s="241"/>
      <c r="Y87" s="242"/>
      <c r="Z87" s="241"/>
      <c r="AA87" s="241"/>
      <c r="AB87" s="275"/>
      <c r="AC87" s="524"/>
      <c r="AD87" s="241"/>
      <c r="AE87" s="241"/>
      <c r="AF87" s="241"/>
      <c r="AG87" s="241"/>
      <c r="AH87" s="241"/>
      <c r="AI87" s="241"/>
      <c r="AJ87" s="529"/>
      <c r="AK87" s="258"/>
      <c r="AL87" s="241"/>
      <c r="AM87" s="242"/>
      <c r="AN87" s="241"/>
      <c r="AO87" s="242"/>
      <c r="AP87" s="241"/>
      <c r="AQ87" s="242"/>
      <c r="AR87" s="241"/>
      <c r="AS87" s="242"/>
      <c r="AT87" s="241"/>
      <c r="AU87" s="241"/>
      <c r="AV87" s="256"/>
      <c r="AW87" s="241"/>
      <c r="AX87" s="256"/>
      <c r="AY87" s="241"/>
      <c r="AZ87" s="256"/>
      <c r="BA87" s="239"/>
      <c r="BB87" s="242"/>
      <c r="BC87" s="239"/>
      <c r="BD87" s="242"/>
      <c r="BE87" s="239"/>
      <c r="BF87" s="241"/>
      <c r="BG87" s="239"/>
      <c r="BH87" s="241"/>
      <c r="BI87" s="260"/>
      <c r="BJ87" s="241"/>
      <c r="BK87" s="260"/>
      <c r="BL87" s="239"/>
      <c r="BM87" s="256"/>
      <c r="BN87" s="241"/>
      <c r="BO87" s="243"/>
      <c r="BP87" s="241"/>
      <c r="BQ87" s="239"/>
      <c r="BR87" s="276"/>
      <c r="BS87" s="256"/>
      <c r="BT87" s="260"/>
      <c r="BU87" s="261"/>
      <c r="BV87" s="260"/>
      <c r="BW87" s="239"/>
      <c r="BX87" s="260"/>
      <c r="BY87" s="260"/>
      <c r="BZ87" s="239"/>
      <c r="CA87" s="260"/>
      <c r="CB87" s="239"/>
      <c r="CC87" s="260"/>
      <c r="CD87" s="539"/>
      <c r="CE87" s="239"/>
      <c r="CF87" s="276"/>
      <c r="CG87" s="256"/>
      <c r="CH87" s="259"/>
      <c r="CI87" s="347"/>
      <c r="CJ87" s="540"/>
      <c r="CK87" s="256"/>
      <c r="CL87" s="244">
        <v>1</v>
      </c>
      <c r="CM87" s="274">
        <f t="shared" si="1"/>
        <v>2015</v>
      </c>
      <c r="CN87" s="244">
        <f>IF('Grille de saisie'!CM87&lt;18,0,IF('Grille de saisie'!CM87&lt;40,1,IF('Grille de saisie'!CM87&lt;65,2,IF('Grille de saisie'!CM87&lt;100,3,4))))</f>
        <v>4</v>
      </c>
      <c r="CO87" s="236">
        <f>IF(AND('Grille de saisie'!C87=1,'Grille de saisie'!BZ87=0),1,IF(AND('Grille de saisie'!C87="",'Grille de saisie'!BZ87=""),3,IF(AND('Grille de saisie'!C87=5),3,2)))</f>
        <v>3</v>
      </c>
      <c r="CP87" s="236">
        <f>IF(AND('Grille de saisie'!C87=1,'Grille de saisie'!BZ87=0),1,IF(AND('Grille de saisie'!C87=1,'Grille de saisie'!BZ87=1),2,IF(AND('Grille de saisie'!C87=2,'Grille de saisie'!BZ87=0),2,IF(AND('Grille de saisie'!C87=3,'Grille de saisie'!BZ87=0),3,IF(AND('Grille de saisie'!C87=2,'Grille de saisie'!BZ87=1),3,IF(AND('Grille de saisie'!C87=1,'Grille de saisie'!BZ87=2),3,IF(AND('Grille de saisie'!C87="",'Grille de saisie'!BZ87=""),5,IF(AND('Grille de saisie'!C87=5),5,4))))))))</f>
        <v>5</v>
      </c>
      <c r="CQ87" s="237">
        <f>IF('Grille de saisie'!BZ87="",3,IF('Grille de saisie'!C87=5,3,IF('Grille de saisie'!BZ87=0,1,2)))</f>
        <v>3</v>
      </c>
    </row>
    <row r="88" spans="1:95" ht="15">
      <c r="A88" s="510">
        <v>86</v>
      </c>
      <c r="B88" s="240"/>
      <c r="C88" s="513"/>
      <c r="D88" s="240"/>
      <c r="E88" s="517"/>
      <c r="F88" s="265"/>
      <c r="G88" s="513"/>
      <c r="H88" s="265"/>
      <c r="I88" s="520"/>
      <c r="J88" s="241"/>
      <c r="K88" s="520"/>
      <c r="L88" s="241"/>
      <c r="M88" s="521"/>
      <c r="N88" s="241"/>
      <c r="O88" s="521"/>
      <c r="P88" s="241"/>
      <c r="Q88" s="520"/>
      <c r="R88" s="241"/>
      <c r="S88" s="520"/>
      <c r="T88" s="241"/>
      <c r="U88" s="520"/>
      <c r="V88" s="241"/>
      <c r="W88" s="242"/>
      <c r="X88" s="241"/>
      <c r="Y88" s="242"/>
      <c r="Z88" s="241"/>
      <c r="AA88" s="241"/>
      <c r="AB88" s="275"/>
      <c r="AC88" s="524"/>
      <c r="AD88" s="241"/>
      <c r="AE88" s="241"/>
      <c r="AF88" s="241"/>
      <c r="AG88" s="241"/>
      <c r="AH88" s="241"/>
      <c r="AI88" s="241"/>
      <c r="AJ88" s="529"/>
      <c r="AK88" s="258"/>
      <c r="AL88" s="241"/>
      <c r="AM88" s="242"/>
      <c r="AN88" s="241"/>
      <c r="AO88" s="242"/>
      <c r="AP88" s="241"/>
      <c r="AQ88" s="242"/>
      <c r="AR88" s="241"/>
      <c r="AS88" s="242"/>
      <c r="AT88" s="241"/>
      <c r="AU88" s="241"/>
      <c r="AV88" s="256"/>
      <c r="AW88" s="241"/>
      <c r="AX88" s="256"/>
      <c r="AY88" s="241"/>
      <c r="AZ88" s="256"/>
      <c r="BA88" s="239"/>
      <c r="BB88" s="242"/>
      <c r="BC88" s="239"/>
      <c r="BD88" s="242"/>
      <c r="BE88" s="239"/>
      <c r="BF88" s="241"/>
      <c r="BG88" s="239"/>
      <c r="BH88" s="241"/>
      <c r="BI88" s="260"/>
      <c r="BJ88" s="241"/>
      <c r="BK88" s="260"/>
      <c r="BL88" s="239"/>
      <c r="BM88" s="256"/>
      <c r="BN88" s="241"/>
      <c r="BO88" s="243"/>
      <c r="BP88" s="241"/>
      <c r="BQ88" s="239"/>
      <c r="BR88" s="276"/>
      <c r="BS88" s="256"/>
      <c r="BT88" s="260"/>
      <c r="BU88" s="261"/>
      <c r="BV88" s="260"/>
      <c r="BW88" s="239"/>
      <c r="BX88" s="260"/>
      <c r="BY88" s="260"/>
      <c r="BZ88" s="239"/>
      <c r="CA88" s="260"/>
      <c r="CB88" s="239"/>
      <c r="CC88" s="260"/>
      <c r="CD88" s="539"/>
      <c r="CE88" s="239"/>
      <c r="CF88" s="276"/>
      <c r="CG88" s="256"/>
      <c r="CH88" s="259"/>
      <c r="CI88" s="347"/>
      <c r="CJ88" s="540"/>
      <c r="CK88" s="256"/>
      <c r="CL88" s="244">
        <v>1</v>
      </c>
      <c r="CM88" s="274">
        <f t="shared" si="1"/>
        <v>2015</v>
      </c>
      <c r="CN88" s="244">
        <f>IF('Grille de saisie'!CM88&lt;18,0,IF('Grille de saisie'!CM88&lt;40,1,IF('Grille de saisie'!CM88&lt;65,2,IF('Grille de saisie'!CM88&lt;100,3,4))))</f>
        <v>4</v>
      </c>
      <c r="CO88" s="236">
        <f>IF(AND('Grille de saisie'!C88=1,'Grille de saisie'!BZ88=0),1,IF(AND('Grille de saisie'!C88="",'Grille de saisie'!BZ88=""),3,IF(AND('Grille de saisie'!C88=5),3,2)))</f>
        <v>3</v>
      </c>
      <c r="CP88" s="236">
        <f>IF(AND('Grille de saisie'!C88=1,'Grille de saisie'!BZ88=0),1,IF(AND('Grille de saisie'!C88=1,'Grille de saisie'!BZ88=1),2,IF(AND('Grille de saisie'!C88=2,'Grille de saisie'!BZ88=0),2,IF(AND('Grille de saisie'!C88=3,'Grille de saisie'!BZ88=0),3,IF(AND('Grille de saisie'!C88=2,'Grille de saisie'!BZ88=1),3,IF(AND('Grille de saisie'!C88=1,'Grille de saisie'!BZ88=2),3,IF(AND('Grille de saisie'!C88="",'Grille de saisie'!BZ88=""),5,IF(AND('Grille de saisie'!C88=5),5,4))))))))</f>
        <v>5</v>
      </c>
      <c r="CQ88" s="237">
        <f>IF('Grille de saisie'!BZ88="",3,IF('Grille de saisie'!C88=5,3,IF('Grille de saisie'!BZ88=0,1,2)))</f>
        <v>3</v>
      </c>
    </row>
    <row r="89" spans="1:95" ht="15">
      <c r="A89" s="510">
        <v>87</v>
      </c>
      <c r="B89" s="240"/>
      <c r="C89" s="513"/>
      <c r="D89" s="240"/>
      <c r="E89" s="517"/>
      <c r="F89" s="265"/>
      <c r="G89" s="513"/>
      <c r="H89" s="265"/>
      <c r="I89" s="520"/>
      <c r="J89" s="241"/>
      <c r="K89" s="520"/>
      <c r="L89" s="241"/>
      <c r="M89" s="521"/>
      <c r="N89" s="241"/>
      <c r="O89" s="521"/>
      <c r="P89" s="241"/>
      <c r="Q89" s="520"/>
      <c r="R89" s="241"/>
      <c r="S89" s="520"/>
      <c r="T89" s="241"/>
      <c r="U89" s="520"/>
      <c r="V89" s="241"/>
      <c r="W89" s="242"/>
      <c r="X89" s="241"/>
      <c r="Y89" s="242"/>
      <c r="Z89" s="241"/>
      <c r="AA89" s="241"/>
      <c r="AB89" s="275"/>
      <c r="AC89" s="524"/>
      <c r="AD89" s="241"/>
      <c r="AE89" s="241"/>
      <c r="AF89" s="241"/>
      <c r="AG89" s="241"/>
      <c r="AH89" s="241"/>
      <c r="AI89" s="241"/>
      <c r="AJ89" s="529"/>
      <c r="AK89" s="258"/>
      <c r="AL89" s="241"/>
      <c r="AM89" s="242"/>
      <c r="AN89" s="241"/>
      <c r="AO89" s="242"/>
      <c r="AP89" s="241"/>
      <c r="AQ89" s="242"/>
      <c r="AR89" s="241"/>
      <c r="AS89" s="242"/>
      <c r="AT89" s="241"/>
      <c r="AU89" s="241"/>
      <c r="AV89" s="256"/>
      <c r="AW89" s="241"/>
      <c r="AX89" s="256"/>
      <c r="AY89" s="241"/>
      <c r="AZ89" s="256"/>
      <c r="BA89" s="239"/>
      <c r="BB89" s="242"/>
      <c r="BC89" s="239"/>
      <c r="BD89" s="242"/>
      <c r="BE89" s="239"/>
      <c r="BF89" s="241"/>
      <c r="BG89" s="239"/>
      <c r="BH89" s="241"/>
      <c r="BI89" s="260"/>
      <c r="BJ89" s="241"/>
      <c r="BK89" s="260"/>
      <c r="BL89" s="239"/>
      <c r="BM89" s="256"/>
      <c r="BN89" s="241"/>
      <c r="BO89" s="243"/>
      <c r="BP89" s="241"/>
      <c r="BQ89" s="239"/>
      <c r="BR89" s="276"/>
      <c r="BS89" s="256"/>
      <c r="BT89" s="260"/>
      <c r="BU89" s="261"/>
      <c r="BV89" s="260"/>
      <c r="BW89" s="239"/>
      <c r="BX89" s="260"/>
      <c r="BY89" s="260"/>
      <c r="BZ89" s="239"/>
      <c r="CA89" s="260"/>
      <c r="CB89" s="239"/>
      <c r="CC89" s="260"/>
      <c r="CD89" s="539"/>
      <c r="CE89" s="239"/>
      <c r="CF89" s="276"/>
      <c r="CG89" s="256"/>
      <c r="CH89" s="259"/>
      <c r="CI89" s="347"/>
      <c r="CJ89" s="540"/>
      <c r="CK89" s="256"/>
      <c r="CL89" s="244">
        <v>1</v>
      </c>
      <c r="CM89" s="274">
        <f t="shared" si="1"/>
        <v>2015</v>
      </c>
      <c r="CN89" s="244">
        <f>IF('Grille de saisie'!CM89&lt;18,0,IF('Grille de saisie'!CM89&lt;40,1,IF('Grille de saisie'!CM89&lt;65,2,IF('Grille de saisie'!CM89&lt;100,3,4))))</f>
        <v>4</v>
      </c>
      <c r="CO89" s="236">
        <f>IF(AND('Grille de saisie'!C89=1,'Grille de saisie'!BZ89=0),1,IF(AND('Grille de saisie'!C89="",'Grille de saisie'!BZ89=""),3,IF(AND('Grille de saisie'!C89=5),3,2)))</f>
        <v>3</v>
      </c>
      <c r="CP89" s="236">
        <f>IF(AND('Grille de saisie'!C89=1,'Grille de saisie'!BZ89=0),1,IF(AND('Grille de saisie'!C89=1,'Grille de saisie'!BZ89=1),2,IF(AND('Grille de saisie'!C89=2,'Grille de saisie'!BZ89=0),2,IF(AND('Grille de saisie'!C89=3,'Grille de saisie'!BZ89=0),3,IF(AND('Grille de saisie'!C89=2,'Grille de saisie'!BZ89=1),3,IF(AND('Grille de saisie'!C89=1,'Grille de saisie'!BZ89=2),3,IF(AND('Grille de saisie'!C89="",'Grille de saisie'!BZ89=""),5,IF(AND('Grille de saisie'!C89=5),5,4))))))))</f>
        <v>5</v>
      </c>
      <c r="CQ89" s="237">
        <f>IF('Grille de saisie'!BZ89="",3,IF('Grille de saisie'!C89=5,3,IF('Grille de saisie'!BZ89=0,1,2)))</f>
        <v>3</v>
      </c>
    </row>
    <row r="90" spans="1:95" ht="15">
      <c r="A90" s="511">
        <v>88</v>
      </c>
      <c r="B90" s="240"/>
      <c r="C90" s="513"/>
      <c r="D90" s="240"/>
      <c r="E90" s="517"/>
      <c r="F90" s="265"/>
      <c r="G90" s="513"/>
      <c r="H90" s="265"/>
      <c r="I90" s="520"/>
      <c r="J90" s="241"/>
      <c r="K90" s="520"/>
      <c r="L90" s="241"/>
      <c r="M90" s="521"/>
      <c r="N90" s="241"/>
      <c r="O90" s="521"/>
      <c r="P90" s="241"/>
      <c r="Q90" s="520"/>
      <c r="R90" s="241"/>
      <c r="S90" s="520"/>
      <c r="T90" s="241"/>
      <c r="U90" s="520"/>
      <c r="V90" s="241"/>
      <c r="W90" s="242"/>
      <c r="X90" s="241"/>
      <c r="Y90" s="242"/>
      <c r="Z90" s="241"/>
      <c r="AA90" s="241"/>
      <c r="AB90" s="275"/>
      <c r="AC90" s="524"/>
      <c r="AD90" s="241"/>
      <c r="AE90" s="241"/>
      <c r="AF90" s="241"/>
      <c r="AG90" s="241"/>
      <c r="AH90" s="241"/>
      <c r="AI90" s="241"/>
      <c r="AJ90" s="529"/>
      <c r="AK90" s="258"/>
      <c r="AL90" s="241"/>
      <c r="AM90" s="242"/>
      <c r="AN90" s="241"/>
      <c r="AO90" s="242"/>
      <c r="AP90" s="241"/>
      <c r="AQ90" s="242"/>
      <c r="AR90" s="241"/>
      <c r="AS90" s="242"/>
      <c r="AT90" s="241"/>
      <c r="AU90" s="241"/>
      <c r="AV90" s="256"/>
      <c r="AW90" s="241"/>
      <c r="AX90" s="256"/>
      <c r="AY90" s="241"/>
      <c r="AZ90" s="256"/>
      <c r="BA90" s="239"/>
      <c r="BB90" s="242"/>
      <c r="BC90" s="239"/>
      <c r="BD90" s="242"/>
      <c r="BE90" s="239"/>
      <c r="BF90" s="241"/>
      <c r="BG90" s="239"/>
      <c r="BH90" s="241"/>
      <c r="BI90" s="260"/>
      <c r="BJ90" s="241"/>
      <c r="BK90" s="260"/>
      <c r="BL90" s="239"/>
      <c r="BM90" s="256"/>
      <c r="BN90" s="241"/>
      <c r="BO90" s="243"/>
      <c r="BP90" s="241"/>
      <c r="BQ90" s="239"/>
      <c r="BR90" s="276"/>
      <c r="BS90" s="256"/>
      <c r="BT90" s="260"/>
      <c r="BU90" s="261"/>
      <c r="BV90" s="260"/>
      <c r="BW90" s="239"/>
      <c r="BX90" s="260"/>
      <c r="BY90" s="260"/>
      <c r="BZ90" s="239"/>
      <c r="CA90" s="260"/>
      <c r="CB90" s="239"/>
      <c r="CC90" s="260"/>
      <c r="CD90" s="539"/>
      <c r="CE90" s="239"/>
      <c r="CF90" s="276"/>
      <c r="CG90" s="256"/>
      <c r="CH90" s="259"/>
      <c r="CI90" s="347"/>
      <c r="CJ90" s="540"/>
      <c r="CK90" s="256"/>
      <c r="CL90" s="244">
        <v>1</v>
      </c>
      <c r="CM90" s="274">
        <f t="shared" si="1"/>
        <v>2015</v>
      </c>
      <c r="CN90" s="244">
        <f>IF('Grille de saisie'!CM90&lt;18,0,IF('Grille de saisie'!CM90&lt;40,1,IF('Grille de saisie'!CM90&lt;65,2,IF('Grille de saisie'!CM90&lt;100,3,4))))</f>
        <v>4</v>
      </c>
      <c r="CO90" s="236">
        <f>IF(AND('Grille de saisie'!C90=1,'Grille de saisie'!BZ90=0),1,IF(AND('Grille de saisie'!C90="",'Grille de saisie'!BZ90=""),3,IF(AND('Grille de saisie'!C90=5),3,2)))</f>
        <v>3</v>
      </c>
      <c r="CP90" s="236">
        <f>IF(AND('Grille de saisie'!C90=1,'Grille de saisie'!BZ90=0),1,IF(AND('Grille de saisie'!C90=1,'Grille de saisie'!BZ90=1),2,IF(AND('Grille de saisie'!C90=2,'Grille de saisie'!BZ90=0),2,IF(AND('Grille de saisie'!C90=3,'Grille de saisie'!BZ90=0),3,IF(AND('Grille de saisie'!C90=2,'Grille de saisie'!BZ90=1),3,IF(AND('Grille de saisie'!C90=1,'Grille de saisie'!BZ90=2),3,IF(AND('Grille de saisie'!C90="",'Grille de saisie'!BZ90=""),5,IF(AND('Grille de saisie'!C90=5),5,4))))))))</f>
        <v>5</v>
      </c>
      <c r="CQ90" s="237">
        <f>IF('Grille de saisie'!BZ90="",3,IF('Grille de saisie'!C90=5,3,IF('Grille de saisie'!BZ90=0,1,2)))</f>
        <v>3</v>
      </c>
    </row>
    <row r="91" spans="1:95" ht="15">
      <c r="A91" s="510">
        <v>89</v>
      </c>
      <c r="B91" s="240"/>
      <c r="C91" s="513"/>
      <c r="D91" s="240"/>
      <c r="E91" s="517"/>
      <c r="F91" s="265"/>
      <c r="G91" s="513"/>
      <c r="H91" s="265"/>
      <c r="I91" s="520"/>
      <c r="J91" s="241"/>
      <c r="K91" s="520"/>
      <c r="L91" s="241"/>
      <c r="M91" s="521"/>
      <c r="N91" s="241"/>
      <c r="O91" s="521"/>
      <c r="P91" s="241"/>
      <c r="Q91" s="520"/>
      <c r="R91" s="241"/>
      <c r="S91" s="520"/>
      <c r="T91" s="241"/>
      <c r="U91" s="520"/>
      <c r="V91" s="241"/>
      <c r="W91" s="242"/>
      <c r="X91" s="241"/>
      <c r="Y91" s="242"/>
      <c r="Z91" s="241"/>
      <c r="AA91" s="241"/>
      <c r="AB91" s="275"/>
      <c r="AC91" s="524"/>
      <c r="AD91" s="241"/>
      <c r="AE91" s="241"/>
      <c r="AF91" s="241"/>
      <c r="AG91" s="241"/>
      <c r="AH91" s="241"/>
      <c r="AI91" s="241"/>
      <c r="AJ91" s="529"/>
      <c r="AK91" s="258"/>
      <c r="AL91" s="241"/>
      <c r="AM91" s="242"/>
      <c r="AN91" s="241"/>
      <c r="AO91" s="242"/>
      <c r="AP91" s="241"/>
      <c r="AQ91" s="242"/>
      <c r="AR91" s="241"/>
      <c r="AS91" s="242"/>
      <c r="AT91" s="241"/>
      <c r="AU91" s="241"/>
      <c r="AV91" s="256"/>
      <c r="AW91" s="241"/>
      <c r="AX91" s="256"/>
      <c r="AY91" s="241"/>
      <c r="AZ91" s="256"/>
      <c r="BA91" s="239"/>
      <c r="BB91" s="242"/>
      <c r="BC91" s="239"/>
      <c r="BD91" s="242"/>
      <c r="BE91" s="239"/>
      <c r="BF91" s="241"/>
      <c r="BG91" s="239"/>
      <c r="BH91" s="241"/>
      <c r="BI91" s="260"/>
      <c r="BJ91" s="241"/>
      <c r="BK91" s="260"/>
      <c r="BL91" s="239"/>
      <c r="BM91" s="256"/>
      <c r="BN91" s="241"/>
      <c r="BO91" s="243"/>
      <c r="BP91" s="241"/>
      <c r="BQ91" s="239"/>
      <c r="BR91" s="276"/>
      <c r="BS91" s="256"/>
      <c r="BT91" s="260"/>
      <c r="BU91" s="261"/>
      <c r="BV91" s="260"/>
      <c r="BW91" s="239"/>
      <c r="BX91" s="260"/>
      <c r="BY91" s="260"/>
      <c r="BZ91" s="239"/>
      <c r="CA91" s="260"/>
      <c r="CB91" s="239"/>
      <c r="CC91" s="260"/>
      <c r="CD91" s="539"/>
      <c r="CE91" s="239"/>
      <c r="CF91" s="276"/>
      <c r="CG91" s="256"/>
      <c r="CH91" s="259"/>
      <c r="CI91" s="347"/>
      <c r="CJ91" s="540"/>
      <c r="CK91" s="256"/>
      <c r="CL91" s="244">
        <v>1</v>
      </c>
      <c r="CM91" s="274">
        <f t="shared" si="1"/>
        <v>2015</v>
      </c>
      <c r="CN91" s="244">
        <f>IF('Grille de saisie'!CM91&lt;18,0,IF('Grille de saisie'!CM91&lt;40,1,IF('Grille de saisie'!CM91&lt;65,2,IF('Grille de saisie'!CM91&lt;100,3,4))))</f>
        <v>4</v>
      </c>
      <c r="CO91" s="236">
        <f>IF(AND('Grille de saisie'!C91=1,'Grille de saisie'!BZ91=0),1,IF(AND('Grille de saisie'!C91="",'Grille de saisie'!BZ91=""),3,IF(AND('Grille de saisie'!C91=5),3,2)))</f>
        <v>3</v>
      </c>
      <c r="CP91" s="236">
        <f>IF(AND('Grille de saisie'!C91=1,'Grille de saisie'!BZ91=0),1,IF(AND('Grille de saisie'!C91=1,'Grille de saisie'!BZ91=1),2,IF(AND('Grille de saisie'!C91=2,'Grille de saisie'!BZ91=0),2,IF(AND('Grille de saisie'!C91=3,'Grille de saisie'!BZ91=0),3,IF(AND('Grille de saisie'!C91=2,'Grille de saisie'!BZ91=1),3,IF(AND('Grille de saisie'!C91=1,'Grille de saisie'!BZ91=2),3,IF(AND('Grille de saisie'!C91="",'Grille de saisie'!BZ91=""),5,IF(AND('Grille de saisie'!C91=5),5,4))))))))</f>
        <v>5</v>
      </c>
      <c r="CQ91" s="237">
        <f>IF('Grille de saisie'!BZ91="",3,IF('Grille de saisie'!C91=5,3,IF('Grille de saisie'!BZ91=0,1,2)))</f>
        <v>3</v>
      </c>
    </row>
    <row r="92" spans="1:95" ht="15">
      <c r="A92" s="510">
        <v>90</v>
      </c>
      <c r="B92" s="240"/>
      <c r="C92" s="513"/>
      <c r="D92" s="240"/>
      <c r="E92" s="517"/>
      <c r="F92" s="265"/>
      <c r="G92" s="513"/>
      <c r="H92" s="265"/>
      <c r="I92" s="520"/>
      <c r="J92" s="241"/>
      <c r="K92" s="520"/>
      <c r="L92" s="241"/>
      <c r="M92" s="521"/>
      <c r="N92" s="241"/>
      <c r="O92" s="521"/>
      <c r="P92" s="241"/>
      <c r="Q92" s="520"/>
      <c r="R92" s="241"/>
      <c r="S92" s="520"/>
      <c r="T92" s="241"/>
      <c r="U92" s="520"/>
      <c r="V92" s="241"/>
      <c r="W92" s="242"/>
      <c r="X92" s="241"/>
      <c r="Y92" s="242"/>
      <c r="Z92" s="241"/>
      <c r="AA92" s="241"/>
      <c r="AB92" s="275"/>
      <c r="AC92" s="524"/>
      <c r="AD92" s="241"/>
      <c r="AE92" s="241"/>
      <c r="AF92" s="241"/>
      <c r="AG92" s="241"/>
      <c r="AH92" s="241"/>
      <c r="AI92" s="241"/>
      <c r="AJ92" s="529"/>
      <c r="AK92" s="258"/>
      <c r="AL92" s="241"/>
      <c r="AM92" s="242"/>
      <c r="AN92" s="241"/>
      <c r="AO92" s="242"/>
      <c r="AP92" s="241"/>
      <c r="AQ92" s="242"/>
      <c r="AR92" s="241"/>
      <c r="AS92" s="242"/>
      <c r="AT92" s="241"/>
      <c r="AU92" s="241"/>
      <c r="AV92" s="256"/>
      <c r="AW92" s="241"/>
      <c r="AX92" s="256"/>
      <c r="AY92" s="241"/>
      <c r="AZ92" s="256"/>
      <c r="BA92" s="239"/>
      <c r="BB92" s="242"/>
      <c r="BC92" s="239"/>
      <c r="BD92" s="242"/>
      <c r="BE92" s="239"/>
      <c r="BF92" s="241"/>
      <c r="BG92" s="239"/>
      <c r="BH92" s="241"/>
      <c r="BI92" s="260"/>
      <c r="BJ92" s="241"/>
      <c r="BK92" s="260"/>
      <c r="BL92" s="239"/>
      <c r="BM92" s="256"/>
      <c r="BN92" s="241"/>
      <c r="BO92" s="243"/>
      <c r="BP92" s="241"/>
      <c r="BQ92" s="239"/>
      <c r="BR92" s="276"/>
      <c r="BS92" s="256"/>
      <c r="BT92" s="260"/>
      <c r="BU92" s="261"/>
      <c r="BV92" s="260"/>
      <c r="BW92" s="239"/>
      <c r="BX92" s="260"/>
      <c r="BY92" s="260"/>
      <c r="BZ92" s="239"/>
      <c r="CA92" s="260"/>
      <c r="CB92" s="239"/>
      <c r="CC92" s="260"/>
      <c r="CD92" s="539"/>
      <c r="CE92" s="239"/>
      <c r="CF92" s="276"/>
      <c r="CG92" s="256"/>
      <c r="CH92" s="259"/>
      <c r="CI92" s="347"/>
      <c r="CJ92" s="540"/>
      <c r="CK92" s="256"/>
      <c r="CL92" s="244">
        <v>1</v>
      </c>
      <c r="CM92" s="274">
        <f t="shared" si="1"/>
        <v>2015</v>
      </c>
      <c r="CN92" s="244">
        <f>IF('Grille de saisie'!CM92&lt;18,0,IF('Grille de saisie'!CM92&lt;40,1,IF('Grille de saisie'!CM92&lt;65,2,IF('Grille de saisie'!CM92&lt;100,3,4))))</f>
        <v>4</v>
      </c>
      <c r="CO92" s="236">
        <f>IF(AND('Grille de saisie'!C92=1,'Grille de saisie'!BZ92=0),1,IF(AND('Grille de saisie'!C92="",'Grille de saisie'!BZ92=""),3,IF(AND('Grille de saisie'!C92=5),3,2)))</f>
        <v>3</v>
      </c>
      <c r="CP92" s="236">
        <f>IF(AND('Grille de saisie'!C92=1,'Grille de saisie'!BZ92=0),1,IF(AND('Grille de saisie'!C92=1,'Grille de saisie'!BZ92=1),2,IF(AND('Grille de saisie'!C92=2,'Grille de saisie'!BZ92=0),2,IF(AND('Grille de saisie'!C92=3,'Grille de saisie'!BZ92=0),3,IF(AND('Grille de saisie'!C92=2,'Grille de saisie'!BZ92=1),3,IF(AND('Grille de saisie'!C92=1,'Grille de saisie'!BZ92=2),3,IF(AND('Grille de saisie'!C92="",'Grille de saisie'!BZ92=""),5,IF(AND('Grille de saisie'!C92=5),5,4))))))))</f>
        <v>5</v>
      </c>
      <c r="CQ92" s="237">
        <f>IF('Grille de saisie'!BZ92="",3,IF('Grille de saisie'!C92=5,3,IF('Grille de saisie'!BZ92=0,1,2)))</f>
        <v>3</v>
      </c>
    </row>
    <row r="93" spans="1:95" ht="15">
      <c r="A93" s="511">
        <v>91</v>
      </c>
      <c r="B93" s="240"/>
      <c r="C93" s="513"/>
      <c r="D93" s="240"/>
      <c r="E93" s="517"/>
      <c r="F93" s="265"/>
      <c r="G93" s="513"/>
      <c r="H93" s="265"/>
      <c r="I93" s="520"/>
      <c r="J93" s="241"/>
      <c r="K93" s="520"/>
      <c r="L93" s="241"/>
      <c r="M93" s="521"/>
      <c r="N93" s="241"/>
      <c r="O93" s="521"/>
      <c r="P93" s="241"/>
      <c r="Q93" s="520"/>
      <c r="R93" s="241"/>
      <c r="S93" s="520"/>
      <c r="T93" s="241"/>
      <c r="U93" s="520"/>
      <c r="V93" s="241"/>
      <c r="W93" s="242"/>
      <c r="X93" s="241"/>
      <c r="Y93" s="242"/>
      <c r="Z93" s="241"/>
      <c r="AA93" s="241"/>
      <c r="AB93" s="275"/>
      <c r="AC93" s="524"/>
      <c r="AD93" s="241"/>
      <c r="AE93" s="241"/>
      <c r="AF93" s="241"/>
      <c r="AG93" s="241"/>
      <c r="AH93" s="241"/>
      <c r="AI93" s="241"/>
      <c r="AJ93" s="529"/>
      <c r="AK93" s="258"/>
      <c r="AL93" s="241"/>
      <c r="AM93" s="242"/>
      <c r="AN93" s="241"/>
      <c r="AO93" s="242"/>
      <c r="AP93" s="241"/>
      <c r="AQ93" s="242"/>
      <c r="AR93" s="241"/>
      <c r="AS93" s="242"/>
      <c r="AT93" s="241"/>
      <c r="AU93" s="241"/>
      <c r="AV93" s="256"/>
      <c r="AW93" s="241"/>
      <c r="AX93" s="256"/>
      <c r="AY93" s="241"/>
      <c r="AZ93" s="256"/>
      <c r="BA93" s="239"/>
      <c r="BB93" s="242"/>
      <c r="BC93" s="239"/>
      <c r="BD93" s="242"/>
      <c r="BE93" s="239"/>
      <c r="BF93" s="241"/>
      <c r="BG93" s="239"/>
      <c r="BH93" s="241"/>
      <c r="BI93" s="260"/>
      <c r="BJ93" s="241"/>
      <c r="BK93" s="260"/>
      <c r="BL93" s="239"/>
      <c r="BM93" s="256"/>
      <c r="BN93" s="241"/>
      <c r="BO93" s="243"/>
      <c r="BP93" s="241"/>
      <c r="BQ93" s="239"/>
      <c r="BR93" s="276"/>
      <c r="BS93" s="256"/>
      <c r="BT93" s="260"/>
      <c r="BU93" s="261"/>
      <c r="BV93" s="260"/>
      <c r="BW93" s="239"/>
      <c r="BX93" s="260"/>
      <c r="BY93" s="260"/>
      <c r="BZ93" s="239"/>
      <c r="CA93" s="260"/>
      <c r="CB93" s="239"/>
      <c r="CC93" s="260"/>
      <c r="CD93" s="539"/>
      <c r="CE93" s="239"/>
      <c r="CF93" s="276"/>
      <c r="CG93" s="256"/>
      <c r="CH93" s="259"/>
      <c r="CI93" s="347"/>
      <c r="CJ93" s="540"/>
      <c r="CK93" s="256"/>
      <c r="CL93" s="244">
        <v>1</v>
      </c>
      <c r="CM93" s="274">
        <f t="shared" si="1"/>
        <v>2015</v>
      </c>
      <c r="CN93" s="244">
        <f>IF('Grille de saisie'!CM93&lt;18,0,IF('Grille de saisie'!CM93&lt;40,1,IF('Grille de saisie'!CM93&lt;65,2,IF('Grille de saisie'!CM93&lt;100,3,4))))</f>
        <v>4</v>
      </c>
      <c r="CO93" s="236">
        <f>IF(AND('Grille de saisie'!C93=1,'Grille de saisie'!BZ93=0),1,IF(AND('Grille de saisie'!C93="",'Grille de saisie'!BZ93=""),3,IF(AND('Grille de saisie'!C93=5),3,2)))</f>
        <v>3</v>
      </c>
      <c r="CP93" s="236">
        <f>IF(AND('Grille de saisie'!C93=1,'Grille de saisie'!BZ93=0),1,IF(AND('Grille de saisie'!C93=1,'Grille de saisie'!BZ93=1),2,IF(AND('Grille de saisie'!C93=2,'Grille de saisie'!BZ93=0),2,IF(AND('Grille de saisie'!C93=3,'Grille de saisie'!BZ93=0),3,IF(AND('Grille de saisie'!C93=2,'Grille de saisie'!BZ93=1),3,IF(AND('Grille de saisie'!C93=1,'Grille de saisie'!BZ93=2),3,IF(AND('Grille de saisie'!C93="",'Grille de saisie'!BZ93=""),5,IF(AND('Grille de saisie'!C93=5),5,4))))))))</f>
        <v>5</v>
      </c>
      <c r="CQ93" s="237">
        <f>IF('Grille de saisie'!BZ93="",3,IF('Grille de saisie'!C93=5,3,IF('Grille de saisie'!BZ93=0,1,2)))</f>
        <v>3</v>
      </c>
    </row>
    <row r="94" spans="1:95" ht="15">
      <c r="A94" s="510">
        <v>92</v>
      </c>
      <c r="B94" s="240"/>
      <c r="C94" s="513"/>
      <c r="D94" s="240"/>
      <c r="E94" s="517"/>
      <c r="F94" s="265"/>
      <c r="G94" s="513"/>
      <c r="H94" s="265"/>
      <c r="I94" s="520"/>
      <c r="J94" s="241"/>
      <c r="K94" s="520"/>
      <c r="L94" s="241"/>
      <c r="M94" s="521"/>
      <c r="N94" s="241"/>
      <c r="O94" s="521"/>
      <c r="P94" s="241"/>
      <c r="Q94" s="520"/>
      <c r="R94" s="241"/>
      <c r="S94" s="520"/>
      <c r="T94" s="241"/>
      <c r="U94" s="520"/>
      <c r="V94" s="241"/>
      <c r="W94" s="242"/>
      <c r="X94" s="241"/>
      <c r="Y94" s="242"/>
      <c r="Z94" s="241"/>
      <c r="AA94" s="241"/>
      <c r="AB94" s="275"/>
      <c r="AC94" s="524"/>
      <c r="AD94" s="241"/>
      <c r="AE94" s="241"/>
      <c r="AF94" s="241"/>
      <c r="AG94" s="241"/>
      <c r="AH94" s="241"/>
      <c r="AI94" s="241"/>
      <c r="AJ94" s="529"/>
      <c r="AK94" s="258"/>
      <c r="AL94" s="241"/>
      <c r="AM94" s="242"/>
      <c r="AN94" s="241"/>
      <c r="AO94" s="242"/>
      <c r="AP94" s="241"/>
      <c r="AQ94" s="242"/>
      <c r="AR94" s="241"/>
      <c r="AS94" s="242"/>
      <c r="AT94" s="241"/>
      <c r="AU94" s="241"/>
      <c r="AV94" s="256"/>
      <c r="AW94" s="241"/>
      <c r="AX94" s="256"/>
      <c r="AY94" s="241"/>
      <c r="AZ94" s="256"/>
      <c r="BA94" s="239"/>
      <c r="BB94" s="242"/>
      <c r="BC94" s="239"/>
      <c r="BD94" s="242"/>
      <c r="BE94" s="239"/>
      <c r="BF94" s="241"/>
      <c r="BG94" s="239"/>
      <c r="BH94" s="241"/>
      <c r="BI94" s="260"/>
      <c r="BJ94" s="241"/>
      <c r="BK94" s="260"/>
      <c r="BL94" s="239"/>
      <c r="BM94" s="256"/>
      <c r="BN94" s="241"/>
      <c r="BO94" s="243"/>
      <c r="BP94" s="241"/>
      <c r="BQ94" s="239"/>
      <c r="BR94" s="276"/>
      <c r="BS94" s="256"/>
      <c r="BT94" s="260"/>
      <c r="BU94" s="261"/>
      <c r="BV94" s="260"/>
      <c r="BW94" s="239"/>
      <c r="BX94" s="260"/>
      <c r="BY94" s="260"/>
      <c r="BZ94" s="239"/>
      <c r="CA94" s="260"/>
      <c r="CB94" s="239"/>
      <c r="CC94" s="260"/>
      <c r="CD94" s="539"/>
      <c r="CE94" s="239"/>
      <c r="CF94" s="276"/>
      <c r="CG94" s="256"/>
      <c r="CH94" s="259"/>
      <c r="CI94" s="347"/>
      <c r="CJ94" s="540"/>
      <c r="CK94" s="256"/>
      <c r="CL94" s="244">
        <v>1</v>
      </c>
      <c r="CM94" s="274">
        <f t="shared" si="1"/>
        <v>2015</v>
      </c>
      <c r="CN94" s="244">
        <f>IF('Grille de saisie'!CM94&lt;18,0,IF('Grille de saisie'!CM94&lt;40,1,IF('Grille de saisie'!CM94&lt;65,2,IF('Grille de saisie'!CM94&lt;100,3,4))))</f>
        <v>4</v>
      </c>
      <c r="CO94" s="236">
        <f>IF(AND('Grille de saisie'!C94=1,'Grille de saisie'!BZ94=0),1,IF(AND('Grille de saisie'!C94="",'Grille de saisie'!BZ94=""),3,IF(AND('Grille de saisie'!C94=5),3,2)))</f>
        <v>3</v>
      </c>
      <c r="CP94" s="236">
        <f>IF(AND('Grille de saisie'!C94=1,'Grille de saisie'!BZ94=0),1,IF(AND('Grille de saisie'!C94=1,'Grille de saisie'!BZ94=1),2,IF(AND('Grille de saisie'!C94=2,'Grille de saisie'!BZ94=0),2,IF(AND('Grille de saisie'!C94=3,'Grille de saisie'!BZ94=0),3,IF(AND('Grille de saisie'!C94=2,'Grille de saisie'!BZ94=1),3,IF(AND('Grille de saisie'!C94=1,'Grille de saisie'!BZ94=2),3,IF(AND('Grille de saisie'!C94="",'Grille de saisie'!BZ94=""),5,IF(AND('Grille de saisie'!C94=5),5,4))))))))</f>
        <v>5</v>
      </c>
      <c r="CQ94" s="237">
        <f>IF('Grille de saisie'!BZ94="",3,IF('Grille de saisie'!C94=5,3,IF('Grille de saisie'!BZ94=0,1,2)))</f>
        <v>3</v>
      </c>
    </row>
    <row r="95" spans="1:95" ht="15">
      <c r="A95" s="510">
        <v>93</v>
      </c>
      <c r="B95" s="240"/>
      <c r="C95" s="513"/>
      <c r="D95" s="240"/>
      <c r="E95" s="517"/>
      <c r="F95" s="265"/>
      <c r="G95" s="513"/>
      <c r="H95" s="265"/>
      <c r="I95" s="520"/>
      <c r="J95" s="241"/>
      <c r="K95" s="520"/>
      <c r="L95" s="241"/>
      <c r="M95" s="521"/>
      <c r="N95" s="241"/>
      <c r="O95" s="521"/>
      <c r="P95" s="241"/>
      <c r="Q95" s="520"/>
      <c r="R95" s="241"/>
      <c r="S95" s="520"/>
      <c r="T95" s="241"/>
      <c r="U95" s="520"/>
      <c r="V95" s="241"/>
      <c r="W95" s="242"/>
      <c r="X95" s="241"/>
      <c r="Y95" s="242"/>
      <c r="Z95" s="241"/>
      <c r="AA95" s="241"/>
      <c r="AB95" s="275"/>
      <c r="AC95" s="524"/>
      <c r="AD95" s="241"/>
      <c r="AE95" s="241"/>
      <c r="AF95" s="241"/>
      <c r="AG95" s="241"/>
      <c r="AH95" s="241"/>
      <c r="AI95" s="241"/>
      <c r="AJ95" s="529"/>
      <c r="AK95" s="258"/>
      <c r="AL95" s="241"/>
      <c r="AM95" s="242"/>
      <c r="AN95" s="241"/>
      <c r="AO95" s="242"/>
      <c r="AP95" s="241"/>
      <c r="AQ95" s="242"/>
      <c r="AR95" s="241"/>
      <c r="AS95" s="242"/>
      <c r="AT95" s="241"/>
      <c r="AU95" s="241"/>
      <c r="AV95" s="256"/>
      <c r="AW95" s="241"/>
      <c r="AX95" s="256"/>
      <c r="AY95" s="241"/>
      <c r="AZ95" s="256"/>
      <c r="BA95" s="239"/>
      <c r="BB95" s="242"/>
      <c r="BC95" s="239"/>
      <c r="BD95" s="242"/>
      <c r="BE95" s="239"/>
      <c r="BF95" s="241"/>
      <c r="BG95" s="239"/>
      <c r="BH95" s="241"/>
      <c r="BI95" s="260"/>
      <c r="BJ95" s="241"/>
      <c r="BK95" s="260"/>
      <c r="BL95" s="239"/>
      <c r="BM95" s="256"/>
      <c r="BN95" s="241"/>
      <c r="BO95" s="243"/>
      <c r="BP95" s="241"/>
      <c r="BQ95" s="239"/>
      <c r="BR95" s="276"/>
      <c r="BS95" s="256"/>
      <c r="BT95" s="260"/>
      <c r="BU95" s="261"/>
      <c r="BV95" s="260"/>
      <c r="BW95" s="239"/>
      <c r="BX95" s="260"/>
      <c r="BY95" s="260"/>
      <c r="BZ95" s="239"/>
      <c r="CA95" s="260"/>
      <c r="CB95" s="239"/>
      <c r="CC95" s="260"/>
      <c r="CD95" s="539"/>
      <c r="CE95" s="239"/>
      <c r="CF95" s="276"/>
      <c r="CG95" s="256"/>
      <c r="CH95" s="259"/>
      <c r="CI95" s="347"/>
      <c r="CJ95" s="540"/>
      <c r="CK95" s="256"/>
      <c r="CL95" s="244">
        <v>1</v>
      </c>
      <c r="CM95" s="274">
        <f t="shared" si="1"/>
        <v>2015</v>
      </c>
      <c r="CN95" s="244">
        <f>IF('Grille de saisie'!CM95&lt;18,0,IF('Grille de saisie'!CM95&lt;40,1,IF('Grille de saisie'!CM95&lt;65,2,IF('Grille de saisie'!CM95&lt;100,3,4))))</f>
        <v>4</v>
      </c>
      <c r="CO95" s="236">
        <f>IF(AND('Grille de saisie'!C95=1,'Grille de saisie'!BZ95=0),1,IF(AND('Grille de saisie'!C95="",'Grille de saisie'!BZ95=""),3,IF(AND('Grille de saisie'!C95=5),3,2)))</f>
        <v>3</v>
      </c>
      <c r="CP95" s="236">
        <f>IF(AND('Grille de saisie'!C95=1,'Grille de saisie'!BZ95=0),1,IF(AND('Grille de saisie'!C95=1,'Grille de saisie'!BZ95=1),2,IF(AND('Grille de saisie'!C95=2,'Grille de saisie'!BZ95=0),2,IF(AND('Grille de saisie'!C95=3,'Grille de saisie'!BZ95=0),3,IF(AND('Grille de saisie'!C95=2,'Grille de saisie'!BZ95=1),3,IF(AND('Grille de saisie'!C95=1,'Grille de saisie'!BZ95=2),3,IF(AND('Grille de saisie'!C95="",'Grille de saisie'!BZ95=""),5,IF(AND('Grille de saisie'!C95=5),5,4))))))))</f>
        <v>5</v>
      </c>
      <c r="CQ95" s="237">
        <f>IF('Grille de saisie'!BZ95="",3,IF('Grille de saisie'!C95=5,3,IF('Grille de saisie'!BZ95=0,1,2)))</f>
        <v>3</v>
      </c>
    </row>
    <row r="96" spans="1:95" ht="15">
      <c r="A96" s="511">
        <v>94</v>
      </c>
      <c r="B96" s="240"/>
      <c r="C96" s="513"/>
      <c r="D96" s="240"/>
      <c r="E96" s="517"/>
      <c r="F96" s="265"/>
      <c r="G96" s="513"/>
      <c r="H96" s="265"/>
      <c r="I96" s="520"/>
      <c r="J96" s="241"/>
      <c r="K96" s="520"/>
      <c r="L96" s="241"/>
      <c r="M96" s="521"/>
      <c r="N96" s="241"/>
      <c r="O96" s="521"/>
      <c r="P96" s="241"/>
      <c r="Q96" s="520"/>
      <c r="R96" s="241"/>
      <c r="S96" s="520"/>
      <c r="T96" s="241"/>
      <c r="U96" s="520"/>
      <c r="V96" s="241"/>
      <c r="W96" s="242"/>
      <c r="X96" s="241"/>
      <c r="Y96" s="242"/>
      <c r="Z96" s="241"/>
      <c r="AA96" s="241"/>
      <c r="AB96" s="275"/>
      <c r="AC96" s="524"/>
      <c r="AD96" s="241"/>
      <c r="AE96" s="241"/>
      <c r="AF96" s="241"/>
      <c r="AG96" s="241"/>
      <c r="AH96" s="241"/>
      <c r="AI96" s="241"/>
      <c r="AJ96" s="529"/>
      <c r="AK96" s="258"/>
      <c r="AL96" s="241"/>
      <c r="AM96" s="242"/>
      <c r="AN96" s="241"/>
      <c r="AO96" s="242"/>
      <c r="AP96" s="241"/>
      <c r="AQ96" s="242"/>
      <c r="AR96" s="241"/>
      <c r="AS96" s="242"/>
      <c r="AT96" s="241"/>
      <c r="AU96" s="241"/>
      <c r="AV96" s="256"/>
      <c r="AW96" s="241"/>
      <c r="AX96" s="256"/>
      <c r="AY96" s="241"/>
      <c r="AZ96" s="256"/>
      <c r="BA96" s="239"/>
      <c r="BB96" s="242"/>
      <c r="BC96" s="239"/>
      <c r="BD96" s="242"/>
      <c r="BE96" s="239"/>
      <c r="BF96" s="241"/>
      <c r="BG96" s="239"/>
      <c r="BH96" s="241"/>
      <c r="BI96" s="260"/>
      <c r="BJ96" s="241"/>
      <c r="BK96" s="260"/>
      <c r="BL96" s="239"/>
      <c r="BM96" s="256"/>
      <c r="BN96" s="241"/>
      <c r="BO96" s="243"/>
      <c r="BP96" s="241"/>
      <c r="BQ96" s="239"/>
      <c r="BR96" s="276"/>
      <c r="BS96" s="256"/>
      <c r="BT96" s="260"/>
      <c r="BU96" s="261"/>
      <c r="BV96" s="260"/>
      <c r="BW96" s="239"/>
      <c r="BX96" s="260"/>
      <c r="BY96" s="260"/>
      <c r="BZ96" s="239"/>
      <c r="CA96" s="260"/>
      <c r="CB96" s="239"/>
      <c r="CC96" s="260"/>
      <c r="CD96" s="539"/>
      <c r="CE96" s="239"/>
      <c r="CF96" s="276"/>
      <c r="CG96" s="256"/>
      <c r="CH96" s="259"/>
      <c r="CI96" s="347"/>
      <c r="CJ96" s="540"/>
      <c r="CK96" s="256"/>
      <c r="CL96" s="244">
        <v>1</v>
      </c>
      <c r="CM96" s="274">
        <f t="shared" si="1"/>
        <v>2015</v>
      </c>
      <c r="CN96" s="244">
        <f>IF('Grille de saisie'!CM96&lt;18,0,IF('Grille de saisie'!CM96&lt;40,1,IF('Grille de saisie'!CM96&lt;65,2,IF('Grille de saisie'!CM96&lt;100,3,4))))</f>
        <v>4</v>
      </c>
      <c r="CO96" s="236">
        <f>IF(AND('Grille de saisie'!C96=1,'Grille de saisie'!BZ96=0),1,IF(AND('Grille de saisie'!C96="",'Grille de saisie'!BZ96=""),3,IF(AND('Grille de saisie'!C96=5),3,2)))</f>
        <v>3</v>
      </c>
      <c r="CP96" s="236">
        <f>IF(AND('Grille de saisie'!C96=1,'Grille de saisie'!BZ96=0),1,IF(AND('Grille de saisie'!C96=1,'Grille de saisie'!BZ96=1),2,IF(AND('Grille de saisie'!C96=2,'Grille de saisie'!BZ96=0),2,IF(AND('Grille de saisie'!C96=3,'Grille de saisie'!BZ96=0),3,IF(AND('Grille de saisie'!C96=2,'Grille de saisie'!BZ96=1),3,IF(AND('Grille de saisie'!C96=1,'Grille de saisie'!BZ96=2),3,IF(AND('Grille de saisie'!C96="",'Grille de saisie'!BZ96=""),5,IF(AND('Grille de saisie'!C96=5),5,4))))))))</f>
        <v>5</v>
      </c>
      <c r="CQ96" s="237">
        <f>IF('Grille de saisie'!BZ96="",3,IF('Grille de saisie'!C96=5,3,IF('Grille de saisie'!BZ96=0,1,2)))</f>
        <v>3</v>
      </c>
    </row>
    <row r="97" spans="1:95" ht="15">
      <c r="A97" s="510">
        <v>95</v>
      </c>
      <c r="B97" s="240"/>
      <c r="C97" s="513"/>
      <c r="D97" s="240"/>
      <c r="E97" s="517"/>
      <c r="F97" s="265"/>
      <c r="G97" s="513"/>
      <c r="H97" s="265"/>
      <c r="I97" s="520"/>
      <c r="J97" s="241"/>
      <c r="K97" s="520"/>
      <c r="L97" s="241"/>
      <c r="M97" s="521"/>
      <c r="N97" s="241"/>
      <c r="O97" s="521"/>
      <c r="P97" s="241"/>
      <c r="Q97" s="520"/>
      <c r="R97" s="241"/>
      <c r="S97" s="520"/>
      <c r="T97" s="241"/>
      <c r="U97" s="520"/>
      <c r="V97" s="241"/>
      <c r="W97" s="242"/>
      <c r="X97" s="241"/>
      <c r="Y97" s="242"/>
      <c r="Z97" s="241"/>
      <c r="AA97" s="241"/>
      <c r="AB97" s="275"/>
      <c r="AC97" s="524"/>
      <c r="AD97" s="241"/>
      <c r="AE97" s="241"/>
      <c r="AF97" s="241"/>
      <c r="AG97" s="241"/>
      <c r="AH97" s="241"/>
      <c r="AI97" s="241"/>
      <c r="AJ97" s="529"/>
      <c r="AK97" s="258"/>
      <c r="AL97" s="241"/>
      <c r="AM97" s="242"/>
      <c r="AN97" s="241"/>
      <c r="AO97" s="242"/>
      <c r="AP97" s="241"/>
      <c r="AQ97" s="242"/>
      <c r="AR97" s="241"/>
      <c r="AS97" s="242"/>
      <c r="AT97" s="241"/>
      <c r="AU97" s="241"/>
      <c r="AV97" s="256"/>
      <c r="AW97" s="241"/>
      <c r="AX97" s="256"/>
      <c r="AY97" s="241"/>
      <c r="AZ97" s="256"/>
      <c r="BA97" s="239"/>
      <c r="BB97" s="242"/>
      <c r="BC97" s="239"/>
      <c r="BD97" s="242"/>
      <c r="BE97" s="239"/>
      <c r="BF97" s="241"/>
      <c r="BG97" s="239"/>
      <c r="BH97" s="241"/>
      <c r="BI97" s="260"/>
      <c r="BJ97" s="241"/>
      <c r="BK97" s="260"/>
      <c r="BL97" s="239"/>
      <c r="BM97" s="256"/>
      <c r="BN97" s="241"/>
      <c r="BO97" s="243"/>
      <c r="BP97" s="241"/>
      <c r="BQ97" s="239"/>
      <c r="BR97" s="276"/>
      <c r="BS97" s="256"/>
      <c r="BT97" s="260"/>
      <c r="BU97" s="261"/>
      <c r="BV97" s="260"/>
      <c r="BW97" s="239"/>
      <c r="BX97" s="260"/>
      <c r="BY97" s="260"/>
      <c r="BZ97" s="239"/>
      <c r="CA97" s="260"/>
      <c r="CB97" s="239"/>
      <c r="CC97" s="260"/>
      <c r="CD97" s="539"/>
      <c r="CE97" s="239"/>
      <c r="CF97" s="276"/>
      <c r="CG97" s="256"/>
      <c r="CH97" s="259"/>
      <c r="CI97" s="347"/>
      <c r="CJ97" s="540"/>
      <c r="CK97" s="256"/>
      <c r="CL97" s="244">
        <v>1</v>
      </c>
      <c r="CM97" s="274">
        <f t="shared" si="1"/>
        <v>2015</v>
      </c>
      <c r="CN97" s="244">
        <f>IF('Grille de saisie'!CM97&lt;18,0,IF('Grille de saisie'!CM97&lt;40,1,IF('Grille de saisie'!CM97&lt;65,2,IF('Grille de saisie'!CM97&lt;100,3,4))))</f>
        <v>4</v>
      </c>
      <c r="CO97" s="236">
        <f>IF(AND('Grille de saisie'!C97=1,'Grille de saisie'!BZ97=0),1,IF(AND('Grille de saisie'!C97="",'Grille de saisie'!BZ97=""),3,IF(AND('Grille de saisie'!C97=5),3,2)))</f>
        <v>3</v>
      </c>
      <c r="CP97" s="236">
        <f>IF(AND('Grille de saisie'!C97=1,'Grille de saisie'!BZ97=0),1,IF(AND('Grille de saisie'!C97=1,'Grille de saisie'!BZ97=1),2,IF(AND('Grille de saisie'!C97=2,'Grille de saisie'!BZ97=0),2,IF(AND('Grille de saisie'!C97=3,'Grille de saisie'!BZ97=0),3,IF(AND('Grille de saisie'!C97=2,'Grille de saisie'!BZ97=1),3,IF(AND('Grille de saisie'!C97=1,'Grille de saisie'!BZ97=2),3,IF(AND('Grille de saisie'!C97="",'Grille de saisie'!BZ97=""),5,IF(AND('Grille de saisie'!C97=5),5,4))))))))</f>
        <v>5</v>
      </c>
      <c r="CQ97" s="237">
        <f>IF('Grille de saisie'!BZ97="",3,IF('Grille de saisie'!C97=5,3,IF('Grille de saisie'!BZ97=0,1,2)))</f>
        <v>3</v>
      </c>
    </row>
    <row r="98" spans="1:95" ht="15">
      <c r="A98" s="510">
        <v>96</v>
      </c>
      <c r="B98" s="240"/>
      <c r="C98" s="513"/>
      <c r="D98" s="240"/>
      <c r="E98" s="517"/>
      <c r="F98" s="265"/>
      <c r="G98" s="513"/>
      <c r="H98" s="265"/>
      <c r="I98" s="520"/>
      <c r="J98" s="241"/>
      <c r="K98" s="520"/>
      <c r="L98" s="241"/>
      <c r="M98" s="521"/>
      <c r="N98" s="241"/>
      <c r="O98" s="521"/>
      <c r="P98" s="241"/>
      <c r="Q98" s="520"/>
      <c r="R98" s="241"/>
      <c r="S98" s="520"/>
      <c r="T98" s="241"/>
      <c r="U98" s="520"/>
      <c r="V98" s="241"/>
      <c r="W98" s="242"/>
      <c r="X98" s="241"/>
      <c r="Y98" s="242"/>
      <c r="Z98" s="241"/>
      <c r="AA98" s="241"/>
      <c r="AB98" s="275"/>
      <c r="AC98" s="524"/>
      <c r="AD98" s="241"/>
      <c r="AE98" s="241"/>
      <c r="AF98" s="241"/>
      <c r="AG98" s="241"/>
      <c r="AH98" s="241"/>
      <c r="AI98" s="241"/>
      <c r="AJ98" s="529"/>
      <c r="AK98" s="258"/>
      <c r="AL98" s="241"/>
      <c r="AM98" s="242"/>
      <c r="AN98" s="241"/>
      <c r="AO98" s="242"/>
      <c r="AP98" s="241"/>
      <c r="AQ98" s="242"/>
      <c r="AR98" s="241"/>
      <c r="AS98" s="242"/>
      <c r="AT98" s="241"/>
      <c r="AU98" s="241"/>
      <c r="AV98" s="256"/>
      <c r="AW98" s="241"/>
      <c r="AX98" s="256"/>
      <c r="AY98" s="241"/>
      <c r="AZ98" s="256"/>
      <c r="BA98" s="239"/>
      <c r="BB98" s="242"/>
      <c r="BC98" s="239"/>
      <c r="BD98" s="242"/>
      <c r="BE98" s="239"/>
      <c r="BF98" s="241"/>
      <c r="BG98" s="239"/>
      <c r="BH98" s="241"/>
      <c r="BI98" s="260"/>
      <c r="BJ98" s="241"/>
      <c r="BK98" s="260"/>
      <c r="BL98" s="239"/>
      <c r="BM98" s="256"/>
      <c r="BN98" s="241"/>
      <c r="BO98" s="243"/>
      <c r="BP98" s="241"/>
      <c r="BQ98" s="239"/>
      <c r="BR98" s="276"/>
      <c r="BS98" s="256"/>
      <c r="BT98" s="260"/>
      <c r="BU98" s="261"/>
      <c r="BV98" s="260"/>
      <c r="BW98" s="239"/>
      <c r="BX98" s="260"/>
      <c r="BY98" s="260"/>
      <c r="BZ98" s="239"/>
      <c r="CA98" s="260"/>
      <c r="CB98" s="239"/>
      <c r="CC98" s="260"/>
      <c r="CD98" s="539"/>
      <c r="CE98" s="239"/>
      <c r="CF98" s="276"/>
      <c r="CG98" s="256"/>
      <c r="CH98" s="259"/>
      <c r="CI98" s="347"/>
      <c r="CJ98" s="540"/>
      <c r="CK98" s="256"/>
      <c r="CL98" s="244">
        <v>1</v>
      </c>
      <c r="CM98" s="274">
        <f t="shared" si="1"/>
        <v>2015</v>
      </c>
      <c r="CN98" s="244">
        <f>IF('Grille de saisie'!CM98&lt;18,0,IF('Grille de saisie'!CM98&lt;40,1,IF('Grille de saisie'!CM98&lt;65,2,IF('Grille de saisie'!CM98&lt;100,3,4))))</f>
        <v>4</v>
      </c>
      <c r="CO98" s="236">
        <f>IF(AND('Grille de saisie'!C98=1,'Grille de saisie'!BZ98=0),1,IF(AND('Grille de saisie'!C98="",'Grille de saisie'!BZ98=""),3,IF(AND('Grille de saisie'!C98=5),3,2)))</f>
        <v>3</v>
      </c>
      <c r="CP98" s="236">
        <f>IF(AND('Grille de saisie'!C98=1,'Grille de saisie'!BZ98=0),1,IF(AND('Grille de saisie'!C98=1,'Grille de saisie'!BZ98=1),2,IF(AND('Grille de saisie'!C98=2,'Grille de saisie'!BZ98=0),2,IF(AND('Grille de saisie'!C98=3,'Grille de saisie'!BZ98=0),3,IF(AND('Grille de saisie'!C98=2,'Grille de saisie'!BZ98=1),3,IF(AND('Grille de saisie'!C98=1,'Grille de saisie'!BZ98=2),3,IF(AND('Grille de saisie'!C98="",'Grille de saisie'!BZ98=""),5,IF(AND('Grille de saisie'!C98=5),5,4))))))))</f>
        <v>5</v>
      </c>
      <c r="CQ98" s="237">
        <f>IF('Grille de saisie'!BZ98="",3,IF('Grille de saisie'!C98=5,3,IF('Grille de saisie'!BZ98=0,1,2)))</f>
        <v>3</v>
      </c>
    </row>
    <row r="99" spans="1:95" ht="15">
      <c r="A99" s="511">
        <v>97</v>
      </c>
      <c r="B99" s="240"/>
      <c r="C99" s="513"/>
      <c r="D99" s="240"/>
      <c r="E99" s="517"/>
      <c r="F99" s="265"/>
      <c r="G99" s="513"/>
      <c r="H99" s="265"/>
      <c r="I99" s="520"/>
      <c r="J99" s="241"/>
      <c r="K99" s="520"/>
      <c r="L99" s="241"/>
      <c r="M99" s="521"/>
      <c r="N99" s="241"/>
      <c r="O99" s="521"/>
      <c r="P99" s="241"/>
      <c r="Q99" s="520"/>
      <c r="R99" s="241"/>
      <c r="S99" s="520"/>
      <c r="T99" s="241"/>
      <c r="U99" s="520"/>
      <c r="V99" s="241"/>
      <c r="W99" s="242"/>
      <c r="X99" s="241"/>
      <c r="Y99" s="242"/>
      <c r="Z99" s="241"/>
      <c r="AA99" s="241"/>
      <c r="AB99" s="275"/>
      <c r="AC99" s="524"/>
      <c r="AD99" s="241"/>
      <c r="AE99" s="241"/>
      <c r="AF99" s="241"/>
      <c r="AG99" s="241"/>
      <c r="AH99" s="241"/>
      <c r="AI99" s="241"/>
      <c r="AJ99" s="529"/>
      <c r="AK99" s="258"/>
      <c r="AL99" s="241"/>
      <c r="AM99" s="242"/>
      <c r="AN99" s="241"/>
      <c r="AO99" s="242"/>
      <c r="AP99" s="241"/>
      <c r="AQ99" s="242"/>
      <c r="AR99" s="241"/>
      <c r="AS99" s="242"/>
      <c r="AT99" s="241"/>
      <c r="AU99" s="241"/>
      <c r="AV99" s="256"/>
      <c r="AW99" s="241"/>
      <c r="AX99" s="256"/>
      <c r="AY99" s="241"/>
      <c r="AZ99" s="256"/>
      <c r="BA99" s="239"/>
      <c r="BB99" s="242"/>
      <c r="BC99" s="239"/>
      <c r="BD99" s="242"/>
      <c r="BE99" s="239"/>
      <c r="BF99" s="241"/>
      <c r="BG99" s="239"/>
      <c r="BH99" s="241"/>
      <c r="BI99" s="260"/>
      <c r="BJ99" s="241"/>
      <c r="BK99" s="260"/>
      <c r="BL99" s="239"/>
      <c r="BM99" s="256"/>
      <c r="BN99" s="241"/>
      <c r="BO99" s="243"/>
      <c r="BP99" s="241"/>
      <c r="BQ99" s="239"/>
      <c r="BR99" s="276"/>
      <c r="BS99" s="256"/>
      <c r="BT99" s="260"/>
      <c r="BU99" s="261"/>
      <c r="BV99" s="260"/>
      <c r="BW99" s="239"/>
      <c r="BX99" s="260"/>
      <c r="BY99" s="260"/>
      <c r="BZ99" s="239"/>
      <c r="CA99" s="260"/>
      <c r="CB99" s="239"/>
      <c r="CC99" s="260"/>
      <c r="CD99" s="539"/>
      <c r="CE99" s="239"/>
      <c r="CF99" s="276"/>
      <c r="CG99" s="256"/>
      <c r="CH99" s="259"/>
      <c r="CI99" s="347"/>
      <c r="CJ99" s="540"/>
      <c r="CK99" s="256"/>
      <c r="CL99" s="244">
        <v>1</v>
      </c>
      <c r="CM99" s="274">
        <f t="shared" si="1"/>
        <v>2015</v>
      </c>
      <c r="CN99" s="244">
        <f>IF('Grille de saisie'!CM99&lt;18,0,IF('Grille de saisie'!CM99&lt;40,1,IF('Grille de saisie'!CM99&lt;65,2,IF('Grille de saisie'!CM99&lt;100,3,4))))</f>
        <v>4</v>
      </c>
      <c r="CO99" s="236">
        <f>IF(AND('Grille de saisie'!C99=1,'Grille de saisie'!BZ99=0),1,IF(AND('Grille de saisie'!C99="",'Grille de saisie'!BZ99=""),3,IF(AND('Grille de saisie'!C99=5),3,2)))</f>
        <v>3</v>
      </c>
      <c r="CP99" s="236">
        <f>IF(AND('Grille de saisie'!C99=1,'Grille de saisie'!BZ99=0),1,IF(AND('Grille de saisie'!C99=1,'Grille de saisie'!BZ99=1),2,IF(AND('Grille de saisie'!C99=2,'Grille de saisie'!BZ99=0),2,IF(AND('Grille de saisie'!C99=3,'Grille de saisie'!BZ99=0),3,IF(AND('Grille de saisie'!C99=2,'Grille de saisie'!BZ99=1),3,IF(AND('Grille de saisie'!C99=1,'Grille de saisie'!BZ99=2),3,IF(AND('Grille de saisie'!C99="",'Grille de saisie'!BZ99=""),5,IF(AND('Grille de saisie'!C99=5),5,4))))))))</f>
        <v>5</v>
      </c>
      <c r="CQ99" s="237">
        <f>IF('Grille de saisie'!BZ99="",3,IF('Grille de saisie'!C99=5,3,IF('Grille de saisie'!BZ99=0,1,2)))</f>
        <v>3</v>
      </c>
    </row>
    <row r="100" spans="1:95" ht="15">
      <c r="A100" s="510">
        <v>98</v>
      </c>
      <c r="B100" s="240"/>
      <c r="C100" s="513"/>
      <c r="D100" s="240"/>
      <c r="E100" s="517"/>
      <c r="F100" s="265"/>
      <c r="G100" s="513"/>
      <c r="H100" s="265"/>
      <c r="I100" s="520"/>
      <c r="J100" s="241"/>
      <c r="K100" s="520"/>
      <c r="L100" s="241"/>
      <c r="M100" s="521"/>
      <c r="N100" s="241"/>
      <c r="O100" s="521"/>
      <c r="P100" s="241"/>
      <c r="Q100" s="520"/>
      <c r="R100" s="241"/>
      <c r="S100" s="520"/>
      <c r="T100" s="241"/>
      <c r="U100" s="520"/>
      <c r="V100" s="241"/>
      <c r="W100" s="242"/>
      <c r="X100" s="241"/>
      <c r="Y100" s="242"/>
      <c r="Z100" s="241"/>
      <c r="AA100" s="241"/>
      <c r="AB100" s="275"/>
      <c r="AC100" s="524"/>
      <c r="AD100" s="241"/>
      <c r="AE100" s="241"/>
      <c r="AF100" s="241"/>
      <c r="AG100" s="241"/>
      <c r="AH100" s="241"/>
      <c r="AI100" s="241"/>
      <c r="AJ100" s="529"/>
      <c r="AK100" s="258"/>
      <c r="AL100" s="241"/>
      <c r="AM100" s="242"/>
      <c r="AN100" s="241"/>
      <c r="AO100" s="242"/>
      <c r="AP100" s="241"/>
      <c r="AQ100" s="242"/>
      <c r="AR100" s="241"/>
      <c r="AS100" s="242"/>
      <c r="AT100" s="241"/>
      <c r="AU100" s="241"/>
      <c r="AV100" s="256"/>
      <c r="AW100" s="241"/>
      <c r="AX100" s="256"/>
      <c r="AY100" s="241"/>
      <c r="AZ100" s="256"/>
      <c r="BA100" s="239"/>
      <c r="BB100" s="242"/>
      <c r="BC100" s="239"/>
      <c r="BD100" s="242"/>
      <c r="BE100" s="239"/>
      <c r="BF100" s="241"/>
      <c r="BG100" s="239"/>
      <c r="BH100" s="241"/>
      <c r="BI100" s="260"/>
      <c r="BJ100" s="241"/>
      <c r="BK100" s="260"/>
      <c r="BL100" s="239"/>
      <c r="BM100" s="256"/>
      <c r="BN100" s="241"/>
      <c r="BO100" s="243"/>
      <c r="BP100" s="241"/>
      <c r="BQ100" s="239"/>
      <c r="BR100" s="276"/>
      <c r="BS100" s="256"/>
      <c r="BT100" s="260"/>
      <c r="BU100" s="261"/>
      <c r="BV100" s="260"/>
      <c r="BW100" s="239"/>
      <c r="BX100" s="260"/>
      <c r="BY100" s="260"/>
      <c r="BZ100" s="239"/>
      <c r="CA100" s="260"/>
      <c r="CB100" s="239"/>
      <c r="CC100" s="260"/>
      <c r="CD100" s="539"/>
      <c r="CE100" s="239"/>
      <c r="CF100" s="276"/>
      <c r="CG100" s="256"/>
      <c r="CH100" s="259"/>
      <c r="CI100" s="347"/>
      <c r="CJ100" s="540"/>
      <c r="CK100" s="256"/>
      <c r="CL100" s="244">
        <v>1</v>
      </c>
      <c r="CM100" s="274">
        <f t="shared" si="1"/>
        <v>2015</v>
      </c>
      <c r="CN100" s="244">
        <f>IF('Grille de saisie'!CM100&lt;18,0,IF('Grille de saisie'!CM100&lt;40,1,IF('Grille de saisie'!CM100&lt;65,2,IF('Grille de saisie'!CM100&lt;100,3,4))))</f>
        <v>4</v>
      </c>
      <c r="CO100" s="236">
        <f>IF(AND('Grille de saisie'!C100=1,'Grille de saisie'!BZ100=0),1,IF(AND('Grille de saisie'!C100="",'Grille de saisie'!BZ100=""),3,IF(AND('Grille de saisie'!C100=5),3,2)))</f>
        <v>3</v>
      </c>
      <c r="CP100" s="236">
        <f>IF(AND('Grille de saisie'!C100=1,'Grille de saisie'!BZ100=0),1,IF(AND('Grille de saisie'!C100=1,'Grille de saisie'!BZ100=1),2,IF(AND('Grille de saisie'!C100=2,'Grille de saisie'!BZ100=0),2,IF(AND('Grille de saisie'!C100=3,'Grille de saisie'!BZ100=0),3,IF(AND('Grille de saisie'!C100=2,'Grille de saisie'!BZ100=1),3,IF(AND('Grille de saisie'!C100=1,'Grille de saisie'!BZ100=2),3,IF(AND('Grille de saisie'!C100="",'Grille de saisie'!BZ100=""),5,IF(AND('Grille de saisie'!C100=5),5,4))))))))</f>
        <v>5</v>
      </c>
      <c r="CQ100" s="237">
        <f>IF('Grille de saisie'!BZ100="",3,IF('Grille de saisie'!C100=5,3,IF('Grille de saisie'!BZ100=0,1,2)))</f>
        <v>3</v>
      </c>
    </row>
    <row r="101" spans="1:95" ht="15">
      <c r="A101" s="510">
        <v>99</v>
      </c>
      <c r="B101" s="240"/>
      <c r="C101" s="513"/>
      <c r="D101" s="240"/>
      <c r="E101" s="517"/>
      <c r="F101" s="265"/>
      <c r="G101" s="513"/>
      <c r="H101" s="265"/>
      <c r="I101" s="520"/>
      <c r="J101" s="241"/>
      <c r="K101" s="520"/>
      <c r="L101" s="241"/>
      <c r="M101" s="521"/>
      <c r="N101" s="241"/>
      <c r="O101" s="521"/>
      <c r="P101" s="241"/>
      <c r="Q101" s="520"/>
      <c r="R101" s="241"/>
      <c r="S101" s="520"/>
      <c r="T101" s="241"/>
      <c r="U101" s="520"/>
      <c r="V101" s="241"/>
      <c r="W101" s="242"/>
      <c r="X101" s="241"/>
      <c r="Y101" s="242"/>
      <c r="Z101" s="241"/>
      <c r="AA101" s="241"/>
      <c r="AB101" s="275"/>
      <c r="AC101" s="524"/>
      <c r="AD101" s="241"/>
      <c r="AE101" s="241"/>
      <c r="AF101" s="241"/>
      <c r="AG101" s="241"/>
      <c r="AH101" s="241"/>
      <c r="AI101" s="241"/>
      <c r="AJ101" s="529"/>
      <c r="AK101" s="258"/>
      <c r="AL101" s="241"/>
      <c r="AM101" s="242"/>
      <c r="AN101" s="241"/>
      <c r="AO101" s="242"/>
      <c r="AP101" s="241"/>
      <c r="AQ101" s="242"/>
      <c r="AR101" s="241"/>
      <c r="AS101" s="242"/>
      <c r="AT101" s="241"/>
      <c r="AU101" s="241"/>
      <c r="AV101" s="256"/>
      <c r="AW101" s="241"/>
      <c r="AX101" s="256"/>
      <c r="AY101" s="241"/>
      <c r="AZ101" s="256"/>
      <c r="BA101" s="239"/>
      <c r="BB101" s="242"/>
      <c r="BC101" s="239"/>
      <c r="BD101" s="242"/>
      <c r="BE101" s="239"/>
      <c r="BF101" s="241"/>
      <c r="BG101" s="239"/>
      <c r="BH101" s="241"/>
      <c r="BI101" s="260"/>
      <c r="BJ101" s="241"/>
      <c r="BK101" s="260"/>
      <c r="BL101" s="239"/>
      <c r="BM101" s="256"/>
      <c r="BN101" s="241"/>
      <c r="BO101" s="243"/>
      <c r="BP101" s="241"/>
      <c r="BQ101" s="239"/>
      <c r="BR101" s="276"/>
      <c r="BS101" s="256"/>
      <c r="BT101" s="260"/>
      <c r="BU101" s="261"/>
      <c r="BV101" s="260"/>
      <c r="BW101" s="239"/>
      <c r="BX101" s="260"/>
      <c r="BY101" s="260"/>
      <c r="BZ101" s="239"/>
      <c r="CA101" s="260"/>
      <c r="CB101" s="239"/>
      <c r="CC101" s="260"/>
      <c r="CD101" s="539"/>
      <c r="CE101" s="239"/>
      <c r="CF101" s="276"/>
      <c r="CG101" s="256"/>
      <c r="CH101" s="259"/>
      <c r="CI101" s="347"/>
      <c r="CJ101" s="540"/>
      <c r="CK101" s="256"/>
      <c r="CL101" s="244">
        <v>1</v>
      </c>
      <c r="CM101" s="274">
        <f t="shared" si="1"/>
        <v>2015</v>
      </c>
      <c r="CN101" s="244">
        <f>IF('Grille de saisie'!CM101&lt;18,0,IF('Grille de saisie'!CM101&lt;40,1,IF('Grille de saisie'!CM101&lt;65,2,IF('Grille de saisie'!CM101&lt;100,3,4))))</f>
        <v>4</v>
      </c>
      <c r="CO101" s="236">
        <f>IF(AND('Grille de saisie'!C101=1,'Grille de saisie'!BZ101=0),1,IF(AND('Grille de saisie'!C101="",'Grille de saisie'!BZ101=""),3,IF(AND('Grille de saisie'!C101=5),3,2)))</f>
        <v>3</v>
      </c>
      <c r="CP101" s="236">
        <f>IF(AND('Grille de saisie'!C101=1,'Grille de saisie'!BZ101=0),1,IF(AND('Grille de saisie'!C101=1,'Grille de saisie'!BZ101=1),2,IF(AND('Grille de saisie'!C101=2,'Grille de saisie'!BZ101=0),2,IF(AND('Grille de saisie'!C101=3,'Grille de saisie'!BZ101=0),3,IF(AND('Grille de saisie'!C101=2,'Grille de saisie'!BZ101=1),3,IF(AND('Grille de saisie'!C101=1,'Grille de saisie'!BZ101=2),3,IF(AND('Grille de saisie'!C101="",'Grille de saisie'!BZ101=""),5,IF(AND('Grille de saisie'!C101=5),5,4))))))))</f>
        <v>5</v>
      </c>
      <c r="CQ101" s="237">
        <f>IF('Grille de saisie'!BZ101="",3,IF('Grille de saisie'!C101=5,3,IF('Grille de saisie'!BZ101=0,1,2)))</f>
        <v>3</v>
      </c>
    </row>
    <row r="102" spans="1:95" ht="15">
      <c r="A102" s="511">
        <v>100</v>
      </c>
      <c r="B102" s="240"/>
      <c r="C102" s="513"/>
      <c r="D102" s="240"/>
      <c r="E102" s="517"/>
      <c r="F102" s="265"/>
      <c r="G102" s="513"/>
      <c r="H102" s="265"/>
      <c r="I102" s="520"/>
      <c r="J102" s="241"/>
      <c r="K102" s="520"/>
      <c r="L102" s="241"/>
      <c r="M102" s="521"/>
      <c r="N102" s="241"/>
      <c r="O102" s="521"/>
      <c r="P102" s="241"/>
      <c r="Q102" s="520"/>
      <c r="R102" s="241"/>
      <c r="S102" s="520"/>
      <c r="T102" s="241"/>
      <c r="U102" s="520"/>
      <c r="V102" s="241"/>
      <c r="W102" s="242"/>
      <c r="X102" s="241"/>
      <c r="Y102" s="242"/>
      <c r="Z102" s="241"/>
      <c r="AA102" s="241"/>
      <c r="AB102" s="275"/>
      <c r="AC102" s="524"/>
      <c r="AD102" s="241"/>
      <c r="AE102" s="241"/>
      <c r="AF102" s="241"/>
      <c r="AG102" s="241"/>
      <c r="AH102" s="241"/>
      <c r="AI102" s="241"/>
      <c r="AJ102" s="529"/>
      <c r="AK102" s="258"/>
      <c r="AL102" s="241"/>
      <c r="AM102" s="242"/>
      <c r="AN102" s="241"/>
      <c r="AO102" s="242"/>
      <c r="AP102" s="241"/>
      <c r="AQ102" s="242"/>
      <c r="AR102" s="241"/>
      <c r="AS102" s="242"/>
      <c r="AT102" s="241"/>
      <c r="AU102" s="241"/>
      <c r="AV102" s="256"/>
      <c r="AW102" s="241"/>
      <c r="AX102" s="256"/>
      <c r="AY102" s="241"/>
      <c r="AZ102" s="256"/>
      <c r="BA102" s="239"/>
      <c r="BB102" s="242"/>
      <c r="BC102" s="239"/>
      <c r="BD102" s="242"/>
      <c r="BE102" s="239"/>
      <c r="BF102" s="241"/>
      <c r="BG102" s="239"/>
      <c r="BH102" s="241"/>
      <c r="BI102" s="260"/>
      <c r="BJ102" s="241"/>
      <c r="BK102" s="260"/>
      <c r="BL102" s="239"/>
      <c r="BM102" s="256"/>
      <c r="BN102" s="241"/>
      <c r="BO102" s="243"/>
      <c r="BP102" s="241"/>
      <c r="BQ102" s="239"/>
      <c r="BR102" s="276"/>
      <c r="BS102" s="256"/>
      <c r="BT102" s="260"/>
      <c r="BU102" s="261"/>
      <c r="BV102" s="260"/>
      <c r="BW102" s="239"/>
      <c r="BX102" s="260"/>
      <c r="BY102" s="260"/>
      <c r="BZ102" s="239"/>
      <c r="CA102" s="260"/>
      <c r="CB102" s="239"/>
      <c r="CC102" s="260"/>
      <c r="CD102" s="539"/>
      <c r="CE102" s="239"/>
      <c r="CF102" s="276"/>
      <c r="CG102" s="256"/>
      <c r="CH102" s="259"/>
      <c r="CI102" s="347"/>
      <c r="CJ102" s="540"/>
      <c r="CK102" s="256"/>
      <c r="CL102" s="244">
        <v>1</v>
      </c>
      <c r="CM102" s="274">
        <f t="shared" si="1"/>
        <v>2015</v>
      </c>
      <c r="CN102" s="244">
        <f>IF('Grille de saisie'!CM102&lt;18,0,IF('Grille de saisie'!CM102&lt;40,1,IF('Grille de saisie'!CM102&lt;65,2,IF('Grille de saisie'!CM102&lt;100,3,4))))</f>
        <v>4</v>
      </c>
      <c r="CO102" s="236">
        <f>IF(AND('Grille de saisie'!C102=1,'Grille de saisie'!BZ102=0),1,IF(AND('Grille de saisie'!C102="",'Grille de saisie'!BZ102=""),3,IF(AND('Grille de saisie'!C102=5),3,2)))</f>
        <v>3</v>
      </c>
      <c r="CP102" s="236">
        <f>IF(AND('Grille de saisie'!C102=1,'Grille de saisie'!BZ102=0),1,IF(AND('Grille de saisie'!C102=1,'Grille de saisie'!BZ102=1),2,IF(AND('Grille de saisie'!C102=2,'Grille de saisie'!BZ102=0),2,IF(AND('Grille de saisie'!C102=3,'Grille de saisie'!BZ102=0),3,IF(AND('Grille de saisie'!C102=2,'Grille de saisie'!BZ102=1),3,IF(AND('Grille de saisie'!C102=1,'Grille de saisie'!BZ102=2),3,IF(AND('Grille de saisie'!C102="",'Grille de saisie'!BZ102=""),5,IF(AND('Grille de saisie'!C102=5),5,4))))))))</f>
        <v>5</v>
      </c>
      <c r="CQ102" s="237">
        <f>IF('Grille de saisie'!BZ102="",3,IF('Grille de saisie'!C102=5,3,IF('Grille de saisie'!BZ102=0,1,2)))</f>
        <v>3</v>
      </c>
    </row>
    <row r="103" spans="1:95" ht="15">
      <c r="A103" s="510">
        <v>101</v>
      </c>
      <c r="B103" s="240"/>
      <c r="C103" s="513"/>
      <c r="D103" s="240"/>
      <c r="E103" s="517"/>
      <c r="F103" s="265"/>
      <c r="G103" s="513"/>
      <c r="H103" s="265"/>
      <c r="I103" s="520"/>
      <c r="J103" s="241"/>
      <c r="K103" s="520"/>
      <c r="L103" s="241"/>
      <c r="M103" s="521"/>
      <c r="N103" s="241"/>
      <c r="O103" s="521"/>
      <c r="P103" s="241"/>
      <c r="Q103" s="520"/>
      <c r="R103" s="241"/>
      <c r="S103" s="520"/>
      <c r="T103" s="241"/>
      <c r="U103" s="520"/>
      <c r="V103" s="241"/>
      <c r="W103" s="242"/>
      <c r="X103" s="241"/>
      <c r="Y103" s="242"/>
      <c r="Z103" s="241"/>
      <c r="AA103" s="241"/>
      <c r="AB103" s="275"/>
      <c r="AC103" s="524"/>
      <c r="AD103" s="241"/>
      <c r="AE103" s="241"/>
      <c r="AF103" s="241"/>
      <c r="AG103" s="241"/>
      <c r="AH103" s="241"/>
      <c r="AI103" s="241"/>
      <c r="AJ103" s="529"/>
      <c r="AK103" s="258"/>
      <c r="AL103" s="241"/>
      <c r="AM103" s="242"/>
      <c r="AN103" s="241"/>
      <c r="AO103" s="242"/>
      <c r="AP103" s="241"/>
      <c r="AQ103" s="242"/>
      <c r="AR103" s="241"/>
      <c r="AS103" s="242"/>
      <c r="AT103" s="241"/>
      <c r="AU103" s="241"/>
      <c r="AV103" s="256"/>
      <c r="AW103" s="241"/>
      <c r="AX103" s="256"/>
      <c r="AY103" s="241"/>
      <c r="AZ103" s="256"/>
      <c r="BA103" s="239"/>
      <c r="BB103" s="242"/>
      <c r="BC103" s="239"/>
      <c r="BD103" s="242"/>
      <c r="BE103" s="239"/>
      <c r="BF103" s="241"/>
      <c r="BG103" s="239"/>
      <c r="BH103" s="241"/>
      <c r="BI103" s="260"/>
      <c r="BJ103" s="241"/>
      <c r="BK103" s="260"/>
      <c r="BL103" s="239"/>
      <c r="BM103" s="256"/>
      <c r="BN103" s="241"/>
      <c r="BO103" s="243"/>
      <c r="BP103" s="241"/>
      <c r="BQ103" s="239"/>
      <c r="BR103" s="276"/>
      <c r="BS103" s="256"/>
      <c r="BT103" s="260"/>
      <c r="BU103" s="261"/>
      <c r="BV103" s="260"/>
      <c r="BW103" s="239"/>
      <c r="BX103" s="260"/>
      <c r="BY103" s="260"/>
      <c r="BZ103" s="239"/>
      <c r="CA103" s="260"/>
      <c r="CB103" s="239"/>
      <c r="CC103" s="260"/>
      <c r="CD103" s="539"/>
      <c r="CE103" s="239"/>
      <c r="CF103" s="276"/>
      <c r="CG103" s="256"/>
      <c r="CH103" s="259"/>
      <c r="CI103" s="347"/>
      <c r="CJ103" s="540"/>
      <c r="CK103" s="256"/>
      <c r="CL103" s="244">
        <v>1</v>
      </c>
      <c r="CM103" s="274">
        <f t="shared" si="1"/>
        <v>2015</v>
      </c>
      <c r="CN103" s="244">
        <f>IF('Grille de saisie'!CM103&lt;18,0,IF('Grille de saisie'!CM103&lt;40,1,IF('Grille de saisie'!CM103&lt;65,2,IF('Grille de saisie'!CM103&lt;100,3,4))))</f>
        <v>4</v>
      </c>
      <c r="CO103" s="236">
        <f>IF(AND('Grille de saisie'!C103=1,'Grille de saisie'!BZ103=0),1,IF(AND('Grille de saisie'!C103="",'Grille de saisie'!BZ103=""),3,IF(AND('Grille de saisie'!C103=5),3,2)))</f>
        <v>3</v>
      </c>
      <c r="CP103" s="236">
        <f>IF(AND('Grille de saisie'!C103=1,'Grille de saisie'!BZ103=0),1,IF(AND('Grille de saisie'!C103=1,'Grille de saisie'!BZ103=1),2,IF(AND('Grille de saisie'!C103=2,'Grille de saisie'!BZ103=0),2,IF(AND('Grille de saisie'!C103=3,'Grille de saisie'!BZ103=0),3,IF(AND('Grille de saisie'!C103=2,'Grille de saisie'!BZ103=1),3,IF(AND('Grille de saisie'!C103=1,'Grille de saisie'!BZ103=2),3,IF(AND('Grille de saisie'!C103="",'Grille de saisie'!BZ103=""),5,IF(AND('Grille de saisie'!C103=5),5,4))))))))</f>
        <v>5</v>
      </c>
      <c r="CQ103" s="237">
        <f>IF('Grille de saisie'!BZ103="",3,IF('Grille de saisie'!C103=5,3,IF('Grille de saisie'!BZ103=0,1,2)))</f>
        <v>3</v>
      </c>
    </row>
    <row r="104" spans="1:95" ht="15">
      <c r="A104" s="510">
        <v>102</v>
      </c>
      <c r="B104" s="240"/>
      <c r="C104" s="513"/>
      <c r="D104" s="240"/>
      <c r="E104" s="517"/>
      <c r="F104" s="265"/>
      <c r="G104" s="513"/>
      <c r="H104" s="265"/>
      <c r="I104" s="520"/>
      <c r="J104" s="241"/>
      <c r="K104" s="520"/>
      <c r="L104" s="241"/>
      <c r="M104" s="521"/>
      <c r="N104" s="241"/>
      <c r="O104" s="521"/>
      <c r="P104" s="241"/>
      <c r="Q104" s="520"/>
      <c r="R104" s="241"/>
      <c r="S104" s="520"/>
      <c r="T104" s="241"/>
      <c r="U104" s="520"/>
      <c r="V104" s="241"/>
      <c r="W104" s="242"/>
      <c r="X104" s="241"/>
      <c r="Y104" s="242"/>
      <c r="Z104" s="241"/>
      <c r="AA104" s="241"/>
      <c r="AB104" s="275"/>
      <c r="AC104" s="524"/>
      <c r="AD104" s="241"/>
      <c r="AE104" s="241"/>
      <c r="AF104" s="241"/>
      <c r="AG104" s="241"/>
      <c r="AH104" s="241"/>
      <c r="AI104" s="241"/>
      <c r="AJ104" s="529"/>
      <c r="AK104" s="258"/>
      <c r="AL104" s="241"/>
      <c r="AM104" s="242"/>
      <c r="AN104" s="241"/>
      <c r="AO104" s="242"/>
      <c r="AP104" s="241"/>
      <c r="AQ104" s="242"/>
      <c r="AR104" s="241"/>
      <c r="AS104" s="242"/>
      <c r="AT104" s="241"/>
      <c r="AU104" s="241"/>
      <c r="AV104" s="256"/>
      <c r="AW104" s="241"/>
      <c r="AX104" s="256"/>
      <c r="AY104" s="241"/>
      <c r="AZ104" s="256"/>
      <c r="BA104" s="239"/>
      <c r="BB104" s="242"/>
      <c r="BC104" s="239"/>
      <c r="BD104" s="242"/>
      <c r="BE104" s="239"/>
      <c r="BF104" s="241"/>
      <c r="BG104" s="239"/>
      <c r="BH104" s="241"/>
      <c r="BI104" s="260"/>
      <c r="BJ104" s="241"/>
      <c r="BK104" s="260"/>
      <c r="BL104" s="239"/>
      <c r="BM104" s="256"/>
      <c r="BN104" s="241"/>
      <c r="BO104" s="243"/>
      <c r="BP104" s="241"/>
      <c r="BQ104" s="239"/>
      <c r="BR104" s="276"/>
      <c r="BS104" s="256"/>
      <c r="BT104" s="260"/>
      <c r="BU104" s="261"/>
      <c r="BV104" s="260"/>
      <c r="BW104" s="239"/>
      <c r="BX104" s="260"/>
      <c r="BY104" s="260"/>
      <c r="BZ104" s="239"/>
      <c r="CA104" s="260"/>
      <c r="CB104" s="239"/>
      <c r="CC104" s="260"/>
      <c r="CD104" s="539"/>
      <c r="CE104" s="239"/>
      <c r="CF104" s="276"/>
      <c r="CG104" s="256"/>
      <c r="CH104" s="259"/>
      <c r="CI104" s="347"/>
      <c r="CJ104" s="540"/>
      <c r="CK104" s="256"/>
      <c r="CL104" s="244">
        <v>1</v>
      </c>
      <c r="CM104" s="274">
        <f t="shared" si="1"/>
        <v>2015</v>
      </c>
      <c r="CN104" s="244">
        <f>IF('Grille de saisie'!CM104&lt;18,0,IF('Grille de saisie'!CM104&lt;40,1,IF('Grille de saisie'!CM104&lt;65,2,IF('Grille de saisie'!CM104&lt;100,3,4))))</f>
        <v>4</v>
      </c>
      <c r="CO104" s="236">
        <f>IF(AND('Grille de saisie'!C104=1,'Grille de saisie'!BZ104=0),1,IF(AND('Grille de saisie'!C104="",'Grille de saisie'!BZ104=""),3,IF(AND('Grille de saisie'!C104=5),3,2)))</f>
        <v>3</v>
      </c>
      <c r="CP104" s="236">
        <f>IF(AND('Grille de saisie'!C104=1,'Grille de saisie'!BZ104=0),1,IF(AND('Grille de saisie'!C104=1,'Grille de saisie'!BZ104=1),2,IF(AND('Grille de saisie'!C104=2,'Grille de saisie'!BZ104=0),2,IF(AND('Grille de saisie'!C104=3,'Grille de saisie'!BZ104=0),3,IF(AND('Grille de saisie'!C104=2,'Grille de saisie'!BZ104=1),3,IF(AND('Grille de saisie'!C104=1,'Grille de saisie'!BZ104=2),3,IF(AND('Grille de saisie'!C104="",'Grille de saisie'!BZ104=""),5,IF(AND('Grille de saisie'!C104=5),5,4))))))))</f>
        <v>5</v>
      </c>
      <c r="CQ104" s="237">
        <f>IF('Grille de saisie'!BZ104="",3,IF('Grille de saisie'!C104=5,3,IF('Grille de saisie'!BZ104=0,1,2)))</f>
        <v>3</v>
      </c>
    </row>
    <row r="105" spans="1:95" ht="15">
      <c r="A105" s="511">
        <v>103</v>
      </c>
      <c r="B105" s="240"/>
      <c r="C105" s="513"/>
      <c r="D105" s="240"/>
      <c r="E105" s="517"/>
      <c r="F105" s="265"/>
      <c r="G105" s="513"/>
      <c r="H105" s="265"/>
      <c r="I105" s="520"/>
      <c r="J105" s="241"/>
      <c r="K105" s="520"/>
      <c r="L105" s="241"/>
      <c r="M105" s="521"/>
      <c r="N105" s="241"/>
      <c r="O105" s="521"/>
      <c r="P105" s="241"/>
      <c r="Q105" s="520"/>
      <c r="R105" s="241"/>
      <c r="S105" s="520"/>
      <c r="T105" s="241"/>
      <c r="U105" s="520"/>
      <c r="V105" s="241"/>
      <c r="W105" s="242"/>
      <c r="X105" s="241"/>
      <c r="Y105" s="242"/>
      <c r="Z105" s="241"/>
      <c r="AA105" s="241"/>
      <c r="AB105" s="275"/>
      <c r="AC105" s="524"/>
      <c r="AD105" s="241"/>
      <c r="AE105" s="241"/>
      <c r="AF105" s="241"/>
      <c r="AG105" s="241"/>
      <c r="AH105" s="241"/>
      <c r="AI105" s="241"/>
      <c r="AJ105" s="529"/>
      <c r="AK105" s="258"/>
      <c r="AL105" s="241"/>
      <c r="AM105" s="242"/>
      <c r="AN105" s="241"/>
      <c r="AO105" s="242"/>
      <c r="AP105" s="241"/>
      <c r="AQ105" s="242"/>
      <c r="AR105" s="241"/>
      <c r="AS105" s="242"/>
      <c r="AT105" s="241"/>
      <c r="AU105" s="241"/>
      <c r="AV105" s="256"/>
      <c r="AW105" s="241"/>
      <c r="AX105" s="256"/>
      <c r="AY105" s="241"/>
      <c r="AZ105" s="256"/>
      <c r="BA105" s="239"/>
      <c r="BB105" s="242"/>
      <c r="BC105" s="239"/>
      <c r="BD105" s="242"/>
      <c r="BE105" s="239"/>
      <c r="BF105" s="241"/>
      <c r="BG105" s="239"/>
      <c r="BH105" s="241"/>
      <c r="BI105" s="260"/>
      <c r="BJ105" s="241"/>
      <c r="BK105" s="260"/>
      <c r="BL105" s="239"/>
      <c r="BM105" s="256"/>
      <c r="BN105" s="241"/>
      <c r="BO105" s="243"/>
      <c r="BP105" s="241"/>
      <c r="BQ105" s="239"/>
      <c r="BR105" s="276"/>
      <c r="BS105" s="256"/>
      <c r="BT105" s="260"/>
      <c r="BU105" s="261"/>
      <c r="BV105" s="260"/>
      <c r="BW105" s="239"/>
      <c r="BX105" s="260"/>
      <c r="BY105" s="260"/>
      <c r="BZ105" s="239"/>
      <c r="CA105" s="260"/>
      <c r="CB105" s="239"/>
      <c r="CC105" s="260"/>
      <c r="CD105" s="539"/>
      <c r="CE105" s="239"/>
      <c r="CF105" s="276"/>
      <c r="CG105" s="256"/>
      <c r="CH105" s="259"/>
      <c r="CI105" s="347"/>
      <c r="CJ105" s="540"/>
      <c r="CK105" s="256"/>
      <c r="CL105" s="244">
        <v>1</v>
      </c>
      <c r="CM105" s="274">
        <f t="shared" si="1"/>
        <v>2015</v>
      </c>
      <c r="CN105" s="244">
        <f>IF('Grille de saisie'!CM105&lt;18,0,IF('Grille de saisie'!CM105&lt;40,1,IF('Grille de saisie'!CM105&lt;65,2,IF('Grille de saisie'!CM105&lt;100,3,4))))</f>
        <v>4</v>
      </c>
      <c r="CO105" s="236">
        <f>IF(AND('Grille de saisie'!C105=1,'Grille de saisie'!BZ105=0),1,IF(AND('Grille de saisie'!C105="",'Grille de saisie'!BZ105=""),3,IF(AND('Grille de saisie'!C105=5),3,2)))</f>
        <v>3</v>
      </c>
      <c r="CP105" s="236">
        <f>IF(AND('Grille de saisie'!C105=1,'Grille de saisie'!BZ105=0),1,IF(AND('Grille de saisie'!C105=1,'Grille de saisie'!BZ105=1),2,IF(AND('Grille de saisie'!C105=2,'Grille de saisie'!BZ105=0),2,IF(AND('Grille de saisie'!C105=3,'Grille de saisie'!BZ105=0),3,IF(AND('Grille de saisie'!C105=2,'Grille de saisie'!BZ105=1),3,IF(AND('Grille de saisie'!C105=1,'Grille de saisie'!BZ105=2),3,IF(AND('Grille de saisie'!C105="",'Grille de saisie'!BZ105=""),5,IF(AND('Grille de saisie'!C105=5),5,4))))))))</f>
        <v>5</v>
      </c>
      <c r="CQ105" s="237">
        <f>IF('Grille de saisie'!BZ105="",3,IF('Grille de saisie'!C105=5,3,IF('Grille de saisie'!BZ105=0,1,2)))</f>
        <v>3</v>
      </c>
    </row>
    <row r="106" spans="1:95" ht="15">
      <c r="A106" s="510">
        <v>104</v>
      </c>
      <c r="B106" s="240"/>
      <c r="C106" s="513"/>
      <c r="D106" s="240"/>
      <c r="E106" s="517"/>
      <c r="F106" s="265"/>
      <c r="G106" s="513"/>
      <c r="H106" s="265"/>
      <c r="I106" s="520"/>
      <c r="J106" s="241"/>
      <c r="K106" s="520"/>
      <c r="L106" s="241"/>
      <c r="M106" s="521"/>
      <c r="N106" s="241"/>
      <c r="O106" s="521"/>
      <c r="P106" s="241"/>
      <c r="Q106" s="520"/>
      <c r="R106" s="241"/>
      <c r="S106" s="520"/>
      <c r="T106" s="241"/>
      <c r="U106" s="520"/>
      <c r="V106" s="241"/>
      <c r="W106" s="242"/>
      <c r="X106" s="241"/>
      <c r="Y106" s="242"/>
      <c r="Z106" s="241"/>
      <c r="AA106" s="241"/>
      <c r="AB106" s="275"/>
      <c r="AC106" s="524"/>
      <c r="AD106" s="241"/>
      <c r="AE106" s="241"/>
      <c r="AF106" s="241"/>
      <c r="AG106" s="241"/>
      <c r="AH106" s="241"/>
      <c r="AI106" s="241"/>
      <c r="AJ106" s="529"/>
      <c r="AK106" s="258"/>
      <c r="AL106" s="241"/>
      <c r="AM106" s="242"/>
      <c r="AN106" s="241"/>
      <c r="AO106" s="242"/>
      <c r="AP106" s="241"/>
      <c r="AQ106" s="242"/>
      <c r="AR106" s="241"/>
      <c r="AS106" s="242"/>
      <c r="AT106" s="241"/>
      <c r="AU106" s="241"/>
      <c r="AV106" s="256"/>
      <c r="AW106" s="241"/>
      <c r="AX106" s="256"/>
      <c r="AY106" s="241"/>
      <c r="AZ106" s="256"/>
      <c r="BA106" s="239"/>
      <c r="BB106" s="242"/>
      <c r="BC106" s="239"/>
      <c r="BD106" s="242"/>
      <c r="BE106" s="239"/>
      <c r="BF106" s="241"/>
      <c r="BG106" s="239"/>
      <c r="BH106" s="241"/>
      <c r="BI106" s="260"/>
      <c r="BJ106" s="241"/>
      <c r="BK106" s="260"/>
      <c r="BL106" s="239"/>
      <c r="BM106" s="256"/>
      <c r="BN106" s="241"/>
      <c r="BO106" s="243"/>
      <c r="BP106" s="241"/>
      <c r="BQ106" s="239"/>
      <c r="BR106" s="276"/>
      <c r="BS106" s="256"/>
      <c r="BT106" s="260"/>
      <c r="BU106" s="261"/>
      <c r="BV106" s="260"/>
      <c r="BW106" s="239"/>
      <c r="BX106" s="260"/>
      <c r="BY106" s="260"/>
      <c r="BZ106" s="239"/>
      <c r="CA106" s="260"/>
      <c r="CB106" s="239"/>
      <c r="CC106" s="260"/>
      <c r="CD106" s="539"/>
      <c r="CE106" s="239"/>
      <c r="CF106" s="276"/>
      <c r="CG106" s="256"/>
      <c r="CH106" s="259"/>
      <c r="CI106" s="347"/>
      <c r="CJ106" s="540"/>
      <c r="CK106" s="256"/>
      <c r="CL106" s="244">
        <v>1</v>
      </c>
      <c r="CM106" s="274">
        <f t="shared" si="1"/>
        <v>2015</v>
      </c>
      <c r="CN106" s="244">
        <f>IF('Grille de saisie'!CM106&lt;18,0,IF('Grille de saisie'!CM106&lt;40,1,IF('Grille de saisie'!CM106&lt;65,2,IF('Grille de saisie'!CM106&lt;100,3,4))))</f>
        <v>4</v>
      </c>
      <c r="CO106" s="236">
        <f>IF(AND('Grille de saisie'!C106=1,'Grille de saisie'!BZ106=0),1,IF(AND('Grille de saisie'!C106="",'Grille de saisie'!BZ106=""),3,IF(AND('Grille de saisie'!C106=5),3,2)))</f>
        <v>3</v>
      </c>
      <c r="CP106" s="236">
        <f>IF(AND('Grille de saisie'!C106=1,'Grille de saisie'!BZ106=0),1,IF(AND('Grille de saisie'!C106=1,'Grille de saisie'!BZ106=1),2,IF(AND('Grille de saisie'!C106=2,'Grille de saisie'!BZ106=0),2,IF(AND('Grille de saisie'!C106=3,'Grille de saisie'!BZ106=0),3,IF(AND('Grille de saisie'!C106=2,'Grille de saisie'!BZ106=1),3,IF(AND('Grille de saisie'!C106=1,'Grille de saisie'!BZ106=2),3,IF(AND('Grille de saisie'!C106="",'Grille de saisie'!BZ106=""),5,IF(AND('Grille de saisie'!C106=5),5,4))))))))</f>
        <v>5</v>
      </c>
      <c r="CQ106" s="237">
        <f>IF('Grille de saisie'!BZ106="",3,IF('Grille de saisie'!C106=5,3,IF('Grille de saisie'!BZ106=0,1,2)))</f>
        <v>3</v>
      </c>
    </row>
    <row r="107" spans="1:95" ht="15">
      <c r="A107" s="510">
        <v>105</v>
      </c>
      <c r="B107" s="240"/>
      <c r="C107" s="513"/>
      <c r="D107" s="240"/>
      <c r="E107" s="517"/>
      <c r="F107" s="265"/>
      <c r="G107" s="513"/>
      <c r="H107" s="265"/>
      <c r="I107" s="520"/>
      <c r="J107" s="241"/>
      <c r="K107" s="520"/>
      <c r="L107" s="241"/>
      <c r="M107" s="521"/>
      <c r="N107" s="241"/>
      <c r="O107" s="521"/>
      <c r="P107" s="241"/>
      <c r="Q107" s="520"/>
      <c r="R107" s="241"/>
      <c r="S107" s="520"/>
      <c r="T107" s="241"/>
      <c r="U107" s="520"/>
      <c r="V107" s="241"/>
      <c r="W107" s="242"/>
      <c r="X107" s="241"/>
      <c r="Y107" s="242"/>
      <c r="Z107" s="241"/>
      <c r="AA107" s="241"/>
      <c r="AB107" s="275"/>
      <c r="AC107" s="524"/>
      <c r="AD107" s="241"/>
      <c r="AE107" s="241"/>
      <c r="AF107" s="241"/>
      <c r="AG107" s="241"/>
      <c r="AH107" s="241"/>
      <c r="AI107" s="241"/>
      <c r="AJ107" s="529"/>
      <c r="AK107" s="258"/>
      <c r="AL107" s="241"/>
      <c r="AM107" s="242"/>
      <c r="AN107" s="241"/>
      <c r="AO107" s="242"/>
      <c r="AP107" s="241"/>
      <c r="AQ107" s="242"/>
      <c r="AR107" s="241"/>
      <c r="AS107" s="242"/>
      <c r="AT107" s="241"/>
      <c r="AU107" s="241"/>
      <c r="AV107" s="256"/>
      <c r="AW107" s="241"/>
      <c r="AX107" s="256"/>
      <c r="AY107" s="241"/>
      <c r="AZ107" s="256"/>
      <c r="BA107" s="239"/>
      <c r="BB107" s="242"/>
      <c r="BC107" s="239"/>
      <c r="BD107" s="242"/>
      <c r="BE107" s="239"/>
      <c r="BF107" s="241"/>
      <c r="BG107" s="239"/>
      <c r="BH107" s="241"/>
      <c r="BI107" s="260"/>
      <c r="BJ107" s="241"/>
      <c r="BK107" s="260"/>
      <c r="BL107" s="239"/>
      <c r="BM107" s="256"/>
      <c r="BN107" s="241"/>
      <c r="BO107" s="243"/>
      <c r="BP107" s="241"/>
      <c r="BQ107" s="239"/>
      <c r="BR107" s="276"/>
      <c r="BS107" s="256"/>
      <c r="BT107" s="260"/>
      <c r="BU107" s="261"/>
      <c r="BV107" s="260"/>
      <c r="BW107" s="239"/>
      <c r="BX107" s="260"/>
      <c r="BY107" s="260"/>
      <c r="BZ107" s="239"/>
      <c r="CA107" s="260"/>
      <c r="CB107" s="239"/>
      <c r="CC107" s="260"/>
      <c r="CD107" s="539"/>
      <c r="CE107" s="239"/>
      <c r="CF107" s="276"/>
      <c r="CG107" s="256"/>
      <c r="CH107" s="259"/>
      <c r="CI107" s="347"/>
      <c r="CJ107" s="540"/>
      <c r="CK107" s="256"/>
      <c r="CL107" s="244">
        <v>1</v>
      </c>
      <c r="CM107" s="274">
        <f t="shared" si="1"/>
        <v>2015</v>
      </c>
      <c r="CN107" s="244">
        <f>IF('Grille de saisie'!CM107&lt;18,0,IF('Grille de saisie'!CM107&lt;40,1,IF('Grille de saisie'!CM107&lt;65,2,IF('Grille de saisie'!CM107&lt;100,3,4))))</f>
        <v>4</v>
      </c>
      <c r="CO107" s="236">
        <f>IF(AND('Grille de saisie'!C107=1,'Grille de saisie'!BZ107=0),1,IF(AND('Grille de saisie'!C107="",'Grille de saisie'!BZ107=""),3,IF(AND('Grille de saisie'!C107=5),3,2)))</f>
        <v>3</v>
      </c>
      <c r="CP107" s="236">
        <f>IF(AND('Grille de saisie'!C107=1,'Grille de saisie'!BZ107=0),1,IF(AND('Grille de saisie'!C107=1,'Grille de saisie'!BZ107=1),2,IF(AND('Grille de saisie'!C107=2,'Grille de saisie'!BZ107=0),2,IF(AND('Grille de saisie'!C107=3,'Grille de saisie'!BZ107=0),3,IF(AND('Grille de saisie'!C107=2,'Grille de saisie'!BZ107=1),3,IF(AND('Grille de saisie'!C107=1,'Grille de saisie'!BZ107=2),3,IF(AND('Grille de saisie'!C107="",'Grille de saisie'!BZ107=""),5,IF(AND('Grille de saisie'!C107=5),5,4))))))))</f>
        <v>5</v>
      </c>
      <c r="CQ107" s="237">
        <f>IF('Grille de saisie'!BZ107="",3,IF('Grille de saisie'!C107=5,3,IF('Grille de saisie'!BZ107=0,1,2)))</f>
        <v>3</v>
      </c>
    </row>
    <row r="108" spans="1:95" ht="15">
      <c r="A108" s="511">
        <v>106</v>
      </c>
      <c r="B108" s="240"/>
      <c r="C108" s="513"/>
      <c r="D108" s="240"/>
      <c r="E108" s="517"/>
      <c r="F108" s="265"/>
      <c r="G108" s="513"/>
      <c r="H108" s="265"/>
      <c r="I108" s="520"/>
      <c r="J108" s="241"/>
      <c r="K108" s="520"/>
      <c r="L108" s="241"/>
      <c r="M108" s="521"/>
      <c r="N108" s="241"/>
      <c r="O108" s="521"/>
      <c r="P108" s="241"/>
      <c r="Q108" s="520"/>
      <c r="R108" s="241"/>
      <c r="S108" s="520"/>
      <c r="T108" s="241"/>
      <c r="U108" s="520"/>
      <c r="V108" s="241"/>
      <c r="W108" s="242"/>
      <c r="X108" s="241"/>
      <c r="Y108" s="242"/>
      <c r="Z108" s="241"/>
      <c r="AA108" s="241"/>
      <c r="AB108" s="275"/>
      <c r="AC108" s="524"/>
      <c r="AD108" s="241"/>
      <c r="AE108" s="241"/>
      <c r="AF108" s="241"/>
      <c r="AG108" s="241"/>
      <c r="AH108" s="241"/>
      <c r="AI108" s="241"/>
      <c r="AJ108" s="529"/>
      <c r="AK108" s="258"/>
      <c r="AL108" s="241"/>
      <c r="AM108" s="242"/>
      <c r="AN108" s="241"/>
      <c r="AO108" s="242"/>
      <c r="AP108" s="241"/>
      <c r="AQ108" s="242"/>
      <c r="AR108" s="241"/>
      <c r="AS108" s="242"/>
      <c r="AT108" s="241"/>
      <c r="AU108" s="241"/>
      <c r="AV108" s="256"/>
      <c r="AW108" s="241"/>
      <c r="AX108" s="256"/>
      <c r="AY108" s="241"/>
      <c r="AZ108" s="256"/>
      <c r="BA108" s="239"/>
      <c r="BB108" s="242"/>
      <c r="BC108" s="239"/>
      <c r="BD108" s="242"/>
      <c r="BE108" s="239"/>
      <c r="BF108" s="241"/>
      <c r="BG108" s="239"/>
      <c r="BH108" s="241"/>
      <c r="BI108" s="260"/>
      <c r="BJ108" s="241"/>
      <c r="BK108" s="260"/>
      <c r="BL108" s="239"/>
      <c r="BM108" s="256"/>
      <c r="BN108" s="241"/>
      <c r="BO108" s="243"/>
      <c r="BP108" s="241"/>
      <c r="BQ108" s="239"/>
      <c r="BR108" s="276"/>
      <c r="BS108" s="256"/>
      <c r="BT108" s="260"/>
      <c r="BU108" s="261"/>
      <c r="BV108" s="260"/>
      <c r="BW108" s="239"/>
      <c r="BX108" s="260"/>
      <c r="BY108" s="260"/>
      <c r="BZ108" s="239"/>
      <c r="CA108" s="260"/>
      <c r="CB108" s="239"/>
      <c r="CC108" s="260"/>
      <c r="CD108" s="539"/>
      <c r="CE108" s="239"/>
      <c r="CF108" s="276"/>
      <c r="CG108" s="256"/>
      <c r="CH108" s="259"/>
      <c r="CI108" s="347"/>
      <c r="CJ108" s="540"/>
      <c r="CK108" s="256"/>
      <c r="CL108" s="244">
        <v>1</v>
      </c>
      <c r="CM108" s="274">
        <f t="shared" si="1"/>
        <v>2015</v>
      </c>
      <c r="CN108" s="244">
        <f>IF('Grille de saisie'!CM108&lt;18,0,IF('Grille de saisie'!CM108&lt;40,1,IF('Grille de saisie'!CM108&lt;65,2,IF('Grille de saisie'!CM108&lt;100,3,4))))</f>
        <v>4</v>
      </c>
      <c r="CO108" s="236">
        <f>IF(AND('Grille de saisie'!C108=1,'Grille de saisie'!BZ108=0),1,IF(AND('Grille de saisie'!C108="",'Grille de saisie'!BZ108=""),3,IF(AND('Grille de saisie'!C108=5),3,2)))</f>
        <v>3</v>
      </c>
      <c r="CP108" s="236">
        <f>IF(AND('Grille de saisie'!C108=1,'Grille de saisie'!BZ108=0),1,IF(AND('Grille de saisie'!C108=1,'Grille de saisie'!BZ108=1),2,IF(AND('Grille de saisie'!C108=2,'Grille de saisie'!BZ108=0),2,IF(AND('Grille de saisie'!C108=3,'Grille de saisie'!BZ108=0),3,IF(AND('Grille de saisie'!C108=2,'Grille de saisie'!BZ108=1),3,IF(AND('Grille de saisie'!C108=1,'Grille de saisie'!BZ108=2),3,IF(AND('Grille de saisie'!C108="",'Grille de saisie'!BZ108=""),5,IF(AND('Grille de saisie'!C108=5),5,4))))))))</f>
        <v>5</v>
      </c>
      <c r="CQ108" s="237">
        <f>IF('Grille de saisie'!BZ108="",3,IF('Grille de saisie'!C108=5,3,IF('Grille de saisie'!BZ108=0,1,2)))</f>
        <v>3</v>
      </c>
    </row>
    <row r="109" spans="1:95" ht="15">
      <c r="A109" s="510">
        <v>107</v>
      </c>
      <c r="B109" s="240"/>
      <c r="C109" s="513"/>
      <c r="D109" s="240"/>
      <c r="E109" s="517"/>
      <c r="F109" s="265"/>
      <c r="G109" s="513"/>
      <c r="H109" s="265"/>
      <c r="I109" s="520"/>
      <c r="J109" s="241"/>
      <c r="K109" s="520"/>
      <c r="L109" s="241"/>
      <c r="M109" s="521"/>
      <c r="N109" s="241"/>
      <c r="O109" s="521"/>
      <c r="P109" s="241"/>
      <c r="Q109" s="520"/>
      <c r="R109" s="241"/>
      <c r="S109" s="520"/>
      <c r="T109" s="241"/>
      <c r="U109" s="520"/>
      <c r="V109" s="241"/>
      <c r="W109" s="242"/>
      <c r="X109" s="241"/>
      <c r="Y109" s="242"/>
      <c r="Z109" s="241"/>
      <c r="AA109" s="241"/>
      <c r="AB109" s="275"/>
      <c r="AC109" s="524"/>
      <c r="AD109" s="241"/>
      <c r="AE109" s="241"/>
      <c r="AF109" s="241"/>
      <c r="AG109" s="241"/>
      <c r="AH109" s="241"/>
      <c r="AI109" s="241"/>
      <c r="AJ109" s="529"/>
      <c r="AK109" s="258"/>
      <c r="AL109" s="241"/>
      <c r="AM109" s="242"/>
      <c r="AN109" s="241"/>
      <c r="AO109" s="242"/>
      <c r="AP109" s="241"/>
      <c r="AQ109" s="242"/>
      <c r="AR109" s="241"/>
      <c r="AS109" s="242"/>
      <c r="AT109" s="241"/>
      <c r="AU109" s="241"/>
      <c r="AV109" s="256"/>
      <c r="AW109" s="241"/>
      <c r="AX109" s="256"/>
      <c r="AY109" s="241"/>
      <c r="AZ109" s="256"/>
      <c r="BA109" s="239"/>
      <c r="BB109" s="242"/>
      <c r="BC109" s="239"/>
      <c r="BD109" s="242"/>
      <c r="BE109" s="239"/>
      <c r="BF109" s="241"/>
      <c r="BG109" s="239"/>
      <c r="BH109" s="241"/>
      <c r="BI109" s="260"/>
      <c r="BJ109" s="241"/>
      <c r="BK109" s="260"/>
      <c r="BL109" s="239"/>
      <c r="BM109" s="256"/>
      <c r="BN109" s="241"/>
      <c r="BO109" s="243"/>
      <c r="BP109" s="241"/>
      <c r="BQ109" s="239"/>
      <c r="BR109" s="276"/>
      <c r="BS109" s="256"/>
      <c r="BT109" s="260"/>
      <c r="BU109" s="261"/>
      <c r="BV109" s="260"/>
      <c r="BW109" s="239"/>
      <c r="BX109" s="260"/>
      <c r="BY109" s="260"/>
      <c r="BZ109" s="239"/>
      <c r="CA109" s="260"/>
      <c r="CB109" s="239"/>
      <c r="CC109" s="260"/>
      <c r="CD109" s="539"/>
      <c r="CE109" s="239"/>
      <c r="CF109" s="276"/>
      <c r="CG109" s="256"/>
      <c r="CH109" s="259"/>
      <c r="CI109" s="347"/>
      <c r="CJ109" s="540"/>
      <c r="CK109" s="256"/>
      <c r="CL109" s="244">
        <v>1</v>
      </c>
      <c r="CM109" s="274">
        <f t="shared" si="1"/>
        <v>2015</v>
      </c>
      <c r="CN109" s="244">
        <f>IF('Grille de saisie'!CM109&lt;18,0,IF('Grille de saisie'!CM109&lt;40,1,IF('Grille de saisie'!CM109&lt;65,2,IF('Grille de saisie'!CM109&lt;100,3,4))))</f>
        <v>4</v>
      </c>
      <c r="CO109" s="236">
        <f>IF(AND('Grille de saisie'!C109=1,'Grille de saisie'!BZ109=0),1,IF(AND('Grille de saisie'!C109="",'Grille de saisie'!BZ109=""),3,IF(AND('Grille de saisie'!C109=5),3,2)))</f>
        <v>3</v>
      </c>
      <c r="CP109" s="236">
        <f>IF(AND('Grille de saisie'!C109=1,'Grille de saisie'!BZ109=0),1,IF(AND('Grille de saisie'!C109=1,'Grille de saisie'!BZ109=1),2,IF(AND('Grille de saisie'!C109=2,'Grille de saisie'!BZ109=0),2,IF(AND('Grille de saisie'!C109=3,'Grille de saisie'!BZ109=0),3,IF(AND('Grille de saisie'!C109=2,'Grille de saisie'!BZ109=1),3,IF(AND('Grille de saisie'!C109=1,'Grille de saisie'!BZ109=2),3,IF(AND('Grille de saisie'!C109="",'Grille de saisie'!BZ109=""),5,IF(AND('Grille de saisie'!C109=5),5,4))))))))</f>
        <v>5</v>
      </c>
      <c r="CQ109" s="237">
        <f>IF('Grille de saisie'!BZ109="",3,IF('Grille de saisie'!C109=5,3,IF('Grille de saisie'!BZ109=0,1,2)))</f>
        <v>3</v>
      </c>
    </row>
    <row r="110" spans="1:95" ht="15">
      <c r="A110" s="510">
        <v>108</v>
      </c>
      <c r="B110" s="240"/>
      <c r="C110" s="513"/>
      <c r="D110" s="240"/>
      <c r="E110" s="517"/>
      <c r="F110" s="265"/>
      <c r="G110" s="513"/>
      <c r="H110" s="265"/>
      <c r="I110" s="520"/>
      <c r="J110" s="241"/>
      <c r="K110" s="520"/>
      <c r="L110" s="241"/>
      <c r="M110" s="521"/>
      <c r="N110" s="241"/>
      <c r="O110" s="521"/>
      <c r="P110" s="241"/>
      <c r="Q110" s="520"/>
      <c r="R110" s="241"/>
      <c r="S110" s="520"/>
      <c r="T110" s="241"/>
      <c r="U110" s="520"/>
      <c r="V110" s="241"/>
      <c r="W110" s="242"/>
      <c r="X110" s="241"/>
      <c r="Y110" s="242"/>
      <c r="Z110" s="241"/>
      <c r="AA110" s="241"/>
      <c r="AB110" s="275"/>
      <c r="AC110" s="524"/>
      <c r="AD110" s="241"/>
      <c r="AE110" s="241"/>
      <c r="AF110" s="241"/>
      <c r="AG110" s="241"/>
      <c r="AH110" s="241"/>
      <c r="AI110" s="241"/>
      <c r="AJ110" s="529"/>
      <c r="AK110" s="258"/>
      <c r="AL110" s="241"/>
      <c r="AM110" s="242"/>
      <c r="AN110" s="241"/>
      <c r="AO110" s="242"/>
      <c r="AP110" s="241"/>
      <c r="AQ110" s="242"/>
      <c r="AR110" s="241"/>
      <c r="AS110" s="242"/>
      <c r="AT110" s="241"/>
      <c r="AU110" s="241"/>
      <c r="AV110" s="256"/>
      <c r="AW110" s="241"/>
      <c r="AX110" s="256"/>
      <c r="AY110" s="241"/>
      <c r="AZ110" s="256"/>
      <c r="BA110" s="239"/>
      <c r="BB110" s="242"/>
      <c r="BC110" s="239"/>
      <c r="BD110" s="242"/>
      <c r="BE110" s="239"/>
      <c r="BF110" s="241"/>
      <c r="BG110" s="239"/>
      <c r="BH110" s="241"/>
      <c r="BI110" s="260"/>
      <c r="BJ110" s="241"/>
      <c r="BK110" s="260"/>
      <c r="BL110" s="239"/>
      <c r="BM110" s="256"/>
      <c r="BN110" s="241"/>
      <c r="BO110" s="243"/>
      <c r="BP110" s="241"/>
      <c r="BQ110" s="239"/>
      <c r="BR110" s="276"/>
      <c r="BS110" s="256"/>
      <c r="BT110" s="260"/>
      <c r="BU110" s="261"/>
      <c r="BV110" s="260"/>
      <c r="BW110" s="239"/>
      <c r="BX110" s="260"/>
      <c r="BY110" s="260"/>
      <c r="BZ110" s="239"/>
      <c r="CA110" s="260"/>
      <c r="CB110" s="239"/>
      <c r="CC110" s="260"/>
      <c r="CD110" s="539"/>
      <c r="CE110" s="239"/>
      <c r="CF110" s="276"/>
      <c r="CG110" s="256"/>
      <c r="CH110" s="259"/>
      <c r="CI110" s="347"/>
      <c r="CJ110" s="540"/>
      <c r="CK110" s="256"/>
      <c r="CL110" s="244">
        <v>1</v>
      </c>
      <c r="CM110" s="274">
        <f t="shared" si="1"/>
        <v>2015</v>
      </c>
      <c r="CN110" s="244">
        <f>IF('Grille de saisie'!CM110&lt;18,0,IF('Grille de saisie'!CM110&lt;40,1,IF('Grille de saisie'!CM110&lt;65,2,IF('Grille de saisie'!CM110&lt;100,3,4))))</f>
        <v>4</v>
      </c>
      <c r="CO110" s="236">
        <f>IF(AND('Grille de saisie'!C110=1,'Grille de saisie'!BZ110=0),1,IF(AND('Grille de saisie'!C110="",'Grille de saisie'!BZ110=""),3,IF(AND('Grille de saisie'!C110=5),3,2)))</f>
        <v>3</v>
      </c>
      <c r="CP110" s="236">
        <f>IF(AND('Grille de saisie'!C110=1,'Grille de saisie'!BZ110=0),1,IF(AND('Grille de saisie'!C110=1,'Grille de saisie'!BZ110=1),2,IF(AND('Grille de saisie'!C110=2,'Grille de saisie'!BZ110=0),2,IF(AND('Grille de saisie'!C110=3,'Grille de saisie'!BZ110=0),3,IF(AND('Grille de saisie'!C110=2,'Grille de saisie'!BZ110=1),3,IF(AND('Grille de saisie'!C110=1,'Grille de saisie'!BZ110=2),3,IF(AND('Grille de saisie'!C110="",'Grille de saisie'!BZ110=""),5,IF(AND('Grille de saisie'!C110=5),5,4))))))))</f>
        <v>5</v>
      </c>
      <c r="CQ110" s="237">
        <f>IF('Grille de saisie'!BZ110="",3,IF('Grille de saisie'!C110=5,3,IF('Grille de saisie'!BZ110=0,1,2)))</f>
        <v>3</v>
      </c>
    </row>
    <row r="111" spans="1:95" ht="15">
      <c r="A111" s="511">
        <v>109</v>
      </c>
      <c r="B111" s="240"/>
      <c r="C111" s="513"/>
      <c r="D111" s="240"/>
      <c r="E111" s="517"/>
      <c r="F111" s="265"/>
      <c r="G111" s="513"/>
      <c r="H111" s="265"/>
      <c r="I111" s="520"/>
      <c r="J111" s="241"/>
      <c r="K111" s="520"/>
      <c r="L111" s="241"/>
      <c r="M111" s="521"/>
      <c r="N111" s="241"/>
      <c r="O111" s="521"/>
      <c r="P111" s="241"/>
      <c r="Q111" s="520"/>
      <c r="R111" s="241"/>
      <c r="S111" s="520"/>
      <c r="T111" s="241"/>
      <c r="U111" s="520"/>
      <c r="V111" s="241"/>
      <c r="W111" s="242"/>
      <c r="X111" s="241"/>
      <c r="Y111" s="242"/>
      <c r="Z111" s="241"/>
      <c r="AA111" s="241"/>
      <c r="AB111" s="275"/>
      <c r="AC111" s="524"/>
      <c r="AD111" s="241"/>
      <c r="AE111" s="241"/>
      <c r="AF111" s="241"/>
      <c r="AG111" s="241"/>
      <c r="AH111" s="241"/>
      <c r="AI111" s="241"/>
      <c r="AJ111" s="529"/>
      <c r="AK111" s="258"/>
      <c r="AL111" s="241"/>
      <c r="AM111" s="242"/>
      <c r="AN111" s="241"/>
      <c r="AO111" s="242"/>
      <c r="AP111" s="241"/>
      <c r="AQ111" s="242"/>
      <c r="AR111" s="241"/>
      <c r="AS111" s="242"/>
      <c r="AT111" s="241"/>
      <c r="AU111" s="241"/>
      <c r="AV111" s="256"/>
      <c r="AW111" s="241"/>
      <c r="AX111" s="256"/>
      <c r="AY111" s="241"/>
      <c r="AZ111" s="256"/>
      <c r="BA111" s="239"/>
      <c r="BB111" s="242"/>
      <c r="BC111" s="239"/>
      <c r="BD111" s="242"/>
      <c r="BE111" s="239"/>
      <c r="BF111" s="241"/>
      <c r="BG111" s="239"/>
      <c r="BH111" s="241"/>
      <c r="BI111" s="260"/>
      <c r="BJ111" s="241"/>
      <c r="BK111" s="260"/>
      <c r="BL111" s="239"/>
      <c r="BM111" s="256"/>
      <c r="BN111" s="241"/>
      <c r="BO111" s="243"/>
      <c r="BP111" s="241"/>
      <c r="BQ111" s="239"/>
      <c r="BR111" s="276"/>
      <c r="BS111" s="256"/>
      <c r="BT111" s="260"/>
      <c r="BU111" s="261"/>
      <c r="BV111" s="260"/>
      <c r="BW111" s="239"/>
      <c r="BX111" s="260"/>
      <c r="BY111" s="260"/>
      <c r="BZ111" s="239"/>
      <c r="CA111" s="260"/>
      <c r="CB111" s="239"/>
      <c r="CC111" s="260"/>
      <c r="CD111" s="539"/>
      <c r="CE111" s="239"/>
      <c r="CF111" s="276"/>
      <c r="CG111" s="256"/>
      <c r="CH111" s="259"/>
      <c r="CI111" s="347"/>
      <c r="CJ111" s="540"/>
      <c r="CK111" s="256"/>
      <c r="CL111" s="244">
        <v>1</v>
      </c>
      <c r="CM111" s="274">
        <f t="shared" si="1"/>
        <v>2015</v>
      </c>
      <c r="CN111" s="244">
        <f>IF('Grille de saisie'!CM111&lt;18,0,IF('Grille de saisie'!CM111&lt;40,1,IF('Grille de saisie'!CM111&lt;65,2,IF('Grille de saisie'!CM111&lt;100,3,4))))</f>
        <v>4</v>
      </c>
      <c r="CO111" s="236">
        <f>IF(AND('Grille de saisie'!C111=1,'Grille de saisie'!BZ111=0),1,IF(AND('Grille de saisie'!C111="",'Grille de saisie'!BZ111=""),3,IF(AND('Grille de saisie'!C111=5),3,2)))</f>
        <v>3</v>
      </c>
      <c r="CP111" s="236">
        <f>IF(AND('Grille de saisie'!C111=1,'Grille de saisie'!BZ111=0),1,IF(AND('Grille de saisie'!C111=1,'Grille de saisie'!BZ111=1),2,IF(AND('Grille de saisie'!C111=2,'Grille de saisie'!BZ111=0),2,IF(AND('Grille de saisie'!C111=3,'Grille de saisie'!BZ111=0),3,IF(AND('Grille de saisie'!C111=2,'Grille de saisie'!BZ111=1),3,IF(AND('Grille de saisie'!C111=1,'Grille de saisie'!BZ111=2),3,IF(AND('Grille de saisie'!C111="",'Grille de saisie'!BZ111=""),5,IF(AND('Grille de saisie'!C111=5),5,4))))))))</f>
        <v>5</v>
      </c>
      <c r="CQ111" s="237">
        <f>IF('Grille de saisie'!BZ111="",3,IF('Grille de saisie'!C111=5,3,IF('Grille de saisie'!BZ111=0,1,2)))</f>
        <v>3</v>
      </c>
    </row>
    <row r="112" spans="1:95" ht="15">
      <c r="A112" s="510">
        <v>110</v>
      </c>
      <c r="B112" s="240"/>
      <c r="C112" s="513"/>
      <c r="D112" s="240"/>
      <c r="E112" s="517"/>
      <c r="F112" s="265"/>
      <c r="G112" s="513"/>
      <c r="H112" s="265"/>
      <c r="I112" s="520"/>
      <c r="J112" s="241"/>
      <c r="K112" s="520"/>
      <c r="L112" s="241"/>
      <c r="M112" s="521"/>
      <c r="N112" s="241"/>
      <c r="O112" s="521"/>
      <c r="P112" s="241"/>
      <c r="Q112" s="520"/>
      <c r="R112" s="241"/>
      <c r="S112" s="520"/>
      <c r="T112" s="241"/>
      <c r="U112" s="520"/>
      <c r="V112" s="241"/>
      <c r="W112" s="242"/>
      <c r="X112" s="241"/>
      <c r="Y112" s="242"/>
      <c r="Z112" s="241"/>
      <c r="AA112" s="241"/>
      <c r="AB112" s="275"/>
      <c r="AC112" s="524"/>
      <c r="AD112" s="241"/>
      <c r="AE112" s="241"/>
      <c r="AF112" s="241"/>
      <c r="AG112" s="241"/>
      <c r="AH112" s="241"/>
      <c r="AI112" s="241"/>
      <c r="AJ112" s="529"/>
      <c r="AK112" s="258"/>
      <c r="AL112" s="241"/>
      <c r="AM112" s="242"/>
      <c r="AN112" s="241"/>
      <c r="AO112" s="242"/>
      <c r="AP112" s="241"/>
      <c r="AQ112" s="242"/>
      <c r="AR112" s="241"/>
      <c r="AS112" s="242"/>
      <c r="AT112" s="241"/>
      <c r="AU112" s="241"/>
      <c r="AV112" s="256"/>
      <c r="AW112" s="241"/>
      <c r="AX112" s="256"/>
      <c r="AY112" s="241"/>
      <c r="AZ112" s="256"/>
      <c r="BA112" s="239"/>
      <c r="BB112" s="242"/>
      <c r="BC112" s="239"/>
      <c r="BD112" s="242"/>
      <c r="BE112" s="239"/>
      <c r="BF112" s="241"/>
      <c r="BG112" s="239"/>
      <c r="BH112" s="241"/>
      <c r="BI112" s="260"/>
      <c r="BJ112" s="241"/>
      <c r="BK112" s="260"/>
      <c r="BL112" s="239"/>
      <c r="BM112" s="256"/>
      <c r="BN112" s="241"/>
      <c r="BO112" s="243"/>
      <c r="BP112" s="241"/>
      <c r="BQ112" s="239"/>
      <c r="BR112" s="276"/>
      <c r="BS112" s="256"/>
      <c r="BT112" s="260"/>
      <c r="BU112" s="261"/>
      <c r="BV112" s="260"/>
      <c r="BW112" s="239"/>
      <c r="BX112" s="260"/>
      <c r="BY112" s="260"/>
      <c r="BZ112" s="239"/>
      <c r="CA112" s="260"/>
      <c r="CB112" s="239"/>
      <c r="CC112" s="260"/>
      <c r="CD112" s="539"/>
      <c r="CE112" s="239"/>
      <c r="CF112" s="276"/>
      <c r="CG112" s="256"/>
      <c r="CH112" s="259"/>
      <c r="CI112" s="347"/>
      <c r="CJ112" s="540"/>
      <c r="CK112" s="256"/>
      <c r="CL112" s="244">
        <v>1</v>
      </c>
      <c r="CM112" s="274">
        <f t="shared" si="1"/>
        <v>2015</v>
      </c>
      <c r="CN112" s="244">
        <f>IF('Grille de saisie'!CM112&lt;18,0,IF('Grille de saisie'!CM112&lt;40,1,IF('Grille de saisie'!CM112&lt;65,2,IF('Grille de saisie'!CM112&lt;100,3,4))))</f>
        <v>4</v>
      </c>
      <c r="CO112" s="236">
        <f>IF(AND('Grille de saisie'!C112=1,'Grille de saisie'!BZ112=0),1,IF(AND('Grille de saisie'!C112="",'Grille de saisie'!BZ112=""),3,IF(AND('Grille de saisie'!C112=5),3,2)))</f>
        <v>3</v>
      </c>
      <c r="CP112" s="236">
        <f>IF(AND('Grille de saisie'!C112=1,'Grille de saisie'!BZ112=0),1,IF(AND('Grille de saisie'!C112=1,'Grille de saisie'!BZ112=1),2,IF(AND('Grille de saisie'!C112=2,'Grille de saisie'!BZ112=0),2,IF(AND('Grille de saisie'!C112=3,'Grille de saisie'!BZ112=0),3,IF(AND('Grille de saisie'!C112=2,'Grille de saisie'!BZ112=1),3,IF(AND('Grille de saisie'!C112=1,'Grille de saisie'!BZ112=2),3,IF(AND('Grille de saisie'!C112="",'Grille de saisie'!BZ112=""),5,IF(AND('Grille de saisie'!C112=5),5,4))))))))</f>
        <v>5</v>
      </c>
      <c r="CQ112" s="237">
        <f>IF('Grille de saisie'!BZ112="",3,IF('Grille de saisie'!C112=5,3,IF('Grille de saisie'!BZ112=0,1,2)))</f>
        <v>3</v>
      </c>
    </row>
    <row r="113" spans="1:95" ht="15">
      <c r="A113" s="510">
        <v>111</v>
      </c>
      <c r="B113" s="240"/>
      <c r="C113" s="513"/>
      <c r="D113" s="240"/>
      <c r="E113" s="517"/>
      <c r="F113" s="265"/>
      <c r="G113" s="513"/>
      <c r="H113" s="265"/>
      <c r="I113" s="520"/>
      <c r="J113" s="241"/>
      <c r="K113" s="520"/>
      <c r="L113" s="241"/>
      <c r="M113" s="521"/>
      <c r="N113" s="241"/>
      <c r="O113" s="521"/>
      <c r="P113" s="241"/>
      <c r="Q113" s="520"/>
      <c r="R113" s="241"/>
      <c r="S113" s="520"/>
      <c r="T113" s="241"/>
      <c r="U113" s="520"/>
      <c r="V113" s="241"/>
      <c r="W113" s="242"/>
      <c r="X113" s="241"/>
      <c r="Y113" s="242"/>
      <c r="Z113" s="241"/>
      <c r="AA113" s="241"/>
      <c r="AB113" s="275"/>
      <c r="AC113" s="524"/>
      <c r="AD113" s="241"/>
      <c r="AE113" s="241"/>
      <c r="AF113" s="241"/>
      <c r="AG113" s="241"/>
      <c r="AH113" s="241"/>
      <c r="AI113" s="241"/>
      <c r="AJ113" s="529"/>
      <c r="AK113" s="258"/>
      <c r="AL113" s="241"/>
      <c r="AM113" s="242"/>
      <c r="AN113" s="241"/>
      <c r="AO113" s="242"/>
      <c r="AP113" s="241"/>
      <c r="AQ113" s="242"/>
      <c r="AR113" s="241"/>
      <c r="AS113" s="242"/>
      <c r="AT113" s="241"/>
      <c r="AU113" s="241"/>
      <c r="AV113" s="256"/>
      <c r="AW113" s="241"/>
      <c r="AX113" s="256"/>
      <c r="AY113" s="241"/>
      <c r="AZ113" s="256"/>
      <c r="BA113" s="239"/>
      <c r="BB113" s="242"/>
      <c r="BC113" s="239"/>
      <c r="BD113" s="242"/>
      <c r="BE113" s="239"/>
      <c r="BF113" s="241"/>
      <c r="BG113" s="239"/>
      <c r="BH113" s="241"/>
      <c r="BI113" s="260"/>
      <c r="BJ113" s="241"/>
      <c r="BK113" s="260"/>
      <c r="BL113" s="239"/>
      <c r="BM113" s="256"/>
      <c r="BN113" s="241"/>
      <c r="BO113" s="243"/>
      <c r="BP113" s="241"/>
      <c r="BQ113" s="239"/>
      <c r="BR113" s="276"/>
      <c r="BS113" s="256"/>
      <c r="BT113" s="260"/>
      <c r="BU113" s="261"/>
      <c r="BV113" s="260"/>
      <c r="BW113" s="239"/>
      <c r="BX113" s="260"/>
      <c r="BY113" s="260"/>
      <c r="BZ113" s="239"/>
      <c r="CA113" s="260"/>
      <c r="CB113" s="239"/>
      <c r="CC113" s="260"/>
      <c r="CD113" s="539"/>
      <c r="CE113" s="239"/>
      <c r="CF113" s="276"/>
      <c r="CG113" s="256"/>
      <c r="CH113" s="259"/>
      <c r="CI113" s="347"/>
      <c r="CJ113" s="540"/>
      <c r="CK113" s="256"/>
      <c r="CL113" s="244">
        <v>1</v>
      </c>
      <c r="CM113" s="274">
        <f t="shared" si="1"/>
        <v>2015</v>
      </c>
      <c r="CN113" s="244">
        <f>IF('Grille de saisie'!CM113&lt;18,0,IF('Grille de saisie'!CM113&lt;40,1,IF('Grille de saisie'!CM113&lt;65,2,IF('Grille de saisie'!CM113&lt;100,3,4))))</f>
        <v>4</v>
      </c>
      <c r="CO113" s="236">
        <f>IF(AND('Grille de saisie'!C113=1,'Grille de saisie'!BZ113=0),1,IF(AND('Grille de saisie'!C113="",'Grille de saisie'!BZ113=""),3,IF(AND('Grille de saisie'!C113=5),3,2)))</f>
        <v>3</v>
      </c>
      <c r="CP113" s="236">
        <f>IF(AND('Grille de saisie'!C113=1,'Grille de saisie'!BZ113=0),1,IF(AND('Grille de saisie'!C113=1,'Grille de saisie'!BZ113=1),2,IF(AND('Grille de saisie'!C113=2,'Grille de saisie'!BZ113=0),2,IF(AND('Grille de saisie'!C113=3,'Grille de saisie'!BZ113=0),3,IF(AND('Grille de saisie'!C113=2,'Grille de saisie'!BZ113=1),3,IF(AND('Grille de saisie'!C113=1,'Grille de saisie'!BZ113=2),3,IF(AND('Grille de saisie'!C113="",'Grille de saisie'!BZ113=""),5,IF(AND('Grille de saisie'!C113=5),5,4))))))))</f>
        <v>5</v>
      </c>
      <c r="CQ113" s="237">
        <f>IF('Grille de saisie'!BZ113="",3,IF('Grille de saisie'!C113=5,3,IF('Grille de saisie'!BZ113=0,1,2)))</f>
        <v>3</v>
      </c>
    </row>
    <row r="114" spans="1:95" ht="15">
      <c r="A114" s="511">
        <v>112</v>
      </c>
      <c r="B114" s="240"/>
      <c r="C114" s="513"/>
      <c r="D114" s="240"/>
      <c r="E114" s="517"/>
      <c r="F114" s="265"/>
      <c r="G114" s="513"/>
      <c r="H114" s="265"/>
      <c r="I114" s="520"/>
      <c r="J114" s="241"/>
      <c r="K114" s="520"/>
      <c r="L114" s="241"/>
      <c r="M114" s="521"/>
      <c r="N114" s="241"/>
      <c r="O114" s="521"/>
      <c r="P114" s="241"/>
      <c r="Q114" s="520"/>
      <c r="R114" s="241"/>
      <c r="S114" s="520"/>
      <c r="T114" s="241"/>
      <c r="U114" s="520"/>
      <c r="V114" s="241"/>
      <c r="W114" s="242"/>
      <c r="X114" s="241"/>
      <c r="Y114" s="242"/>
      <c r="Z114" s="241"/>
      <c r="AA114" s="241"/>
      <c r="AB114" s="275"/>
      <c r="AC114" s="524"/>
      <c r="AD114" s="241"/>
      <c r="AE114" s="241"/>
      <c r="AF114" s="241"/>
      <c r="AG114" s="241"/>
      <c r="AH114" s="241"/>
      <c r="AI114" s="241"/>
      <c r="AJ114" s="529"/>
      <c r="AK114" s="258"/>
      <c r="AL114" s="241"/>
      <c r="AM114" s="242"/>
      <c r="AN114" s="241"/>
      <c r="AO114" s="242"/>
      <c r="AP114" s="241"/>
      <c r="AQ114" s="242"/>
      <c r="AR114" s="241"/>
      <c r="AS114" s="242"/>
      <c r="AT114" s="241"/>
      <c r="AU114" s="241"/>
      <c r="AV114" s="256"/>
      <c r="AW114" s="241"/>
      <c r="AX114" s="256"/>
      <c r="AY114" s="241"/>
      <c r="AZ114" s="256"/>
      <c r="BA114" s="239"/>
      <c r="BB114" s="242"/>
      <c r="BC114" s="239"/>
      <c r="BD114" s="242"/>
      <c r="BE114" s="239"/>
      <c r="BF114" s="241"/>
      <c r="BG114" s="239"/>
      <c r="BH114" s="241"/>
      <c r="BI114" s="260"/>
      <c r="BJ114" s="241"/>
      <c r="BK114" s="260"/>
      <c r="BL114" s="239"/>
      <c r="BM114" s="256"/>
      <c r="BN114" s="241"/>
      <c r="BO114" s="243"/>
      <c r="BP114" s="241"/>
      <c r="BQ114" s="239"/>
      <c r="BR114" s="276"/>
      <c r="BS114" s="256"/>
      <c r="BT114" s="260"/>
      <c r="BU114" s="261"/>
      <c r="BV114" s="260"/>
      <c r="BW114" s="239"/>
      <c r="BX114" s="260"/>
      <c r="BY114" s="260"/>
      <c r="BZ114" s="239"/>
      <c r="CA114" s="260"/>
      <c r="CB114" s="239"/>
      <c r="CC114" s="260"/>
      <c r="CD114" s="539"/>
      <c r="CE114" s="239"/>
      <c r="CF114" s="276"/>
      <c r="CG114" s="256"/>
      <c r="CH114" s="259"/>
      <c r="CI114" s="347"/>
      <c r="CJ114" s="540"/>
      <c r="CK114" s="256"/>
      <c r="CL114" s="244">
        <v>1</v>
      </c>
      <c r="CM114" s="274">
        <f t="shared" si="1"/>
        <v>2015</v>
      </c>
      <c r="CN114" s="244">
        <f>IF('Grille de saisie'!CM114&lt;18,0,IF('Grille de saisie'!CM114&lt;40,1,IF('Grille de saisie'!CM114&lt;65,2,IF('Grille de saisie'!CM114&lt;100,3,4))))</f>
        <v>4</v>
      </c>
      <c r="CO114" s="236">
        <f>IF(AND('Grille de saisie'!C114=1,'Grille de saisie'!BZ114=0),1,IF(AND('Grille de saisie'!C114="",'Grille de saisie'!BZ114=""),3,IF(AND('Grille de saisie'!C114=5),3,2)))</f>
        <v>3</v>
      </c>
      <c r="CP114" s="236">
        <f>IF(AND('Grille de saisie'!C114=1,'Grille de saisie'!BZ114=0),1,IF(AND('Grille de saisie'!C114=1,'Grille de saisie'!BZ114=1),2,IF(AND('Grille de saisie'!C114=2,'Grille de saisie'!BZ114=0),2,IF(AND('Grille de saisie'!C114=3,'Grille de saisie'!BZ114=0),3,IF(AND('Grille de saisie'!C114=2,'Grille de saisie'!BZ114=1),3,IF(AND('Grille de saisie'!C114=1,'Grille de saisie'!BZ114=2),3,IF(AND('Grille de saisie'!C114="",'Grille de saisie'!BZ114=""),5,IF(AND('Grille de saisie'!C114=5),5,4))))))))</f>
        <v>5</v>
      </c>
      <c r="CQ114" s="237">
        <f>IF('Grille de saisie'!BZ114="",3,IF('Grille de saisie'!C114=5,3,IF('Grille de saisie'!BZ114=0,1,2)))</f>
        <v>3</v>
      </c>
    </row>
    <row r="115" spans="1:95" ht="15">
      <c r="A115" s="510">
        <v>113</v>
      </c>
      <c r="B115" s="240"/>
      <c r="C115" s="513"/>
      <c r="D115" s="240"/>
      <c r="E115" s="517"/>
      <c r="F115" s="265"/>
      <c r="G115" s="513"/>
      <c r="H115" s="265"/>
      <c r="I115" s="520"/>
      <c r="J115" s="241"/>
      <c r="K115" s="520"/>
      <c r="L115" s="241"/>
      <c r="M115" s="521"/>
      <c r="N115" s="241"/>
      <c r="O115" s="521"/>
      <c r="P115" s="241"/>
      <c r="Q115" s="520"/>
      <c r="R115" s="241"/>
      <c r="S115" s="520"/>
      <c r="T115" s="241"/>
      <c r="U115" s="520"/>
      <c r="V115" s="241"/>
      <c r="W115" s="242"/>
      <c r="X115" s="241"/>
      <c r="Y115" s="242"/>
      <c r="Z115" s="241"/>
      <c r="AA115" s="241"/>
      <c r="AB115" s="275"/>
      <c r="AC115" s="524"/>
      <c r="AD115" s="241"/>
      <c r="AE115" s="241"/>
      <c r="AF115" s="241"/>
      <c r="AG115" s="241"/>
      <c r="AH115" s="241"/>
      <c r="AI115" s="241"/>
      <c r="AJ115" s="529"/>
      <c r="AK115" s="258"/>
      <c r="AL115" s="241"/>
      <c r="AM115" s="242"/>
      <c r="AN115" s="241"/>
      <c r="AO115" s="242"/>
      <c r="AP115" s="241"/>
      <c r="AQ115" s="242"/>
      <c r="AR115" s="241"/>
      <c r="AS115" s="242"/>
      <c r="AT115" s="241"/>
      <c r="AU115" s="241"/>
      <c r="AV115" s="256"/>
      <c r="AW115" s="241"/>
      <c r="AX115" s="256"/>
      <c r="AY115" s="241"/>
      <c r="AZ115" s="256"/>
      <c r="BA115" s="239"/>
      <c r="BB115" s="242"/>
      <c r="BC115" s="239"/>
      <c r="BD115" s="242"/>
      <c r="BE115" s="239"/>
      <c r="BF115" s="241"/>
      <c r="BG115" s="239"/>
      <c r="BH115" s="241"/>
      <c r="BI115" s="260"/>
      <c r="BJ115" s="241"/>
      <c r="BK115" s="260"/>
      <c r="BL115" s="239"/>
      <c r="BM115" s="256"/>
      <c r="BN115" s="241"/>
      <c r="BO115" s="243"/>
      <c r="BP115" s="241"/>
      <c r="BQ115" s="239"/>
      <c r="BR115" s="276"/>
      <c r="BS115" s="256"/>
      <c r="BT115" s="260"/>
      <c r="BU115" s="261"/>
      <c r="BV115" s="260"/>
      <c r="BW115" s="239"/>
      <c r="BX115" s="260"/>
      <c r="BY115" s="260"/>
      <c r="BZ115" s="239"/>
      <c r="CA115" s="260"/>
      <c r="CB115" s="239"/>
      <c r="CC115" s="260"/>
      <c r="CD115" s="539"/>
      <c r="CE115" s="239"/>
      <c r="CF115" s="276"/>
      <c r="CG115" s="256"/>
      <c r="CH115" s="259"/>
      <c r="CI115" s="347"/>
      <c r="CJ115" s="540"/>
      <c r="CK115" s="256"/>
      <c r="CL115" s="244">
        <v>1</v>
      </c>
      <c r="CM115" s="274">
        <f t="shared" si="1"/>
        <v>2015</v>
      </c>
      <c r="CN115" s="244">
        <f>IF('Grille de saisie'!CM115&lt;18,0,IF('Grille de saisie'!CM115&lt;40,1,IF('Grille de saisie'!CM115&lt;65,2,IF('Grille de saisie'!CM115&lt;100,3,4))))</f>
        <v>4</v>
      </c>
      <c r="CO115" s="236">
        <f>IF(AND('Grille de saisie'!C115=1,'Grille de saisie'!BZ115=0),1,IF(AND('Grille de saisie'!C115="",'Grille de saisie'!BZ115=""),3,IF(AND('Grille de saisie'!C115=5),3,2)))</f>
        <v>3</v>
      </c>
      <c r="CP115" s="236">
        <f>IF(AND('Grille de saisie'!C115=1,'Grille de saisie'!BZ115=0),1,IF(AND('Grille de saisie'!C115=1,'Grille de saisie'!BZ115=1),2,IF(AND('Grille de saisie'!C115=2,'Grille de saisie'!BZ115=0),2,IF(AND('Grille de saisie'!C115=3,'Grille de saisie'!BZ115=0),3,IF(AND('Grille de saisie'!C115=2,'Grille de saisie'!BZ115=1),3,IF(AND('Grille de saisie'!C115=1,'Grille de saisie'!BZ115=2),3,IF(AND('Grille de saisie'!C115="",'Grille de saisie'!BZ115=""),5,IF(AND('Grille de saisie'!C115=5),5,4))))))))</f>
        <v>5</v>
      </c>
      <c r="CQ115" s="237">
        <f>IF('Grille de saisie'!BZ115="",3,IF('Grille de saisie'!C115=5,3,IF('Grille de saisie'!BZ115=0,1,2)))</f>
        <v>3</v>
      </c>
    </row>
    <row r="116" spans="1:95" ht="15">
      <c r="A116" s="510">
        <v>114</v>
      </c>
      <c r="B116" s="240"/>
      <c r="C116" s="513"/>
      <c r="D116" s="240"/>
      <c r="E116" s="517"/>
      <c r="F116" s="265"/>
      <c r="G116" s="513"/>
      <c r="H116" s="265"/>
      <c r="I116" s="520"/>
      <c r="J116" s="241"/>
      <c r="K116" s="520"/>
      <c r="L116" s="241"/>
      <c r="M116" s="521"/>
      <c r="N116" s="241"/>
      <c r="O116" s="521"/>
      <c r="P116" s="241"/>
      <c r="Q116" s="520"/>
      <c r="R116" s="241"/>
      <c r="S116" s="520"/>
      <c r="T116" s="241"/>
      <c r="U116" s="520"/>
      <c r="V116" s="241"/>
      <c r="W116" s="242"/>
      <c r="X116" s="241"/>
      <c r="Y116" s="242"/>
      <c r="Z116" s="241"/>
      <c r="AA116" s="241"/>
      <c r="AB116" s="275"/>
      <c r="AC116" s="524"/>
      <c r="AD116" s="241"/>
      <c r="AE116" s="241"/>
      <c r="AF116" s="241"/>
      <c r="AG116" s="241"/>
      <c r="AH116" s="241"/>
      <c r="AI116" s="241"/>
      <c r="AJ116" s="529"/>
      <c r="AK116" s="258"/>
      <c r="AL116" s="241"/>
      <c r="AM116" s="242"/>
      <c r="AN116" s="241"/>
      <c r="AO116" s="242"/>
      <c r="AP116" s="241"/>
      <c r="AQ116" s="242"/>
      <c r="AR116" s="241"/>
      <c r="AS116" s="242"/>
      <c r="AT116" s="241"/>
      <c r="AU116" s="241"/>
      <c r="AV116" s="256"/>
      <c r="AW116" s="241"/>
      <c r="AX116" s="256"/>
      <c r="AY116" s="241"/>
      <c r="AZ116" s="256"/>
      <c r="BA116" s="239"/>
      <c r="BB116" s="242"/>
      <c r="BC116" s="239"/>
      <c r="BD116" s="242"/>
      <c r="BE116" s="239"/>
      <c r="BF116" s="241"/>
      <c r="BG116" s="239"/>
      <c r="BH116" s="241"/>
      <c r="BI116" s="260"/>
      <c r="BJ116" s="241"/>
      <c r="BK116" s="260"/>
      <c r="BL116" s="239"/>
      <c r="BM116" s="256"/>
      <c r="BN116" s="241"/>
      <c r="BO116" s="243"/>
      <c r="BP116" s="241"/>
      <c r="BQ116" s="239"/>
      <c r="BR116" s="276"/>
      <c r="BS116" s="256"/>
      <c r="BT116" s="260"/>
      <c r="BU116" s="261"/>
      <c r="BV116" s="260"/>
      <c r="BW116" s="239"/>
      <c r="BX116" s="260"/>
      <c r="BY116" s="260"/>
      <c r="BZ116" s="239"/>
      <c r="CA116" s="260"/>
      <c r="CB116" s="239"/>
      <c r="CC116" s="260"/>
      <c r="CD116" s="539"/>
      <c r="CE116" s="239"/>
      <c r="CF116" s="276"/>
      <c r="CG116" s="256"/>
      <c r="CH116" s="259"/>
      <c r="CI116" s="347"/>
      <c r="CJ116" s="540"/>
      <c r="CK116" s="256"/>
      <c r="CL116" s="244">
        <v>1</v>
      </c>
      <c r="CM116" s="274">
        <f t="shared" si="1"/>
        <v>2015</v>
      </c>
      <c r="CN116" s="244">
        <f>IF('Grille de saisie'!CM116&lt;18,0,IF('Grille de saisie'!CM116&lt;40,1,IF('Grille de saisie'!CM116&lt;65,2,IF('Grille de saisie'!CM116&lt;100,3,4))))</f>
        <v>4</v>
      </c>
      <c r="CO116" s="236">
        <f>IF(AND('Grille de saisie'!C116=1,'Grille de saisie'!BZ116=0),1,IF(AND('Grille de saisie'!C116="",'Grille de saisie'!BZ116=""),3,IF(AND('Grille de saisie'!C116=5),3,2)))</f>
        <v>3</v>
      </c>
      <c r="CP116" s="236">
        <f>IF(AND('Grille de saisie'!C116=1,'Grille de saisie'!BZ116=0),1,IF(AND('Grille de saisie'!C116=1,'Grille de saisie'!BZ116=1),2,IF(AND('Grille de saisie'!C116=2,'Grille de saisie'!BZ116=0),2,IF(AND('Grille de saisie'!C116=3,'Grille de saisie'!BZ116=0),3,IF(AND('Grille de saisie'!C116=2,'Grille de saisie'!BZ116=1),3,IF(AND('Grille de saisie'!C116=1,'Grille de saisie'!BZ116=2),3,IF(AND('Grille de saisie'!C116="",'Grille de saisie'!BZ116=""),5,IF(AND('Grille de saisie'!C116=5),5,4))))))))</f>
        <v>5</v>
      </c>
      <c r="CQ116" s="237">
        <f>IF('Grille de saisie'!BZ116="",3,IF('Grille de saisie'!C116=5,3,IF('Grille de saisie'!BZ116=0,1,2)))</f>
        <v>3</v>
      </c>
    </row>
    <row r="117" spans="1:95" ht="15">
      <c r="A117" s="511">
        <v>115</v>
      </c>
      <c r="B117" s="240"/>
      <c r="C117" s="513"/>
      <c r="D117" s="240"/>
      <c r="E117" s="517"/>
      <c r="F117" s="265"/>
      <c r="G117" s="513"/>
      <c r="H117" s="265"/>
      <c r="I117" s="520"/>
      <c r="J117" s="241"/>
      <c r="K117" s="520"/>
      <c r="L117" s="241"/>
      <c r="M117" s="521"/>
      <c r="N117" s="241"/>
      <c r="O117" s="521"/>
      <c r="P117" s="241"/>
      <c r="Q117" s="520"/>
      <c r="R117" s="241"/>
      <c r="S117" s="520"/>
      <c r="T117" s="241"/>
      <c r="U117" s="520"/>
      <c r="V117" s="241"/>
      <c r="W117" s="242"/>
      <c r="X117" s="241"/>
      <c r="Y117" s="242"/>
      <c r="Z117" s="241"/>
      <c r="AA117" s="241"/>
      <c r="AB117" s="275"/>
      <c r="AC117" s="524"/>
      <c r="AD117" s="241"/>
      <c r="AE117" s="241"/>
      <c r="AF117" s="241"/>
      <c r="AG117" s="241"/>
      <c r="AH117" s="241"/>
      <c r="AI117" s="241"/>
      <c r="AJ117" s="529"/>
      <c r="AK117" s="258"/>
      <c r="AL117" s="241"/>
      <c r="AM117" s="242"/>
      <c r="AN117" s="241"/>
      <c r="AO117" s="242"/>
      <c r="AP117" s="241"/>
      <c r="AQ117" s="242"/>
      <c r="AR117" s="241"/>
      <c r="AS117" s="242"/>
      <c r="AT117" s="241"/>
      <c r="AU117" s="241"/>
      <c r="AV117" s="256"/>
      <c r="AW117" s="241"/>
      <c r="AX117" s="256"/>
      <c r="AY117" s="241"/>
      <c r="AZ117" s="256"/>
      <c r="BA117" s="239"/>
      <c r="BB117" s="242"/>
      <c r="BC117" s="239"/>
      <c r="BD117" s="242"/>
      <c r="BE117" s="239"/>
      <c r="BF117" s="241"/>
      <c r="BG117" s="239"/>
      <c r="BH117" s="241"/>
      <c r="BI117" s="260"/>
      <c r="BJ117" s="241"/>
      <c r="BK117" s="260"/>
      <c r="BL117" s="239"/>
      <c r="BM117" s="256"/>
      <c r="BN117" s="241"/>
      <c r="BO117" s="243"/>
      <c r="BP117" s="241"/>
      <c r="BQ117" s="239"/>
      <c r="BR117" s="276"/>
      <c r="BS117" s="256"/>
      <c r="BT117" s="260"/>
      <c r="BU117" s="261"/>
      <c r="BV117" s="260"/>
      <c r="BW117" s="239"/>
      <c r="BX117" s="260"/>
      <c r="BY117" s="260"/>
      <c r="BZ117" s="239"/>
      <c r="CA117" s="260"/>
      <c r="CB117" s="239"/>
      <c r="CC117" s="260"/>
      <c r="CD117" s="539"/>
      <c r="CE117" s="239"/>
      <c r="CF117" s="276"/>
      <c r="CG117" s="256"/>
      <c r="CH117" s="259"/>
      <c r="CI117" s="347"/>
      <c r="CJ117" s="540"/>
      <c r="CK117" s="256"/>
      <c r="CL117" s="244">
        <v>1</v>
      </c>
      <c r="CM117" s="274">
        <f t="shared" si="1"/>
        <v>2015</v>
      </c>
      <c r="CN117" s="244">
        <f>IF('Grille de saisie'!CM117&lt;18,0,IF('Grille de saisie'!CM117&lt;40,1,IF('Grille de saisie'!CM117&lt;65,2,IF('Grille de saisie'!CM117&lt;100,3,4))))</f>
        <v>4</v>
      </c>
      <c r="CO117" s="236">
        <f>IF(AND('Grille de saisie'!C117=1,'Grille de saisie'!BZ117=0),1,IF(AND('Grille de saisie'!C117="",'Grille de saisie'!BZ117=""),3,IF(AND('Grille de saisie'!C117=5),3,2)))</f>
        <v>3</v>
      </c>
      <c r="CP117" s="236">
        <f>IF(AND('Grille de saisie'!C117=1,'Grille de saisie'!BZ117=0),1,IF(AND('Grille de saisie'!C117=1,'Grille de saisie'!BZ117=1),2,IF(AND('Grille de saisie'!C117=2,'Grille de saisie'!BZ117=0),2,IF(AND('Grille de saisie'!C117=3,'Grille de saisie'!BZ117=0),3,IF(AND('Grille de saisie'!C117=2,'Grille de saisie'!BZ117=1),3,IF(AND('Grille de saisie'!C117=1,'Grille de saisie'!BZ117=2),3,IF(AND('Grille de saisie'!C117="",'Grille de saisie'!BZ117=""),5,IF(AND('Grille de saisie'!C117=5),5,4))))))))</f>
        <v>5</v>
      </c>
      <c r="CQ117" s="237">
        <f>IF('Grille de saisie'!BZ117="",3,IF('Grille de saisie'!C117=5,3,IF('Grille de saisie'!BZ117=0,1,2)))</f>
        <v>3</v>
      </c>
    </row>
    <row r="118" spans="1:95" ht="15">
      <c r="A118" s="510">
        <v>116</v>
      </c>
      <c r="B118" s="240"/>
      <c r="C118" s="513"/>
      <c r="D118" s="240"/>
      <c r="E118" s="517"/>
      <c r="F118" s="265"/>
      <c r="G118" s="513"/>
      <c r="H118" s="265"/>
      <c r="I118" s="520"/>
      <c r="J118" s="241"/>
      <c r="K118" s="520"/>
      <c r="L118" s="241"/>
      <c r="M118" s="521"/>
      <c r="N118" s="241"/>
      <c r="O118" s="521"/>
      <c r="P118" s="241"/>
      <c r="Q118" s="520"/>
      <c r="R118" s="241"/>
      <c r="S118" s="520"/>
      <c r="T118" s="241"/>
      <c r="U118" s="520"/>
      <c r="V118" s="241"/>
      <c r="W118" s="242"/>
      <c r="X118" s="241"/>
      <c r="Y118" s="242"/>
      <c r="Z118" s="241"/>
      <c r="AA118" s="241"/>
      <c r="AB118" s="275"/>
      <c r="AC118" s="524"/>
      <c r="AD118" s="241"/>
      <c r="AE118" s="241"/>
      <c r="AF118" s="241"/>
      <c r="AG118" s="241"/>
      <c r="AH118" s="241"/>
      <c r="AI118" s="241"/>
      <c r="AJ118" s="529"/>
      <c r="AK118" s="258"/>
      <c r="AL118" s="241"/>
      <c r="AM118" s="242"/>
      <c r="AN118" s="241"/>
      <c r="AO118" s="242"/>
      <c r="AP118" s="241"/>
      <c r="AQ118" s="242"/>
      <c r="AR118" s="241"/>
      <c r="AS118" s="242"/>
      <c r="AT118" s="241"/>
      <c r="AU118" s="241"/>
      <c r="AV118" s="256"/>
      <c r="AW118" s="241"/>
      <c r="AX118" s="256"/>
      <c r="AY118" s="241"/>
      <c r="AZ118" s="256"/>
      <c r="BA118" s="239"/>
      <c r="BB118" s="242"/>
      <c r="BC118" s="239"/>
      <c r="BD118" s="242"/>
      <c r="BE118" s="239"/>
      <c r="BF118" s="241"/>
      <c r="BG118" s="239"/>
      <c r="BH118" s="241"/>
      <c r="BI118" s="260"/>
      <c r="BJ118" s="241"/>
      <c r="BK118" s="260"/>
      <c r="BL118" s="239"/>
      <c r="BM118" s="256"/>
      <c r="BN118" s="241"/>
      <c r="BO118" s="243"/>
      <c r="BP118" s="241"/>
      <c r="BQ118" s="239"/>
      <c r="BR118" s="276"/>
      <c r="BS118" s="256"/>
      <c r="BT118" s="260"/>
      <c r="BU118" s="261"/>
      <c r="BV118" s="260"/>
      <c r="BW118" s="239"/>
      <c r="BX118" s="260"/>
      <c r="BY118" s="260"/>
      <c r="BZ118" s="239"/>
      <c r="CA118" s="260"/>
      <c r="CB118" s="239"/>
      <c r="CC118" s="260"/>
      <c r="CD118" s="539"/>
      <c r="CE118" s="239"/>
      <c r="CF118" s="276"/>
      <c r="CG118" s="256"/>
      <c r="CH118" s="259"/>
      <c r="CI118" s="347"/>
      <c r="CJ118" s="540"/>
      <c r="CK118" s="256"/>
      <c r="CL118" s="244">
        <v>1</v>
      </c>
      <c r="CM118" s="274">
        <f t="shared" si="1"/>
        <v>2015</v>
      </c>
      <c r="CN118" s="244">
        <f>IF('Grille de saisie'!CM118&lt;18,0,IF('Grille de saisie'!CM118&lt;40,1,IF('Grille de saisie'!CM118&lt;65,2,IF('Grille de saisie'!CM118&lt;100,3,4))))</f>
        <v>4</v>
      </c>
      <c r="CO118" s="236">
        <f>IF(AND('Grille de saisie'!C118=1,'Grille de saisie'!BZ118=0),1,IF(AND('Grille de saisie'!C118="",'Grille de saisie'!BZ118=""),3,IF(AND('Grille de saisie'!C118=5),3,2)))</f>
        <v>3</v>
      </c>
      <c r="CP118" s="236">
        <f>IF(AND('Grille de saisie'!C118=1,'Grille de saisie'!BZ118=0),1,IF(AND('Grille de saisie'!C118=1,'Grille de saisie'!BZ118=1),2,IF(AND('Grille de saisie'!C118=2,'Grille de saisie'!BZ118=0),2,IF(AND('Grille de saisie'!C118=3,'Grille de saisie'!BZ118=0),3,IF(AND('Grille de saisie'!C118=2,'Grille de saisie'!BZ118=1),3,IF(AND('Grille de saisie'!C118=1,'Grille de saisie'!BZ118=2),3,IF(AND('Grille de saisie'!C118="",'Grille de saisie'!BZ118=""),5,IF(AND('Grille de saisie'!C118=5),5,4))))))))</f>
        <v>5</v>
      </c>
      <c r="CQ118" s="237">
        <f>IF('Grille de saisie'!BZ118="",3,IF('Grille de saisie'!C118=5,3,IF('Grille de saisie'!BZ118=0,1,2)))</f>
        <v>3</v>
      </c>
    </row>
    <row r="119" spans="1:95" ht="15">
      <c r="A119" s="510">
        <v>117</v>
      </c>
      <c r="B119" s="240"/>
      <c r="C119" s="513"/>
      <c r="D119" s="240"/>
      <c r="E119" s="517"/>
      <c r="F119" s="265"/>
      <c r="G119" s="513"/>
      <c r="H119" s="265"/>
      <c r="I119" s="520"/>
      <c r="J119" s="241"/>
      <c r="K119" s="520"/>
      <c r="L119" s="241"/>
      <c r="M119" s="521"/>
      <c r="N119" s="241"/>
      <c r="O119" s="521"/>
      <c r="P119" s="241"/>
      <c r="Q119" s="520"/>
      <c r="R119" s="241"/>
      <c r="S119" s="520"/>
      <c r="T119" s="241"/>
      <c r="U119" s="520"/>
      <c r="V119" s="241"/>
      <c r="W119" s="242"/>
      <c r="X119" s="241"/>
      <c r="Y119" s="242"/>
      <c r="Z119" s="241"/>
      <c r="AA119" s="241"/>
      <c r="AB119" s="275"/>
      <c r="AC119" s="524"/>
      <c r="AD119" s="241"/>
      <c r="AE119" s="241"/>
      <c r="AF119" s="241"/>
      <c r="AG119" s="241"/>
      <c r="AH119" s="241"/>
      <c r="AI119" s="241"/>
      <c r="AJ119" s="529"/>
      <c r="AK119" s="258"/>
      <c r="AL119" s="241"/>
      <c r="AM119" s="242"/>
      <c r="AN119" s="241"/>
      <c r="AO119" s="242"/>
      <c r="AP119" s="241"/>
      <c r="AQ119" s="242"/>
      <c r="AR119" s="241"/>
      <c r="AS119" s="242"/>
      <c r="AT119" s="241"/>
      <c r="AU119" s="241"/>
      <c r="AV119" s="256"/>
      <c r="AW119" s="241"/>
      <c r="AX119" s="256"/>
      <c r="AY119" s="241"/>
      <c r="AZ119" s="256"/>
      <c r="BA119" s="239"/>
      <c r="BB119" s="242"/>
      <c r="BC119" s="239"/>
      <c r="BD119" s="242"/>
      <c r="BE119" s="239"/>
      <c r="BF119" s="241"/>
      <c r="BG119" s="239"/>
      <c r="BH119" s="241"/>
      <c r="BI119" s="260"/>
      <c r="BJ119" s="241"/>
      <c r="BK119" s="260"/>
      <c r="BL119" s="239"/>
      <c r="BM119" s="256"/>
      <c r="BN119" s="241"/>
      <c r="BO119" s="243"/>
      <c r="BP119" s="241"/>
      <c r="BQ119" s="239"/>
      <c r="BR119" s="276"/>
      <c r="BS119" s="256"/>
      <c r="BT119" s="260"/>
      <c r="BU119" s="261"/>
      <c r="BV119" s="260"/>
      <c r="BW119" s="239"/>
      <c r="BX119" s="260"/>
      <c r="BY119" s="260"/>
      <c r="BZ119" s="239"/>
      <c r="CA119" s="260"/>
      <c r="CB119" s="239"/>
      <c r="CC119" s="260"/>
      <c r="CD119" s="539"/>
      <c r="CE119" s="239"/>
      <c r="CF119" s="276"/>
      <c r="CG119" s="256"/>
      <c r="CH119" s="259"/>
      <c r="CI119" s="347"/>
      <c r="CJ119" s="540"/>
      <c r="CK119" s="256"/>
      <c r="CL119" s="244">
        <v>1</v>
      </c>
      <c r="CM119" s="274">
        <f t="shared" si="1"/>
        <v>2015</v>
      </c>
      <c r="CN119" s="244">
        <f>IF('Grille de saisie'!CM119&lt;18,0,IF('Grille de saisie'!CM119&lt;40,1,IF('Grille de saisie'!CM119&lt;65,2,IF('Grille de saisie'!CM119&lt;100,3,4))))</f>
        <v>4</v>
      </c>
      <c r="CO119" s="236">
        <f>IF(AND('Grille de saisie'!C119=1,'Grille de saisie'!BZ119=0),1,IF(AND('Grille de saisie'!C119="",'Grille de saisie'!BZ119=""),3,IF(AND('Grille de saisie'!C119=5),3,2)))</f>
        <v>3</v>
      </c>
      <c r="CP119" s="236">
        <f>IF(AND('Grille de saisie'!C119=1,'Grille de saisie'!BZ119=0),1,IF(AND('Grille de saisie'!C119=1,'Grille de saisie'!BZ119=1),2,IF(AND('Grille de saisie'!C119=2,'Grille de saisie'!BZ119=0),2,IF(AND('Grille de saisie'!C119=3,'Grille de saisie'!BZ119=0),3,IF(AND('Grille de saisie'!C119=2,'Grille de saisie'!BZ119=1),3,IF(AND('Grille de saisie'!C119=1,'Grille de saisie'!BZ119=2),3,IF(AND('Grille de saisie'!C119="",'Grille de saisie'!BZ119=""),5,IF(AND('Grille de saisie'!C119=5),5,4))))))))</f>
        <v>5</v>
      </c>
      <c r="CQ119" s="237">
        <f>IF('Grille de saisie'!BZ119="",3,IF('Grille de saisie'!C119=5,3,IF('Grille de saisie'!BZ119=0,1,2)))</f>
        <v>3</v>
      </c>
    </row>
    <row r="120" spans="1:95" ht="15">
      <c r="A120" s="511">
        <v>118</v>
      </c>
      <c r="B120" s="240"/>
      <c r="C120" s="513"/>
      <c r="D120" s="240"/>
      <c r="E120" s="517"/>
      <c r="F120" s="265"/>
      <c r="G120" s="513"/>
      <c r="H120" s="265"/>
      <c r="I120" s="520"/>
      <c r="J120" s="241"/>
      <c r="K120" s="520"/>
      <c r="L120" s="241"/>
      <c r="M120" s="521"/>
      <c r="N120" s="241"/>
      <c r="O120" s="521"/>
      <c r="P120" s="241"/>
      <c r="Q120" s="520"/>
      <c r="R120" s="241"/>
      <c r="S120" s="520"/>
      <c r="T120" s="241"/>
      <c r="U120" s="520"/>
      <c r="V120" s="241"/>
      <c r="W120" s="242"/>
      <c r="X120" s="241"/>
      <c r="Y120" s="242"/>
      <c r="Z120" s="241"/>
      <c r="AA120" s="241"/>
      <c r="AB120" s="275"/>
      <c r="AC120" s="524"/>
      <c r="AD120" s="241"/>
      <c r="AE120" s="241"/>
      <c r="AF120" s="241"/>
      <c r="AG120" s="241"/>
      <c r="AH120" s="241"/>
      <c r="AI120" s="241"/>
      <c r="AJ120" s="529"/>
      <c r="AK120" s="258"/>
      <c r="AL120" s="241"/>
      <c r="AM120" s="242"/>
      <c r="AN120" s="241"/>
      <c r="AO120" s="242"/>
      <c r="AP120" s="241"/>
      <c r="AQ120" s="242"/>
      <c r="AR120" s="241"/>
      <c r="AS120" s="242"/>
      <c r="AT120" s="241"/>
      <c r="AU120" s="241"/>
      <c r="AV120" s="256"/>
      <c r="AW120" s="241"/>
      <c r="AX120" s="256"/>
      <c r="AY120" s="241"/>
      <c r="AZ120" s="256"/>
      <c r="BA120" s="239"/>
      <c r="BB120" s="242"/>
      <c r="BC120" s="239"/>
      <c r="BD120" s="242"/>
      <c r="BE120" s="239"/>
      <c r="BF120" s="241"/>
      <c r="BG120" s="239"/>
      <c r="BH120" s="241"/>
      <c r="BI120" s="260"/>
      <c r="BJ120" s="241"/>
      <c r="BK120" s="260"/>
      <c r="BL120" s="239"/>
      <c r="BM120" s="256"/>
      <c r="BN120" s="241"/>
      <c r="BO120" s="243"/>
      <c r="BP120" s="241"/>
      <c r="BQ120" s="239"/>
      <c r="BR120" s="276"/>
      <c r="BS120" s="256"/>
      <c r="BT120" s="260"/>
      <c r="BU120" s="261"/>
      <c r="BV120" s="260"/>
      <c r="BW120" s="239"/>
      <c r="BX120" s="260"/>
      <c r="BY120" s="260"/>
      <c r="BZ120" s="239"/>
      <c r="CA120" s="260"/>
      <c r="CB120" s="239"/>
      <c r="CC120" s="260"/>
      <c r="CD120" s="539"/>
      <c r="CE120" s="239"/>
      <c r="CF120" s="276"/>
      <c r="CG120" s="256"/>
      <c r="CH120" s="259"/>
      <c r="CI120" s="347"/>
      <c r="CJ120" s="540"/>
      <c r="CK120" s="256"/>
      <c r="CL120" s="244">
        <v>1</v>
      </c>
      <c r="CM120" s="274">
        <f t="shared" si="1"/>
        <v>2015</v>
      </c>
      <c r="CN120" s="244">
        <f>IF('Grille de saisie'!CM120&lt;18,0,IF('Grille de saisie'!CM120&lt;40,1,IF('Grille de saisie'!CM120&lt;65,2,IF('Grille de saisie'!CM120&lt;100,3,4))))</f>
        <v>4</v>
      </c>
      <c r="CO120" s="236">
        <f>IF(AND('Grille de saisie'!C120=1,'Grille de saisie'!BZ120=0),1,IF(AND('Grille de saisie'!C120="",'Grille de saisie'!BZ120=""),3,IF(AND('Grille de saisie'!C120=5),3,2)))</f>
        <v>3</v>
      </c>
      <c r="CP120" s="236">
        <f>IF(AND('Grille de saisie'!C120=1,'Grille de saisie'!BZ120=0),1,IF(AND('Grille de saisie'!C120=1,'Grille de saisie'!BZ120=1),2,IF(AND('Grille de saisie'!C120=2,'Grille de saisie'!BZ120=0),2,IF(AND('Grille de saisie'!C120=3,'Grille de saisie'!BZ120=0),3,IF(AND('Grille de saisie'!C120=2,'Grille de saisie'!BZ120=1),3,IF(AND('Grille de saisie'!C120=1,'Grille de saisie'!BZ120=2),3,IF(AND('Grille de saisie'!C120="",'Grille de saisie'!BZ120=""),5,IF(AND('Grille de saisie'!C120=5),5,4))))))))</f>
        <v>5</v>
      </c>
      <c r="CQ120" s="237">
        <f>IF('Grille de saisie'!BZ120="",3,IF('Grille de saisie'!C120=5,3,IF('Grille de saisie'!BZ120=0,1,2)))</f>
        <v>3</v>
      </c>
    </row>
    <row r="121" spans="1:95" ht="15">
      <c r="A121" s="510">
        <v>119</v>
      </c>
      <c r="B121" s="240"/>
      <c r="C121" s="513"/>
      <c r="D121" s="240"/>
      <c r="E121" s="517"/>
      <c r="F121" s="265"/>
      <c r="G121" s="513"/>
      <c r="H121" s="265"/>
      <c r="I121" s="520"/>
      <c r="J121" s="241"/>
      <c r="K121" s="520"/>
      <c r="L121" s="241"/>
      <c r="M121" s="521"/>
      <c r="N121" s="241"/>
      <c r="O121" s="521"/>
      <c r="P121" s="241"/>
      <c r="Q121" s="520"/>
      <c r="R121" s="241"/>
      <c r="S121" s="520"/>
      <c r="T121" s="241"/>
      <c r="U121" s="520"/>
      <c r="V121" s="241"/>
      <c r="W121" s="242"/>
      <c r="X121" s="241"/>
      <c r="Y121" s="242"/>
      <c r="Z121" s="241"/>
      <c r="AA121" s="241"/>
      <c r="AB121" s="275"/>
      <c r="AC121" s="524"/>
      <c r="AD121" s="241"/>
      <c r="AE121" s="241"/>
      <c r="AF121" s="241"/>
      <c r="AG121" s="241"/>
      <c r="AH121" s="241"/>
      <c r="AI121" s="241"/>
      <c r="AJ121" s="529"/>
      <c r="AK121" s="258"/>
      <c r="AL121" s="241"/>
      <c r="AM121" s="242"/>
      <c r="AN121" s="241"/>
      <c r="AO121" s="242"/>
      <c r="AP121" s="241"/>
      <c r="AQ121" s="242"/>
      <c r="AR121" s="241"/>
      <c r="AS121" s="242"/>
      <c r="AT121" s="241"/>
      <c r="AU121" s="241"/>
      <c r="AV121" s="256"/>
      <c r="AW121" s="241"/>
      <c r="AX121" s="256"/>
      <c r="AY121" s="241"/>
      <c r="AZ121" s="256"/>
      <c r="BA121" s="239"/>
      <c r="BB121" s="242"/>
      <c r="BC121" s="239"/>
      <c r="BD121" s="242"/>
      <c r="BE121" s="239"/>
      <c r="BF121" s="241"/>
      <c r="BG121" s="239"/>
      <c r="BH121" s="241"/>
      <c r="BI121" s="260"/>
      <c r="BJ121" s="241"/>
      <c r="BK121" s="260"/>
      <c r="BL121" s="239"/>
      <c r="BM121" s="256"/>
      <c r="BN121" s="241"/>
      <c r="BO121" s="243"/>
      <c r="BP121" s="241"/>
      <c r="BQ121" s="239"/>
      <c r="BR121" s="276"/>
      <c r="BS121" s="256"/>
      <c r="BT121" s="260"/>
      <c r="BU121" s="261"/>
      <c r="BV121" s="260"/>
      <c r="BW121" s="239"/>
      <c r="BX121" s="260"/>
      <c r="BY121" s="260"/>
      <c r="BZ121" s="239"/>
      <c r="CA121" s="260"/>
      <c r="CB121" s="239"/>
      <c r="CC121" s="260"/>
      <c r="CD121" s="539"/>
      <c r="CE121" s="239"/>
      <c r="CF121" s="276"/>
      <c r="CG121" s="256"/>
      <c r="CH121" s="259"/>
      <c r="CI121" s="347"/>
      <c r="CJ121" s="540"/>
      <c r="CK121" s="256"/>
      <c r="CL121" s="244">
        <v>1</v>
      </c>
      <c r="CM121" s="274">
        <f t="shared" si="1"/>
        <v>2015</v>
      </c>
      <c r="CN121" s="244">
        <f>IF('Grille de saisie'!CM121&lt;18,0,IF('Grille de saisie'!CM121&lt;40,1,IF('Grille de saisie'!CM121&lt;65,2,IF('Grille de saisie'!CM121&lt;100,3,4))))</f>
        <v>4</v>
      </c>
      <c r="CO121" s="236">
        <f>IF(AND('Grille de saisie'!C121=1,'Grille de saisie'!BZ121=0),1,IF(AND('Grille de saisie'!C121="",'Grille de saisie'!BZ121=""),3,IF(AND('Grille de saisie'!C121=5),3,2)))</f>
        <v>3</v>
      </c>
      <c r="CP121" s="236">
        <f>IF(AND('Grille de saisie'!C121=1,'Grille de saisie'!BZ121=0),1,IF(AND('Grille de saisie'!C121=1,'Grille de saisie'!BZ121=1),2,IF(AND('Grille de saisie'!C121=2,'Grille de saisie'!BZ121=0),2,IF(AND('Grille de saisie'!C121=3,'Grille de saisie'!BZ121=0),3,IF(AND('Grille de saisie'!C121=2,'Grille de saisie'!BZ121=1),3,IF(AND('Grille de saisie'!C121=1,'Grille de saisie'!BZ121=2),3,IF(AND('Grille de saisie'!C121="",'Grille de saisie'!BZ121=""),5,IF(AND('Grille de saisie'!C121=5),5,4))))))))</f>
        <v>5</v>
      </c>
      <c r="CQ121" s="237">
        <f>IF('Grille de saisie'!BZ121="",3,IF('Grille de saisie'!C121=5,3,IF('Grille de saisie'!BZ121=0,1,2)))</f>
        <v>3</v>
      </c>
    </row>
    <row r="122" spans="1:95" ht="15">
      <c r="A122" s="510">
        <v>120</v>
      </c>
      <c r="B122" s="240"/>
      <c r="C122" s="513"/>
      <c r="D122" s="240"/>
      <c r="E122" s="517"/>
      <c r="F122" s="265"/>
      <c r="G122" s="513"/>
      <c r="H122" s="265"/>
      <c r="I122" s="520"/>
      <c r="J122" s="241"/>
      <c r="K122" s="520"/>
      <c r="L122" s="241"/>
      <c r="M122" s="521"/>
      <c r="N122" s="241"/>
      <c r="O122" s="521"/>
      <c r="P122" s="241"/>
      <c r="Q122" s="520"/>
      <c r="R122" s="241"/>
      <c r="S122" s="520"/>
      <c r="T122" s="241"/>
      <c r="U122" s="520"/>
      <c r="V122" s="241"/>
      <c r="W122" s="242"/>
      <c r="X122" s="241"/>
      <c r="Y122" s="242"/>
      <c r="Z122" s="241"/>
      <c r="AA122" s="241"/>
      <c r="AB122" s="275"/>
      <c r="AC122" s="524"/>
      <c r="AD122" s="241"/>
      <c r="AE122" s="241"/>
      <c r="AF122" s="241"/>
      <c r="AG122" s="241"/>
      <c r="AH122" s="241"/>
      <c r="AI122" s="241"/>
      <c r="AJ122" s="529"/>
      <c r="AK122" s="258"/>
      <c r="AL122" s="241"/>
      <c r="AM122" s="242"/>
      <c r="AN122" s="241"/>
      <c r="AO122" s="242"/>
      <c r="AP122" s="241"/>
      <c r="AQ122" s="242"/>
      <c r="AR122" s="241"/>
      <c r="AS122" s="242"/>
      <c r="AT122" s="241"/>
      <c r="AU122" s="241"/>
      <c r="AV122" s="256"/>
      <c r="AW122" s="241"/>
      <c r="AX122" s="256"/>
      <c r="AY122" s="241"/>
      <c r="AZ122" s="256"/>
      <c r="BA122" s="239"/>
      <c r="BB122" s="242"/>
      <c r="BC122" s="239"/>
      <c r="BD122" s="242"/>
      <c r="BE122" s="239"/>
      <c r="BF122" s="241"/>
      <c r="BG122" s="239"/>
      <c r="BH122" s="241"/>
      <c r="BI122" s="260"/>
      <c r="BJ122" s="241"/>
      <c r="BK122" s="260"/>
      <c r="BL122" s="239"/>
      <c r="BM122" s="256"/>
      <c r="BN122" s="241"/>
      <c r="BO122" s="243"/>
      <c r="BP122" s="241"/>
      <c r="BQ122" s="239"/>
      <c r="BR122" s="276"/>
      <c r="BS122" s="256"/>
      <c r="BT122" s="260"/>
      <c r="BU122" s="261"/>
      <c r="BV122" s="260"/>
      <c r="BW122" s="239"/>
      <c r="BX122" s="260"/>
      <c r="BY122" s="260"/>
      <c r="BZ122" s="239"/>
      <c r="CA122" s="260"/>
      <c r="CB122" s="239"/>
      <c r="CC122" s="260"/>
      <c r="CD122" s="539"/>
      <c r="CE122" s="239"/>
      <c r="CF122" s="276"/>
      <c r="CG122" s="256"/>
      <c r="CH122" s="259"/>
      <c r="CI122" s="347"/>
      <c r="CJ122" s="540"/>
      <c r="CK122" s="256"/>
      <c r="CL122" s="244">
        <v>1</v>
      </c>
      <c r="CM122" s="274">
        <f t="shared" si="1"/>
        <v>2015</v>
      </c>
      <c r="CN122" s="244">
        <f>IF('Grille de saisie'!CM122&lt;18,0,IF('Grille de saisie'!CM122&lt;40,1,IF('Grille de saisie'!CM122&lt;65,2,IF('Grille de saisie'!CM122&lt;100,3,4))))</f>
        <v>4</v>
      </c>
      <c r="CO122" s="236">
        <f>IF(AND('Grille de saisie'!C122=1,'Grille de saisie'!BZ122=0),1,IF(AND('Grille de saisie'!C122="",'Grille de saisie'!BZ122=""),3,IF(AND('Grille de saisie'!C122=5),3,2)))</f>
        <v>3</v>
      </c>
      <c r="CP122" s="236">
        <f>IF(AND('Grille de saisie'!C122=1,'Grille de saisie'!BZ122=0),1,IF(AND('Grille de saisie'!C122=1,'Grille de saisie'!BZ122=1),2,IF(AND('Grille de saisie'!C122=2,'Grille de saisie'!BZ122=0),2,IF(AND('Grille de saisie'!C122=3,'Grille de saisie'!BZ122=0),3,IF(AND('Grille de saisie'!C122=2,'Grille de saisie'!BZ122=1),3,IF(AND('Grille de saisie'!C122=1,'Grille de saisie'!BZ122=2),3,IF(AND('Grille de saisie'!C122="",'Grille de saisie'!BZ122=""),5,IF(AND('Grille de saisie'!C122=5),5,4))))))))</f>
        <v>5</v>
      </c>
      <c r="CQ122" s="237">
        <f>IF('Grille de saisie'!BZ122="",3,IF('Grille de saisie'!C122=5,3,IF('Grille de saisie'!BZ122=0,1,2)))</f>
        <v>3</v>
      </c>
    </row>
    <row r="123" spans="1:95" ht="15">
      <c r="A123" s="511">
        <v>121</v>
      </c>
      <c r="B123" s="240"/>
      <c r="C123" s="513"/>
      <c r="D123" s="240"/>
      <c r="E123" s="517"/>
      <c r="F123" s="265"/>
      <c r="G123" s="513"/>
      <c r="H123" s="265"/>
      <c r="I123" s="520"/>
      <c r="J123" s="241"/>
      <c r="K123" s="520"/>
      <c r="L123" s="241"/>
      <c r="M123" s="521"/>
      <c r="N123" s="241"/>
      <c r="O123" s="521"/>
      <c r="P123" s="241"/>
      <c r="Q123" s="520"/>
      <c r="R123" s="241"/>
      <c r="S123" s="520"/>
      <c r="T123" s="241"/>
      <c r="U123" s="520"/>
      <c r="V123" s="241"/>
      <c r="W123" s="242"/>
      <c r="X123" s="241"/>
      <c r="Y123" s="242"/>
      <c r="Z123" s="241"/>
      <c r="AA123" s="241"/>
      <c r="AB123" s="275"/>
      <c r="AC123" s="524"/>
      <c r="AD123" s="241"/>
      <c r="AE123" s="241"/>
      <c r="AF123" s="241"/>
      <c r="AG123" s="241"/>
      <c r="AH123" s="241"/>
      <c r="AI123" s="241"/>
      <c r="AJ123" s="529"/>
      <c r="AK123" s="258"/>
      <c r="AL123" s="241"/>
      <c r="AM123" s="242"/>
      <c r="AN123" s="241"/>
      <c r="AO123" s="242"/>
      <c r="AP123" s="241"/>
      <c r="AQ123" s="242"/>
      <c r="AR123" s="241"/>
      <c r="AS123" s="242"/>
      <c r="AT123" s="241"/>
      <c r="AU123" s="241"/>
      <c r="AV123" s="256"/>
      <c r="AW123" s="241"/>
      <c r="AX123" s="256"/>
      <c r="AY123" s="241"/>
      <c r="AZ123" s="256"/>
      <c r="BA123" s="239"/>
      <c r="BB123" s="242"/>
      <c r="BC123" s="239"/>
      <c r="BD123" s="242"/>
      <c r="BE123" s="239"/>
      <c r="BF123" s="241"/>
      <c r="BG123" s="239"/>
      <c r="BH123" s="241"/>
      <c r="BI123" s="260"/>
      <c r="BJ123" s="241"/>
      <c r="BK123" s="260"/>
      <c r="BL123" s="239"/>
      <c r="BM123" s="256"/>
      <c r="BN123" s="241"/>
      <c r="BO123" s="243"/>
      <c r="BP123" s="241"/>
      <c r="BQ123" s="239"/>
      <c r="BR123" s="276"/>
      <c r="BS123" s="256"/>
      <c r="BT123" s="260"/>
      <c r="BU123" s="261"/>
      <c r="BV123" s="260"/>
      <c r="BW123" s="239"/>
      <c r="BX123" s="260"/>
      <c r="BY123" s="260"/>
      <c r="BZ123" s="239"/>
      <c r="CA123" s="260"/>
      <c r="CB123" s="239"/>
      <c r="CC123" s="260"/>
      <c r="CD123" s="539"/>
      <c r="CE123" s="239"/>
      <c r="CF123" s="276"/>
      <c r="CG123" s="256"/>
      <c r="CH123" s="259"/>
      <c r="CI123" s="347"/>
      <c r="CJ123" s="540"/>
      <c r="CK123" s="256"/>
      <c r="CL123" s="244">
        <v>1</v>
      </c>
      <c r="CM123" s="274">
        <f t="shared" si="1"/>
        <v>2015</v>
      </c>
      <c r="CN123" s="244">
        <f>IF('Grille de saisie'!CM123&lt;18,0,IF('Grille de saisie'!CM123&lt;40,1,IF('Grille de saisie'!CM123&lt;65,2,IF('Grille de saisie'!CM123&lt;100,3,4))))</f>
        <v>4</v>
      </c>
      <c r="CO123" s="236">
        <f>IF(AND('Grille de saisie'!C123=1,'Grille de saisie'!BZ123=0),1,IF(AND('Grille de saisie'!C123="",'Grille de saisie'!BZ123=""),3,IF(AND('Grille de saisie'!C123=5),3,2)))</f>
        <v>3</v>
      </c>
      <c r="CP123" s="236">
        <f>IF(AND('Grille de saisie'!C123=1,'Grille de saisie'!BZ123=0),1,IF(AND('Grille de saisie'!C123=1,'Grille de saisie'!BZ123=1),2,IF(AND('Grille de saisie'!C123=2,'Grille de saisie'!BZ123=0),2,IF(AND('Grille de saisie'!C123=3,'Grille de saisie'!BZ123=0),3,IF(AND('Grille de saisie'!C123=2,'Grille de saisie'!BZ123=1),3,IF(AND('Grille de saisie'!C123=1,'Grille de saisie'!BZ123=2),3,IF(AND('Grille de saisie'!C123="",'Grille de saisie'!BZ123=""),5,IF(AND('Grille de saisie'!C123=5),5,4))))))))</f>
        <v>5</v>
      </c>
      <c r="CQ123" s="237">
        <f>IF('Grille de saisie'!BZ123="",3,IF('Grille de saisie'!C123=5,3,IF('Grille de saisie'!BZ123=0,1,2)))</f>
        <v>3</v>
      </c>
    </row>
    <row r="124" spans="1:95" ht="15">
      <c r="A124" s="510">
        <v>122</v>
      </c>
      <c r="B124" s="240"/>
      <c r="C124" s="513"/>
      <c r="D124" s="240"/>
      <c r="E124" s="517"/>
      <c r="F124" s="265"/>
      <c r="G124" s="513"/>
      <c r="H124" s="265"/>
      <c r="I124" s="520"/>
      <c r="J124" s="241"/>
      <c r="K124" s="520"/>
      <c r="L124" s="241"/>
      <c r="M124" s="521"/>
      <c r="N124" s="241"/>
      <c r="O124" s="521"/>
      <c r="P124" s="241"/>
      <c r="Q124" s="520"/>
      <c r="R124" s="241"/>
      <c r="S124" s="520"/>
      <c r="T124" s="241"/>
      <c r="U124" s="520"/>
      <c r="V124" s="241"/>
      <c r="W124" s="242"/>
      <c r="X124" s="241"/>
      <c r="Y124" s="242"/>
      <c r="Z124" s="241"/>
      <c r="AA124" s="241"/>
      <c r="AB124" s="275"/>
      <c r="AC124" s="524"/>
      <c r="AD124" s="241"/>
      <c r="AE124" s="241"/>
      <c r="AF124" s="241"/>
      <c r="AG124" s="241"/>
      <c r="AH124" s="241"/>
      <c r="AI124" s="241"/>
      <c r="AJ124" s="529"/>
      <c r="AK124" s="258"/>
      <c r="AL124" s="241"/>
      <c r="AM124" s="242"/>
      <c r="AN124" s="241"/>
      <c r="AO124" s="242"/>
      <c r="AP124" s="241"/>
      <c r="AQ124" s="242"/>
      <c r="AR124" s="241"/>
      <c r="AS124" s="242"/>
      <c r="AT124" s="241"/>
      <c r="AU124" s="241"/>
      <c r="AV124" s="256"/>
      <c r="AW124" s="241"/>
      <c r="AX124" s="256"/>
      <c r="AY124" s="241"/>
      <c r="AZ124" s="256"/>
      <c r="BA124" s="239"/>
      <c r="BB124" s="242"/>
      <c r="BC124" s="239"/>
      <c r="BD124" s="242"/>
      <c r="BE124" s="239"/>
      <c r="BF124" s="241"/>
      <c r="BG124" s="239"/>
      <c r="BH124" s="241"/>
      <c r="BI124" s="260"/>
      <c r="BJ124" s="241"/>
      <c r="BK124" s="260"/>
      <c r="BL124" s="239"/>
      <c r="BM124" s="256"/>
      <c r="BN124" s="241"/>
      <c r="BO124" s="243"/>
      <c r="BP124" s="241"/>
      <c r="BQ124" s="239"/>
      <c r="BR124" s="276"/>
      <c r="BS124" s="256"/>
      <c r="BT124" s="260"/>
      <c r="BU124" s="261"/>
      <c r="BV124" s="260"/>
      <c r="BW124" s="239"/>
      <c r="BX124" s="260"/>
      <c r="BY124" s="260"/>
      <c r="BZ124" s="239"/>
      <c r="CA124" s="260"/>
      <c r="CB124" s="239"/>
      <c r="CC124" s="260"/>
      <c r="CD124" s="539"/>
      <c r="CE124" s="239"/>
      <c r="CF124" s="276"/>
      <c r="CG124" s="256"/>
      <c r="CH124" s="259"/>
      <c r="CI124" s="347"/>
      <c r="CJ124" s="540"/>
      <c r="CK124" s="256"/>
      <c r="CL124" s="244">
        <v>1</v>
      </c>
      <c r="CM124" s="274">
        <f t="shared" si="1"/>
        <v>2015</v>
      </c>
      <c r="CN124" s="244">
        <f>IF('Grille de saisie'!CM124&lt;18,0,IF('Grille de saisie'!CM124&lt;40,1,IF('Grille de saisie'!CM124&lt;65,2,IF('Grille de saisie'!CM124&lt;100,3,4))))</f>
        <v>4</v>
      </c>
      <c r="CO124" s="236">
        <f>IF(AND('Grille de saisie'!C124=1,'Grille de saisie'!BZ124=0),1,IF(AND('Grille de saisie'!C124="",'Grille de saisie'!BZ124=""),3,IF(AND('Grille de saisie'!C124=5),3,2)))</f>
        <v>3</v>
      </c>
      <c r="CP124" s="236">
        <f>IF(AND('Grille de saisie'!C124=1,'Grille de saisie'!BZ124=0),1,IF(AND('Grille de saisie'!C124=1,'Grille de saisie'!BZ124=1),2,IF(AND('Grille de saisie'!C124=2,'Grille de saisie'!BZ124=0),2,IF(AND('Grille de saisie'!C124=3,'Grille de saisie'!BZ124=0),3,IF(AND('Grille de saisie'!C124=2,'Grille de saisie'!BZ124=1),3,IF(AND('Grille de saisie'!C124=1,'Grille de saisie'!BZ124=2),3,IF(AND('Grille de saisie'!C124="",'Grille de saisie'!BZ124=""),5,IF(AND('Grille de saisie'!C124=5),5,4))))))))</f>
        <v>5</v>
      </c>
      <c r="CQ124" s="237">
        <f>IF('Grille de saisie'!BZ124="",3,IF('Grille de saisie'!C124=5,3,IF('Grille de saisie'!BZ124=0,1,2)))</f>
        <v>3</v>
      </c>
    </row>
    <row r="125" spans="1:95" ht="15">
      <c r="A125" s="510">
        <v>123</v>
      </c>
      <c r="B125" s="240"/>
      <c r="C125" s="513"/>
      <c r="D125" s="240"/>
      <c r="E125" s="517"/>
      <c r="F125" s="265"/>
      <c r="G125" s="513"/>
      <c r="H125" s="265"/>
      <c r="I125" s="520"/>
      <c r="J125" s="241"/>
      <c r="K125" s="520"/>
      <c r="L125" s="241"/>
      <c r="M125" s="521"/>
      <c r="N125" s="241"/>
      <c r="O125" s="521"/>
      <c r="P125" s="241"/>
      <c r="Q125" s="520"/>
      <c r="R125" s="241"/>
      <c r="S125" s="520"/>
      <c r="T125" s="241"/>
      <c r="U125" s="520"/>
      <c r="V125" s="241"/>
      <c r="W125" s="242"/>
      <c r="X125" s="241"/>
      <c r="Y125" s="242"/>
      <c r="Z125" s="241"/>
      <c r="AA125" s="241"/>
      <c r="AB125" s="275"/>
      <c r="AC125" s="524"/>
      <c r="AD125" s="241"/>
      <c r="AE125" s="241"/>
      <c r="AF125" s="241"/>
      <c r="AG125" s="241"/>
      <c r="AH125" s="241"/>
      <c r="AI125" s="241"/>
      <c r="AJ125" s="529"/>
      <c r="AK125" s="258"/>
      <c r="AL125" s="241"/>
      <c r="AM125" s="242"/>
      <c r="AN125" s="241"/>
      <c r="AO125" s="242"/>
      <c r="AP125" s="241"/>
      <c r="AQ125" s="242"/>
      <c r="AR125" s="241"/>
      <c r="AS125" s="242"/>
      <c r="AT125" s="241"/>
      <c r="AU125" s="241"/>
      <c r="AV125" s="256"/>
      <c r="AW125" s="241"/>
      <c r="AX125" s="256"/>
      <c r="AY125" s="241"/>
      <c r="AZ125" s="256"/>
      <c r="BA125" s="239"/>
      <c r="BB125" s="242"/>
      <c r="BC125" s="239"/>
      <c r="BD125" s="242"/>
      <c r="BE125" s="239"/>
      <c r="BF125" s="241"/>
      <c r="BG125" s="239"/>
      <c r="BH125" s="241"/>
      <c r="BI125" s="260"/>
      <c r="BJ125" s="241"/>
      <c r="BK125" s="260"/>
      <c r="BL125" s="239"/>
      <c r="BM125" s="256"/>
      <c r="BN125" s="241"/>
      <c r="BO125" s="243"/>
      <c r="BP125" s="241"/>
      <c r="BQ125" s="239"/>
      <c r="BR125" s="276"/>
      <c r="BS125" s="256"/>
      <c r="BT125" s="260"/>
      <c r="BU125" s="261"/>
      <c r="BV125" s="260"/>
      <c r="BW125" s="239"/>
      <c r="BX125" s="260"/>
      <c r="BY125" s="260"/>
      <c r="BZ125" s="239"/>
      <c r="CA125" s="260"/>
      <c r="CB125" s="239"/>
      <c r="CC125" s="260"/>
      <c r="CD125" s="539"/>
      <c r="CE125" s="239"/>
      <c r="CF125" s="276"/>
      <c r="CG125" s="256"/>
      <c r="CH125" s="259"/>
      <c r="CI125" s="347"/>
      <c r="CJ125" s="540"/>
      <c r="CK125" s="256"/>
      <c r="CL125" s="244">
        <v>1</v>
      </c>
      <c r="CM125" s="274">
        <f t="shared" si="1"/>
        <v>2015</v>
      </c>
      <c r="CN125" s="244">
        <f>IF('Grille de saisie'!CM125&lt;18,0,IF('Grille de saisie'!CM125&lt;40,1,IF('Grille de saisie'!CM125&lt;65,2,IF('Grille de saisie'!CM125&lt;100,3,4))))</f>
        <v>4</v>
      </c>
      <c r="CO125" s="236">
        <f>IF(AND('Grille de saisie'!C125=1,'Grille de saisie'!BZ125=0),1,IF(AND('Grille de saisie'!C125="",'Grille de saisie'!BZ125=""),3,IF(AND('Grille de saisie'!C125=5),3,2)))</f>
        <v>3</v>
      </c>
      <c r="CP125" s="236">
        <f>IF(AND('Grille de saisie'!C125=1,'Grille de saisie'!BZ125=0),1,IF(AND('Grille de saisie'!C125=1,'Grille de saisie'!BZ125=1),2,IF(AND('Grille de saisie'!C125=2,'Grille de saisie'!BZ125=0),2,IF(AND('Grille de saisie'!C125=3,'Grille de saisie'!BZ125=0),3,IF(AND('Grille de saisie'!C125=2,'Grille de saisie'!BZ125=1),3,IF(AND('Grille de saisie'!C125=1,'Grille de saisie'!BZ125=2),3,IF(AND('Grille de saisie'!C125="",'Grille de saisie'!BZ125=""),5,IF(AND('Grille de saisie'!C125=5),5,4))))))))</f>
        <v>5</v>
      </c>
      <c r="CQ125" s="237">
        <f>IF('Grille de saisie'!BZ125="",3,IF('Grille de saisie'!C125=5,3,IF('Grille de saisie'!BZ125=0,1,2)))</f>
        <v>3</v>
      </c>
    </row>
    <row r="126" spans="1:95" ht="15">
      <c r="A126" s="511">
        <v>124</v>
      </c>
      <c r="B126" s="240"/>
      <c r="C126" s="513"/>
      <c r="D126" s="240"/>
      <c r="E126" s="517"/>
      <c r="F126" s="265"/>
      <c r="G126" s="513"/>
      <c r="H126" s="265"/>
      <c r="I126" s="520"/>
      <c r="J126" s="241"/>
      <c r="K126" s="520"/>
      <c r="L126" s="241"/>
      <c r="M126" s="521"/>
      <c r="N126" s="241"/>
      <c r="O126" s="521"/>
      <c r="P126" s="241"/>
      <c r="Q126" s="520"/>
      <c r="R126" s="241"/>
      <c r="S126" s="520"/>
      <c r="T126" s="241"/>
      <c r="U126" s="520"/>
      <c r="V126" s="241"/>
      <c r="W126" s="242"/>
      <c r="X126" s="241"/>
      <c r="Y126" s="242"/>
      <c r="Z126" s="241"/>
      <c r="AA126" s="241"/>
      <c r="AB126" s="275"/>
      <c r="AC126" s="524"/>
      <c r="AD126" s="241"/>
      <c r="AE126" s="241"/>
      <c r="AF126" s="241"/>
      <c r="AG126" s="241"/>
      <c r="AH126" s="241"/>
      <c r="AI126" s="241"/>
      <c r="AJ126" s="529"/>
      <c r="AK126" s="258"/>
      <c r="AL126" s="241"/>
      <c r="AM126" s="242"/>
      <c r="AN126" s="241"/>
      <c r="AO126" s="242"/>
      <c r="AP126" s="241"/>
      <c r="AQ126" s="242"/>
      <c r="AR126" s="241"/>
      <c r="AS126" s="242"/>
      <c r="AT126" s="241"/>
      <c r="AU126" s="241"/>
      <c r="AV126" s="256"/>
      <c r="AW126" s="241"/>
      <c r="AX126" s="256"/>
      <c r="AY126" s="241"/>
      <c r="AZ126" s="256"/>
      <c r="BA126" s="239"/>
      <c r="BB126" s="242"/>
      <c r="BC126" s="239"/>
      <c r="BD126" s="242"/>
      <c r="BE126" s="239"/>
      <c r="BF126" s="241"/>
      <c r="BG126" s="239"/>
      <c r="BH126" s="241"/>
      <c r="BI126" s="260"/>
      <c r="BJ126" s="241"/>
      <c r="BK126" s="260"/>
      <c r="BL126" s="239"/>
      <c r="BM126" s="256"/>
      <c r="BN126" s="241"/>
      <c r="BO126" s="243"/>
      <c r="BP126" s="241"/>
      <c r="BQ126" s="239"/>
      <c r="BR126" s="276"/>
      <c r="BS126" s="256"/>
      <c r="BT126" s="260"/>
      <c r="BU126" s="261"/>
      <c r="BV126" s="260"/>
      <c r="BW126" s="239"/>
      <c r="BX126" s="260"/>
      <c r="BY126" s="260"/>
      <c r="BZ126" s="239"/>
      <c r="CA126" s="260"/>
      <c r="CB126" s="239"/>
      <c r="CC126" s="260"/>
      <c r="CD126" s="539"/>
      <c r="CE126" s="239"/>
      <c r="CF126" s="276"/>
      <c r="CG126" s="256"/>
      <c r="CH126" s="259"/>
      <c r="CI126" s="347"/>
      <c r="CJ126" s="540"/>
      <c r="CK126" s="256"/>
      <c r="CL126" s="244">
        <v>1</v>
      </c>
      <c r="CM126" s="274">
        <f t="shared" si="1"/>
        <v>2015</v>
      </c>
      <c r="CN126" s="244">
        <f>IF('Grille de saisie'!CM126&lt;18,0,IF('Grille de saisie'!CM126&lt;40,1,IF('Grille de saisie'!CM126&lt;65,2,IF('Grille de saisie'!CM126&lt;100,3,4))))</f>
        <v>4</v>
      </c>
      <c r="CO126" s="236">
        <f>IF(AND('Grille de saisie'!C126=1,'Grille de saisie'!BZ126=0),1,IF(AND('Grille de saisie'!C126="",'Grille de saisie'!BZ126=""),3,IF(AND('Grille de saisie'!C126=5),3,2)))</f>
        <v>3</v>
      </c>
      <c r="CP126" s="236">
        <f>IF(AND('Grille de saisie'!C126=1,'Grille de saisie'!BZ126=0),1,IF(AND('Grille de saisie'!C126=1,'Grille de saisie'!BZ126=1),2,IF(AND('Grille de saisie'!C126=2,'Grille de saisie'!BZ126=0),2,IF(AND('Grille de saisie'!C126=3,'Grille de saisie'!BZ126=0),3,IF(AND('Grille de saisie'!C126=2,'Grille de saisie'!BZ126=1),3,IF(AND('Grille de saisie'!C126=1,'Grille de saisie'!BZ126=2),3,IF(AND('Grille de saisie'!C126="",'Grille de saisie'!BZ126=""),5,IF(AND('Grille de saisie'!C126=5),5,4))))))))</f>
        <v>5</v>
      </c>
      <c r="CQ126" s="237">
        <f>IF('Grille de saisie'!BZ126="",3,IF('Grille de saisie'!C126=5,3,IF('Grille de saisie'!BZ126=0,1,2)))</f>
        <v>3</v>
      </c>
    </row>
    <row r="127" spans="1:95" ht="15">
      <c r="A127" s="510">
        <v>125</v>
      </c>
      <c r="B127" s="240"/>
      <c r="C127" s="513"/>
      <c r="D127" s="240"/>
      <c r="E127" s="517"/>
      <c r="F127" s="265"/>
      <c r="G127" s="513"/>
      <c r="H127" s="265"/>
      <c r="I127" s="520"/>
      <c r="J127" s="241"/>
      <c r="K127" s="520"/>
      <c r="L127" s="241"/>
      <c r="M127" s="521"/>
      <c r="N127" s="241"/>
      <c r="O127" s="521"/>
      <c r="P127" s="241"/>
      <c r="Q127" s="520"/>
      <c r="R127" s="241"/>
      <c r="S127" s="520"/>
      <c r="T127" s="241"/>
      <c r="U127" s="520"/>
      <c r="V127" s="241"/>
      <c r="W127" s="242"/>
      <c r="X127" s="241"/>
      <c r="Y127" s="242"/>
      <c r="Z127" s="241"/>
      <c r="AA127" s="241"/>
      <c r="AB127" s="275"/>
      <c r="AC127" s="524"/>
      <c r="AD127" s="241"/>
      <c r="AE127" s="241"/>
      <c r="AF127" s="241"/>
      <c r="AG127" s="241"/>
      <c r="AH127" s="241"/>
      <c r="AI127" s="241"/>
      <c r="AJ127" s="529"/>
      <c r="AK127" s="258"/>
      <c r="AL127" s="241"/>
      <c r="AM127" s="242"/>
      <c r="AN127" s="241"/>
      <c r="AO127" s="242"/>
      <c r="AP127" s="241"/>
      <c r="AQ127" s="242"/>
      <c r="AR127" s="241"/>
      <c r="AS127" s="242"/>
      <c r="AT127" s="241"/>
      <c r="AU127" s="241"/>
      <c r="AV127" s="256"/>
      <c r="AW127" s="241"/>
      <c r="AX127" s="256"/>
      <c r="AY127" s="241"/>
      <c r="AZ127" s="256"/>
      <c r="BA127" s="239"/>
      <c r="BB127" s="242"/>
      <c r="BC127" s="239"/>
      <c r="BD127" s="242"/>
      <c r="BE127" s="239"/>
      <c r="BF127" s="241"/>
      <c r="BG127" s="239"/>
      <c r="BH127" s="241"/>
      <c r="BI127" s="260"/>
      <c r="BJ127" s="241"/>
      <c r="BK127" s="260"/>
      <c r="BL127" s="239"/>
      <c r="BM127" s="256"/>
      <c r="BN127" s="241"/>
      <c r="BO127" s="243"/>
      <c r="BP127" s="241"/>
      <c r="BQ127" s="239"/>
      <c r="BR127" s="276"/>
      <c r="BS127" s="256"/>
      <c r="BT127" s="260"/>
      <c r="BU127" s="261"/>
      <c r="BV127" s="260"/>
      <c r="BW127" s="239"/>
      <c r="BX127" s="260"/>
      <c r="BY127" s="260"/>
      <c r="BZ127" s="239"/>
      <c r="CA127" s="260"/>
      <c r="CB127" s="239"/>
      <c r="CC127" s="260"/>
      <c r="CD127" s="539"/>
      <c r="CE127" s="239"/>
      <c r="CF127" s="276"/>
      <c r="CG127" s="256"/>
      <c r="CH127" s="259"/>
      <c r="CI127" s="347"/>
      <c r="CJ127" s="540"/>
      <c r="CK127" s="256"/>
      <c r="CL127" s="244">
        <v>1</v>
      </c>
      <c r="CM127" s="274">
        <f t="shared" si="1"/>
        <v>2015</v>
      </c>
      <c r="CN127" s="244">
        <f>IF('Grille de saisie'!CM127&lt;18,0,IF('Grille de saisie'!CM127&lt;40,1,IF('Grille de saisie'!CM127&lt;65,2,IF('Grille de saisie'!CM127&lt;100,3,4))))</f>
        <v>4</v>
      </c>
      <c r="CO127" s="236">
        <f>IF(AND('Grille de saisie'!C127=1,'Grille de saisie'!BZ127=0),1,IF(AND('Grille de saisie'!C127="",'Grille de saisie'!BZ127=""),3,IF(AND('Grille de saisie'!C127=5),3,2)))</f>
        <v>3</v>
      </c>
      <c r="CP127" s="236">
        <f>IF(AND('Grille de saisie'!C127=1,'Grille de saisie'!BZ127=0),1,IF(AND('Grille de saisie'!C127=1,'Grille de saisie'!BZ127=1),2,IF(AND('Grille de saisie'!C127=2,'Grille de saisie'!BZ127=0),2,IF(AND('Grille de saisie'!C127=3,'Grille de saisie'!BZ127=0),3,IF(AND('Grille de saisie'!C127=2,'Grille de saisie'!BZ127=1),3,IF(AND('Grille de saisie'!C127=1,'Grille de saisie'!BZ127=2),3,IF(AND('Grille de saisie'!C127="",'Grille de saisie'!BZ127=""),5,IF(AND('Grille de saisie'!C127=5),5,4))))))))</f>
        <v>5</v>
      </c>
      <c r="CQ127" s="237">
        <f>IF('Grille de saisie'!BZ127="",3,IF('Grille de saisie'!C127=5,3,IF('Grille de saisie'!BZ127=0,1,2)))</f>
        <v>3</v>
      </c>
    </row>
    <row r="128" spans="1:95" ht="15">
      <c r="A128" s="510">
        <v>126</v>
      </c>
      <c r="B128" s="240"/>
      <c r="C128" s="513"/>
      <c r="D128" s="240"/>
      <c r="E128" s="517"/>
      <c r="F128" s="265"/>
      <c r="G128" s="513"/>
      <c r="H128" s="265"/>
      <c r="I128" s="520"/>
      <c r="J128" s="241"/>
      <c r="K128" s="520"/>
      <c r="L128" s="241"/>
      <c r="M128" s="521"/>
      <c r="N128" s="241"/>
      <c r="O128" s="521"/>
      <c r="P128" s="241"/>
      <c r="Q128" s="520"/>
      <c r="R128" s="241"/>
      <c r="S128" s="520"/>
      <c r="T128" s="241"/>
      <c r="U128" s="520"/>
      <c r="V128" s="241"/>
      <c r="W128" s="242"/>
      <c r="X128" s="241"/>
      <c r="Y128" s="242"/>
      <c r="Z128" s="241"/>
      <c r="AA128" s="241"/>
      <c r="AB128" s="275"/>
      <c r="AC128" s="524"/>
      <c r="AD128" s="241"/>
      <c r="AE128" s="241"/>
      <c r="AF128" s="241"/>
      <c r="AG128" s="241"/>
      <c r="AH128" s="241"/>
      <c r="AI128" s="241"/>
      <c r="AJ128" s="529"/>
      <c r="AK128" s="258"/>
      <c r="AL128" s="241"/>
      <c r="AM128" s="242"/>
      <c r="AN128" s="241"/>
      <c r="AO128" s="242"/>
      <c r="AP128" s="241"/>
      <c r="AQ128" s="242"/>
      <c r="AR128" s="241"/>
      <c r="AS128" s="242"/>
      <c r="AT128" s="241"/>
      <c r="AU128" s="241"/>
      <c r="AV128" s="256"/>
      <c r="AW128" s="241"/>
      <c r="AX128" s="256"/>
      <c r="AY128" s="241"/>
      <c r="AZ128" s="256"/>
      <c r="BA128" s="239"/>
      <c r="BB128" s="242"/>
      <c r="BC128" s="239"/>
      <c r="BD128" s="242"/>
      <c r="BE128" s="239"/>
      <c r="BF128" s="241"/>
      <c r="BG128" s="239"/>
      <c r="BH128" s="241"/>
      <c r="BI128" s="260"/>
      <c r="BJ128" s="241"/>
      <c r="BK128" s="260"/>
      <c r="BL128" s="239"/>
      <c r="BM128" s="256"/>
      <c r="BN128" s="241"/>
      <c r="BO128" s="243"/>
      <c r="BP128" s="241"/>
      <c r="BQ128" s="239"/>
      <c r="BR128" s="276"/>
      <c r="BS128" s="256"/>
      <c r="BT128" s="260"/>
      <c r="BU128" s="261"/>
      <c r="BV128" s="260"/>
      <c r="BW128" s="239"/>
      <c r="BX128" s="260"/>
      <c r="BY128" s="260"/>
      <c r="BZ128" s="239"/>
      <c r="CA128" s="260"/>
      <c r="CB128" s="239"/>
      <c r="CC128" s="260"/>
      <c r="CD128" s="539"/>
      <c r="CE128" s="239"/>
      <c r="CF128" s="276"/>
      <c r="CG128" s="256"/>
      <c r="CH128" s="259"/>
      <c r="CI128" s="347"/>
      <c r="CJ128" s="540"/>
      <c r="CK128" s="256"/>
      <c r="CL128" s="244">
        <v>1</v>
      </c>
      <c r="CM128" s="274">
        <f t="shared" si="1"/>
        <v>2015</v>
      </c>
      <c r="CN128" s="244">
        <f>IF('Grille de saisie'!CM128&lt;18,0,IF('Grille de saisie'!CM128&lt;40,1,IF('Grille de saisie'!CM128&lt;65,2,IF('Grille de saisie'!CM128&lt;100,3,4))))</f>
        <v>4</v>
      </c>
      <c r="CO128" s="236">
        <f>IF(AND('Grille de saisie'!C128=1,'Grille de saisie'!BZ128=0),1,IF(AND('Grille de saisie'!C128="",'Grille de saisie'!BZ128=""),3,IF(AND('Grille de saisie'!C128=5),3,2)))</f>
        <v>3</v>
      </c>
      <c r="CP128" s="236">
        <f>IF(AND('Grille de saisie'!C128=1,'Grille de saisie'!BZ128=0),1,IF(AND('Grille de saisie'!C128=1,'Grille de saisie'!BZ128=1),2,IF(AND('Grille de saisie'!C128=2,'Grille de saisie'!BZ128=0),2,IF(AND('Grille de saisie'!C128=3,'Grille de saisie'!BZ128=0),3,IF(AND('Grille de saisie'!C128=2,'Grille de saisie'!BZ128=1),3,IF(AND('Grille de saisie'!C128=1,'Grille de saisie'!BZ128=2),3,IF(AND('Grille de saisie'!C128="",'Grille de saisie'!BZ128=""),5,IF(AND('Grille de saisie'!C128=5),5,4))))))))</f>
        <v>5</v>
      </c>
      <c r="CQ128" s="237">
        <f>IF('Grille de saisie'!BZ128="",3,IF('Grille de saisie'!C128=5,3,IF('Grille de saisie'!BZ128=0,1,2)))</f>
        <v>3</v>
      </c>
    </row>
    <row r="129" spans="1:95" ht="15">
      <c r="A129" s="511">
        <v>127</v>
      </c>
      <c r="B129" s="240"/>
      <c r="C129" s="513"/>
      <c r="D129" s="240"/>
      <c r="E129" s="517"/>
      <c r="F129" s="265"/>
      <c r="G129" s="513"/>
      <c r="H129" s="265"/>
      <c r="I129" s="520"/>
      <c r="J129" s="241"/>
      <c r="K129" s="520"/>
      <c r="L129" s="241"/>
      <c r="M129" s="521"/>
      <c r="N129" s="241"/>
      <c r="O129" s="521"/>
      <c r="P129" s="241"/>
      <c r="Q129" s="520"/>
      <c r="R129" s="241"/>
      <c r="S129" s="520"/>
      <c r="T129" s="241"/>
      <c r="U129" s="520"/>
      <c r="V129" s="241"/>
      <c r="W129" s="242"/>
      <c r="X129" s="241"/>
      <c r="Y129" s="242"/>
      <c r="Z129" s="241"/>
      <c r="AA129" s="241"/>
      <c r="AB129" s="275"/>
      <c r="AC129" s="524"/>
      <c r="AD129" s="241"/>
      <c r="AE129" s="241"/>
      <c r="AF129" s="241"/>
      <c r="AG129" s="241"/>
      <c r="AH129" s="241"/>
      <c r="AI129" s="241"/>
      <c r="AJ129" s="529"/>
      <c r="AK129" s="258"/>
      <c r="AL129" s="241"/>
      <c r="AM129" s="242"/>
      <c r="AN129" s="241"/>
      <c r="AO129" s="242"/>
      <c r="AP129" s="241"/>
      <c r="AQ129" s="242"/>
      <c r="AR129" s="241"/>
      <c r="AS129" s="242"/>
      <c r="AT129" s="241"/>
      <c r="AU129" s="241"/>
      <c r="AV129" s="256"/>
      <c r="AW129" s="241"/>
      <c r="AX129" s="256"/>
      <c r="AY129" s="241"/>
      <c r="AZ129" s="256"/>
      <c r="BA129" s="239"/>
      <c r="BB129" s="242"/>
      <c r="BC129" s="239"/>
      <c r="BD129" s="242"/>
      <c r="BE129" s="239"/>
      <c r="BF129" s="241"/>
      <c r="BG129" s="239"/>
      <c r="BH129" s="241"/>
      <c r="BI129" s="260"/>
      <c r="BJ129" s="241"/>
      <c r="BK129" s="260"/>
      <c r="BL129" s="239"/>
      <c r="BM129" s="256"/>
      <c r="BN129" s="241"/>
      <c r="BO129" s="243"/>
      <c r="BP129" s="241"/>
      <c r="BQ129" s="239"/>
      <c r="BR129" s="276"/>
      <c r="BS129" s="256"/>
      <c r="BT129" s="260"/>
      <c r="BU129" s="261"/>
      <c r="BV129" s="260"/>
      <c r="BW129" s="239"/>
      <c r="BX129" s="260"/>
      <c r="BY129" s="260"/>
      <c r="BZ129" s="239"/>
      <c r="CA129" s="260"/>
      <c r="CB129" s="239"/>
      <c r="CC129" s="260"/>
      <c r="CD129" s="539"/>
      <c r="CE129" s="239"/>
      <c r="CF129" s="276"/>
      <c r="CG129" s="256"/>
      <c r="CH129" s="259"/>
      <c r="CI129" s="347"/>
      <c r="CJ129" s="540"/>
      <c r="CK129" s="256"/>
      <c r="CL129" s="244">
        <v>1</v>
      </c>
      <c r="CM129" s="274">
        <f t="shared" si="1"/>
        <v>2015</v>
      </c>
      <c r="CN129" s="244">
        <f>IF('Grille de saisie'!CM129&lt;18,0,IF('Grille de saisie'!CM129&lt;40,1,IF('Grille de saisie'!CM129&lt;65,2,IF('Grille de saisie'!CM129&lt;100,3,4))))</f>
        <v>4</v>
      </c>
      <c r="CO129" s="236">
        <f>IF(AND('Grille de saisie'!C129=1,'Grille de saisie'!BZ129=0),1,IF(AND('Grille de saisie'!C129="",'Grille de saisie'!BZ129=""),3,IF(AND('Grille de saisie'!C129=5),3,2)))</f>
        <v>3</v>
      </c>
      <c r="CP129" s="236">
        <f>IF(AND('Grille de saisie'!C129=1,'Grille de saisie'!BZ129=0),1,IF(AND('Grille de saisie'!C129=1,'Grille de saisie'!BZ129=1),2,IF(AND('Grille de saisie'!C129=2,'Grille de saisie'!BZ129=0),2,IF(AND('Grille de saisie'!C129=3,'Grille de saisie'!BZ129=0),3,IF(AND('Grille de saisie'!C129=2,'Grille de saisie'!BZ129=1),3,IF(AND('Grille de saisie'!C129=1,'Grille de saisie'!BZ129=2),3,IF(AND('Grille de saisie'!C129="",'Grille de saisie'!BZ129=""),5,IF(AND('Grille de saisie'!C129=5),5,4))))))))</f>
        <v>5</v>
      </c>
      <c r="CQ129" s="237">
        <f>IF('Grille de saisie'!BZ129="",3,IF('Grille de saisie'!C129=5,3,IF('Grille de saisie'!BZ129=0,1,2)))</f>
        <v>3</v>
      </c>
    </row>
    <row r="130" spans="1:95" ht="15">
      <c r="A130" s="510">
        <v>128</v>
      </c>
      <c r="B130" s="240"/>
      <c r="C130" s="513"/>
      <c r="D130" s="240"/>
      <c r="E130" s="517"/>
      <c r="F130" s="265"/>
      <c r="G130" s="513"/>
      <c r="H130" s="265"/>
      <c r="I130" s="520"/>
      <c r="J130" s="241"/>
      <c r="K130" s="520"/>
      <c r="L130" s="241"/>
      <c r="M130" s="521"/>
      <c r="N130" s="241"/>
      <c r="O130" s="521"/>
      <c r="P130" s="241"/>
      <c r="Q130" s="520"/>
      <c r="R130" s="241"/>
      <c r="S130" s="520"/>
      <c r="T130" s="241"/>
      <c r="U130" s="520"/>
      <c r="V130" s="241"/>
      <c r="W130" s="242"/>
      <c r="X130" s="241"/>
      <c r="Y130" s="242"/>
      <c r="Z130" s="241"/>
      <c r="AA130" s="241"/>
      <c r="AB130" s="275"/>
      <c r="AC130" s="524"/>
      <c r="AD130" s="241"/>
      <c r="AE130" s="241"/>
      <c r="AF130" s="241"/>
      <c r="AG130" s="241"/>
      <c r="AH130" s="241"/>
      <c r="AI130" s="241"/>
      <c r="AJ130" s="529"/>
      <c r="AK130" s="258"/>
      <c r="AL130" s="241"/>
      <c r="AM130" s="242"/>
      <c r="AN130" s="241"/>
      <c r="AO130" s="242"/>
      <c r="AP130" s="241"/>
      <c r="AQ130" s="242"/>
      <c r="AR130" s="241"/>
      <c r="AS130" s="242"/>
      <c r="AT130" s="241"/>
      <c r="AU130" s="241"/>
      <c r="AV130" s="256"/>
      <c r="AW130" s="241"/>
      <c r="AX130" s="256"/>
      <c r="AY130" s="241"/>
      <c r="AZ130" s="256"/>
      <c r="BA130" s="239"/>
      <c r="BB130" s="242"/>
      <c r="BC130" s="239"/>
      <c r="BD130" s="242"/>
      <c r="BE130" s="239"/>
      <c r="BF130" s="241"/>
      <c r="BG130" s="239"/>
      <c r="BH130" s="241"/>
      <c r="BI130" s="260"/>
      <c r="BJ130" s="241"/>
      <c r="BK130" s="260"/>
      <c r="BL130" s="239"/>
      <c r="BM130" s="256"/>
      <c r="BN130" s="241"/>
      <c r="BO130" s="243"/>
      <c r="BP130" s="241"/>
      <c r="BQ130" s="239"/>
      <c r="BR130" s="276"/>
      <c r="BS130" s="256"/>
      <c r="BT130" s="260"/>
      <c r="BU130" s="261"/>
      <c r="BV130" s="260"/>
      <c r="BW130" s="239"/>
      <c r="BX130" s="260"/>
      <c r="BY130" s="260"/>
      <c r="BZ130" s="239"/>
      <c r="CA130" s="260"/>
      <c r="CB130" s="239"/>
      <c r="CC130" s="260"/>
      <c r="CD130" s="539"/>
      <c r="CE130" s="239"/>
      <c r="CF130" s="276"/>
      <c r="CG130" s="256"/>
      <c r="CH130" s="259"/>
      <c r="CI130" s="347"/>
      <c r="CJ130" s="540"/>
      <c r="CK130" s="256"/>
      <c r="CL130" s="244">
        <v>1</v>
      </c>
      <c r="CM130" s="274">
        <f t="shared" si="1"/>
        <v>2015</v>
      </c>
      <c r="CN130" s="244">
        <f>IF('Grille de saisie'!CM130&lt;18,0,IF('Grille de saisie'!CM130&lt;40,1,IF('Grille de saisie'!CM130&lt;65,2,IF('Grille de saisie'!CM130&lt;100,3,4))))</f>
        <v>4</v>
      </c>
      <c r="CO130" s="236">
        <f>IF(AND('Grille de saisie'!C130=1,'Grille de saisie'!BZ130=0),1,IF(AND('Grille de saisie'!C130="",'Grille de saisie'!BZ130=""),3,IF(AND('Grille de saisie'!C130=5),3,2)))</f>
        <v>3</v>
      </c>
      <c r="CP130" s="236">
        <f>IF(AND('Grille de saisie'!C130=1,'Grille de saisie'!BZ130=0),1,IF(AND('Grille de saisie'!C130=1,'Grille de saisie'!BZ130=1),2,IF(AND('Grille de saisie'!C130=2,'Grille de saisie'!BZ130=0),2,IF(AND('Grille de saisie'!C130=3,'Grille de saisie'!BZ130=0),3,IF(AND('Grille de saisie'!C130=2,'Grille de saisie'!BZ130=1),3,IF(AND('Grille de saisie'!C130=1,'Grille de saisie'!BZ130=2),3,IF(AND('Grille de saisie'!C130="",'Grille de saisie'!BZ130=""),5,IF(AND('Grille de saisie'!C130=5),5,4))))))))</f>
        <v>5</v>
      </c>
      <c r="CQ130" s="237">
        <f>IF('Grille de saisie'!BZ130="",3,IF('Grille de saisie'!C130=5,3,IF('Grille de saisie'!BZ130=0,1,2)))</f>
        <v>3</v>
      </c>
    </row>
    <row r="131" spans="1:95" ht="15">
      <c r="A131" s="510">
        <v>129</v>
      </c>
      <c r="B131" s="240"/>
      <c r="C131" s="513"/>
      <c r="D131" s="240"/>
      <c r="E131" s="517"/>
      <c r="F131" s="265"/>
      <c r="G131" s="513"/>
      <c r="H131" s="265"/>
      <c r="I131" s="520"/>
      <c r="J131" s="241"/>
      <c r="K131" s="520"/>
      <c r="L131" s="241"/>
      <c r="M131" s="521"/>
      <c r="N131" s="241"/>
      <c r="O131" s="521"/>
      <c r="P131" s="241"/>
      <c r="Q131" s="520"/>
      <c r="R131" s="241"/>
      <c r="S131" s="520"/>
      <c r="T131" s="241"/>
      <c r="U131" s="520"/>
      <c r="V131" s="241"/>
      <c r="W131" s="242"/>
      <c r="X131" s="241"/>
      <c r="Y131" s="242"/>
      <c r="Z131" s="241"/>
      <c r="AA131" s="241"/>
      <c r="AB131" s="275"/>
      <c r="AC131" s="524"/>
      <c r="AD131" s="241"/>
      <c r="AE131" s="241"/>
      <c r="AF131" s="241"/>
      <c r="AG131" s="241"/>
      <c r="AH131" s="241"/>
      <c r="AI131" s="241"/>
      <c r="AJ131" s="529"/>
      <c r="AK131" s="258"/>
      <c r="AL131" s="241"/>
      <c r="AM131" s="242"/>
      <c r="AN131" s="241"/>
      <c r="AO131" s="242"/>
      <c r="AP131" s="241"/>
      <c r="AQ131" s="242"/>
      <c r="AR131" s="241"/>
      <c r="AS131" s="242"/>
      <c r="AT131" s="241"/>
      <c r="AU131" s="241"/>
      <c r="AV131" s="256"/>
      <c r="AW131" s="241"/>
      <c r="AX131" s="256"/>
      <c r="AY131" s="241"/>
      <c r="AZ131" s="256"/>
      <c r="BA131" s="239"/>
      <c r="BB131" s="242"/>
      <c r="BC131" s="239"/>
      <c r="BD131" s="242"/>
      <c r="BE131" s="239"/>
      <c r="BF131" s="241"/>
      <c r="BG131" s="239"/>
      <c r="BH131" s="241"/>
      <c r="BI131" s="260"/>
      <c r="BJ131" s="241"/>
      <c r="BK131" s="260"/>
      <c r="BL131" s="239"/>
      <c r="BM131" s="256"/>
      <c r="BN131" s="241"/>
      <c r="BO131" s="243"/>
      <c r="BP131" s="241"/>
      <c r="BQ131" s="239"/>
      <c r="BR131" s="276"/>
      <c r="BS131" s="256"/>
      <c r="BT131" s="260"/>
      <c r="BU131" s="261"/>
      <c r="BV131" s="260"/>
      <c r="BW131" s="239"/>
      <c r="BX131" s="260"/>
      <c r="BY131" s="260"/>
      <c r="BZ131" s="239"/>
      <c r="CA131" s="260"/>
      <c r="CB131" s="239"/>
      <c r="CC131" s="260"/>
      <c r="CD131" s="539"/>
      <c r="CE131" s="239"/>
      <c r="CF131" s="276"/>
      <c r="CG131" s="256"/>
      <c r="CH131" s="259"/>
      <c r="CI131" s="347"/>
      <c r="CJ131" s="540"/>
      <c r="CK131" s="256"/>
      <c r="CL131" s="244">
        <v>1</v>
      </c>
      <c r="CM131" s="274">
        <f t="shared" si="1"/>
        <v>2015</v>
      </c>
      <c r="CN131" s="244">
        <f>IF('Grille de saisie'!CM131&lt;18,0,IF('Grille de saisie'!CM131&lt;40,1,IF('Grille de saisie'!CM131&lt;65,2,IF('Grille de saisie'!CM131&lt;100,3,4))))</f>
        <v>4</v>
      </c>
      <c r="CO131" s="236">
        <f>IF(AND('Grille de saisie'!C131=1,'Grille de saisie'!BZ131=0),1,IF(AND('Grille de saisie'!C131="",'Grille de saisie'!BZ131=""),3,IF(AND('Grille de saisie'!C131=5),3,2)))</f>
        <v>3</v>
      </c>
      <c r="CP131" s="236">
        <f>IF(AND('Grille de saisie'!C131=1,'Grille de saisie'!BZ131=0),1,IF(AND('Grille de saisie'!C131=1,'Grille de saisie'!BZ131=1),2,IF(AND('Grille de saisie'!C131=2,'Grille de saisie'!BZ131=0),2,IF(AND('Grille de saisie'!C131=3,'Grille de saisie'!BZ131=0),3,IF(AND('Grille de saisie'!C131=2,'Grille de saisie'!BZ131=1),3,IF(AND('Grille de saisie'!C131=1,'Grille de saisie'!BZ131=2),3,IF(AND('Grille de saisie'!C131="",'Grille de saisie'!BZ131=""),5,IF(AND('Grille de saisie'!C131=5),5,4))))))))</f>
        <v>5</v>
      </c>
      <c r="CQ131" s="237">
        <f>IF('Grille de saisie'!BZ131="",3,IF('Grille de saisie'!C131=5,3,IF('Grille de saisie'!BZ131=0,1,2)))</f>
        <v>3</v>
      </c>
    </row>
    <row r="132" spans="1:95" ht="15">
      <c r="A132" s="511">
        <v>130</v>
      </c>
      <c r="B132" s="240"/>
      <c r="C132" s="513"/>
      <c r="D132" s="240"/>
      <c r="E132" s="517"/>
      <c r="F132" s="265"/>
      <c r="G132" s="513"/>
      <c r="H132" s="265"/>
      <c r="I132" s="520"/>
      <c r="J132" s="241"/>
      <c r="K132" s="520"/>
      <c r="L132" s="241"/>
      <c r="M132" s="521"/>
      <c r="N132" s="241"/>
      <c r="O132" s="521"/>
      <c r="P132" s="241"/>
      <c r="Q132" s="520"/>
      <c r="R132" s="241"/>
      <c r="S132" s="520"/>
      <c r="T132" s="241"/>
      <c r="U132" s="520"/>
      <c r="V132" s="241"/>
      <c r="W132" s="242"/>
      <c r="X132" s="241"/>
      <c r="Y132" s="242"/>
      <c r="Z132" s="241"/>
      <c r="AA132" s="241"/>
      <c r="AB132" s="275"/>
      <c r="AC132" s="524"/>
      <c r="AD132" s="241"/>
      <c r="AE132" s="241"/>
      <c r="AF132" s="241"/>
      <c r="AG132" s="241"/>
      <c r="AH132" s="241"/>
      <c r="AI132" s="241"/>
      <c r="AJ132" s="529"/>
      <c r="AK132" s="258"/>
      <c r="AL132" s="241"/>
      <c r="AM132" s="242"/>
      <c r="AN132" s="241"/>
      <c r="AO132" s="242"/>
      <c r="AP132" s="241"/>
      <c r="AQ132" s="242"/>
      <c r="AR132" s="241"/>
      <c r="AS132" s="242"/>
      <c r="AT132" s="241"/>
      <c r="AU132" s="241"/>
      <c r="AV132" s="256"/>
      <c r="AW132" s="241"/>
      <c r="AX132" s="256"/>
      <c r="AY132" s="241"/>
      <c r="AZ132" s="256"/>
      <c r="BA132" s="239"/>
      <c r="BB132" s="242"/>
      <c r="BC132" s="239"/>
      <c r="BD132" s="242"/>
      <c r="BE132" s="239"/>
      <c r="BF132" s="241"/>
      <c r="BG132" s="239"/>
      <c r="BH132" s="241"/>
      <c r="BI132" s="260"/>
      <c r="BJ132" s="241"/>
      <c r="BK132" s="260"/>
      <c r="BL132" s="239"/>
      <c r="BM132" s="256"/>
      <c r="BN132" s="241"/>
      <c r="BO132" s="243"/>
      <c r="BP132" s="241"/>
      <c r="BQ132" s="239"/>
      <c r="BR132" s="276"/>
      <c r="BS132" s="256"/>
      <c r="BT132" s="260"/>
      <c r="BU132" s="261"/>
      <c r="BV132" s="260"/>
      <c r="BW132" s="239"/>
      <c r="BX132" s="260"/>
      <c r="BY132" s="260"/>
      <c r="BZ132" s="239"/>
      <c r="CA132" s="260"/>
      <c r="CB132" s="239"/>
      <c r="CC132" s="260"/>
      <c r="CD132" s="539"/>
      <c r="CE132" s="239"/>
      <c r="CF132" s="276"/>
      <c r="CG132" s="256"/>
      <c r="CH132" s="259"/>
      <c r="CI132" s="347"/>
      <c r="CJ132" s="540"/>
      <c r="CK132" s="256"/>
      <c r="CL132" s="244">
        <v>1</v>
      </c>
      <c r="CM132" s="274">
        <f t="shared" ref="CM132:CM195" si="2">$A$1-CB132</f>
        <v>2015</v>
      </c>
      <c r="CN132" s="244">
        <f>IF('Grille de saisie'!CM132&lt;18,0,IF('Grille de saisie'!CM132&lt;40,1,IF('Grille de saisie'!CM132&lt;65,2,IF('Grille de saisie'!CM132&lt;100,3,4))))</f>
        <v>4</v>
      </c>
      <c r="CO132" s="236">
        <f>IF(AND('Grille de saisie'!C132=1,'Grille de saisie'!BZ132=0),1,IF(AND('Grille de saisie'!C132="",'Grille de saisie'!BZ132=""),3,IF(AND('Grille de saisie'!C132=5),3,2)))</f>
        <v>3</v>
      </c>
      <c r="CP132" s="236">
        <f>IF(AND('Grille de saisie'!C132=1,'Grille de saisie'!BZ132=0),1,IF(AND('Grille de saisie'!C132=1,'Grille de saisie'!BZ132=1),2,IF(AND('Grille de saisie'!C132=2,'Grille de saisie'!BZ132=0),2,IF(AND('Grille de saisie'!C132=3,'Grille de saisie'!BZ132=0),3,IF(AND('Grille de saisie'!C132=2,'Grille de saisie'!BZ132=1),3,IF(AND('Grille de saisie'!C132=1,'Grille de saisie'!BZ132=2),3,IF(AND('Grille de saisie'!C132="",'Grille de saisie'!BZ132=""),5,IF(AND('Grille de saisie'!C132=5),5,4))))))))</f>
        <v>5</v>
      </c>
      <c r="CQ132" s="237">
        <f>IF('Grille de saisie'!BZ132="",3,IF('Grille de saisie'!C132=5,3,IF('Grille de saisie'!BZ132=0,1,2)))</f>
        <v>3</v>
      </c>
    </row>
    <row r="133" spans="1:95" ht="15">
      <c r="A133" s="510">
        <v>131</v>
      </c>
      <c r="B133" s="240"/>
      <c r="C133" s="513"/>
      <c r="D133" s="240"/>
      <c r="E133" s="517"/>
      <c r="F133" s="265"/>
      <c r="G133" s="513"/>
      <c r="H133" s="265"/>
      <c r="I133" s="520"/>
      <c r="J133" s="241"/>
      <c r="K133" s="520"/>
      <c r="L133" s="241"/>
      <c r="M133" s="521"/>
      <c r="N133" s="241"/>
      <c r="O133" s="521"/>
      <c r="P133" s="241"/>
      <c r="Q133" s="520"/>
      <c r="R133" s="241"/>
      <c r="S133" s="520"/>
      <c r="T133" s="241"/>
      <c r="U133" s="520"/>
      <c r="V133" s="241"/>
      <c r="W133" s="242"/>
      <c r="X133" s="241"/>
      <c r="Y133" s="242"/>
      <c r="Z133" s="241"/>
      <c r="AA133" s="241"/>
      <c r="AB133" s="275"/>
      <c r="AC133" s="524"/>
      <c r="AD133" s="241"/>
      <c r="AE133" s="241"/>
      <c r="AF133" s="241"/>
      <c r="AG133" s="241"/>
      <c r="AH133" s="241"/>
      <c r="AI133" s="241"/>
      <c r="AJ133" s="529"/>
      <c r="AK133" s="258"/>
      <c r="AL133" s="241"/>
      <c r="AM133" s="242"/>
      <c r="AN133" s="241"/>
      <c r="AO133" s="242"/>
      <c r="AP133" s="241"/>
      <c r="AQ133" s="242"/>
      <c r="AR133" s="241"/>
      <c r="AS133" s="242"/>
      <c r="AT133" s="241"/>
      <c r="AU133" s="241"/>
      <c r="AV133" s="256"/>
      <c r="AW133" s="241"/>
      <c r="AX133" s="256"/>
      <c r="AY133" s="241"/>
      <c r="AZ133" s="256"/>
      <c r="BA133" s="239"/>
      <c r="BB133" s="242"/>
      <c r="BC133" s="239"/>
      <c r="BD133" s="242"/>
      <c r="BE133" s="239"/>
      <c r="BF133" s="241"/>
      <c r="BG133" s="239"/>
      <c r="BH133" s="241"/>
      <c r="BI133" s="260"/>
      <c r="BJ133" s="241"/>
      <c r="BK133" s="260"/>
      <c r="BL133" s="239"/>
      <c r="BM133" s="256"/>
      <c r="BN133" s="241"/>
      <c r="BO133" s="243"/>
      <c r="BP133" s="241"/>
      <c r="BQ133" s="239"/>
      <c r="BR133" s="276"/>
      <c r="BS133" s="256"/>
      <c r="BT133" s="260"/>
      <c r="BU133" s="261"/>
      <c r="BV133" s="260"/>
      <c r="BW133" s="239"/>
      <c r="BX133" s="260"/>
      <c r="BY133" s="260"/>
      <c r="BZ133" s="239"/>
      <c r="CA133" s="260"/>
      <c r="CB133" s="239"/>
      <c r="CC133" s="260"/>
      <c r="CD133" s="539"/>
      <c r="CE133" s="239"/>
      <c r="CF133" s="276"/>
      <c r="CG133" s="256"/>
      <c r="CH133" s="259"/>
      <c r="CI133" s="347"/>
      <c r="CJ133" s="540"/>
      <c r="CK133" s="256"/>
      <c r="CL133" s="244">
        <v>1</v>
      </c>
      <c r="CM133" s="274">
        <f t="shared" si="2"/>
        <v>2015</v>
      </c>
      <c r="CN133" s="244">
        <f>IF('Grille de saisie'!CM133&lt;18,0,IF('Grille de saisie'!CM133&lt;40,1,IF('Grille de saisie'!CM133&lt;65,2,IF('Grille de saisie'!CM133&lt;100,3,4))))</f>
        <v>4</v>
      </c>
      <c r="CO133" s="236">
        <f>IF(AND('Grille de saisie'!C133=1,'Grille de saisie'!BZ133=0),1,IF(AND('Grille de saisie'!C133="",'Grille de saisie'!BZ133=""),3,IF(AND('Grille de saisie'!C133=5),3,2)))</f>
        <v>3</v>
      </c>
      <c r="CP133" s="236">
        <f>IF(AND('Grille de saisie'!C133=1,'Grille de saisie'!BZ133=0),1,IF(AND('Grille de saisie'!C133=1,'Grille de saisie'!BZ133=1),2,IF(AND('Grille de saisie'!C133=2,'Grille de saisie'!BZ133=0),2,IF(AND('Grille de saisie'!C133=3,'Grille de saisie'!BZ133=0),3,IF(AND('Grille de saisie'!C133=2,'Grille de saisie'!BZ133=1),3,IF(AND('Grille de saisie'!C133=1,'Grille de saisie'!BZ133=2),3,IF(AND('Grille de saisie'!C133="",'Grille de saisie'!BZ133=""),5,IF(AND('Grille de saisie'!C133=5),5,4))))))))</f>
        <v>5</v>
      </c>
      <c r="CQ133" s="237">
        <f>IF('Grille de saisie'!BZ133="",3,IF('Grille de saisie'!C133=5,3,IF('Grille de saisie'!BZ133=0,1,2)))</f>
        <v>3</v>
      </c>
    </row>
    <row r="134" spans="1:95" ht="15">
      <c r="A134" s="510">
        <v>132</v>
      </c>
      <c r="B134" s="240"/>
      <c r="C134" s="513"/>
      <c r="D134" s="240"/>
      <c r="E134" s="517"/>
      <c r="F134" s="265"/>
      <c r="G134" s="513"/>
      <c r="H134" s="265"/>
      <c r="I134" s="520"/>
      <c r="J134" s="241"/>
      <c r="K134" s="520"/>
      <c r="L134" s="241"/>
      <c r="M134" s="521"/>
      <c r="N134" s="241"/>
      <c r="O134" s="521"/>
      <c r="P134" s="241"/>
      <c r="Q134" s="520"/>
      <c r="R134" s="241"/>
      <c r="S134" s="520"/>
      <c r="T134" s="241"/>
      <c r="U134" s="520"/>
      <c r="V134" s="241"/>
      <c r="W134" s="242"/>
      <c r="X134" s="241"/>
      <c r="Y134" s="242"/>
      <c r="Z134" s="241"/>
      <c r="AA134" s="241"/>
      <c r="AB134" s="275"/>
      <c r="AC134" s="524"/>
      <c r="AD134" s="241"/>
      <c r="AE134" s="241"/>
      <c r="AF134" s="241"/>
      <c r="AG134" s="241"/>
      <c r="AH134" s="241"/>
      <c r="AI134" s="241"/>
      <c r="AJ134" s="529"/>
      <c r="AK134" s="258"/>
      <c r="AL134" s="241"/>
      <c r="AM134" s="242"/>
      <c r="AN134" s="241"/>
      <c r="AO134" s="242"/>
      <c r="AP134" s="241"/>
      <c r="AQ134" s="242"/>
      <c r="AR134" s="241"/>
      <c r="AS134" s="242"/>
      <c r="AT134" s="241"/>
      <c r="AU134" s="241"/>
      <c r="AV134" s="256"/>
      <c r="AW134" s="241"/>
      <c r="AX134" s="256"/>
      <c r="AY134" s="241"/>
      <c r="AZ134" s="256"/>
      <c r="BA134" s="239"/>
      <c r="BB134" s="242"/>
      <c r="BC134" s="239"/>
      <c r="BD134" s="242"/>
      <c r="BE134" s="239"/>
      <c r="BF134" s="241"/>
      <c r="BG134" s="239"/>
      <c r="BH134" s="241"/>
      <c r="BI134" s="260"/>
      <c r="BJ134" s="241"/>
      <c r="BK134" s="260"/>
      <c r="BL134" s="239"/>
      <c r="BM134" s="256"/>
      <c r="BN134" s="241"/>
      <c r="BO134" s="243"/>
      <c r="BP134" s="241"/>
      <c r="BQ134" s="239"/>
      <c r="BR134" s="276"/>
      <c r="BS134" s="256"/>
      <c r="BT134" s="260"/>
      <c r="BU134" s="261"/>
      <c r="BV134" s="260"/>
      <c r="BW134" s="239"/>
      <c r="BX134" s="260"/>
      <c r="BY134" s="260"/>
      <c r="BZ134" s="239"/>
      <c r="CA134" s="260"/>
      <c r="CB134" s="239"/>
      <c r="CC134" s="260"/>
      <c r="CD134" s="539"/>
      <c r="CE134" s="239"/>
      <c r="CF134" s="276"/>
      <c r="CG134" s="256"/>
      <c r="CH134" s="259"/>
      <c r="CI134" s="347"/>
      <c r="CJ134" s="540"/>
      <c r="CK134" s="256"/>
      <c r="CL134" s="244">
        <v>1</v>
      </c>
      <c r="CM134" s="274">
        <f t="shared" si="2"/>
        <v>2015</v>
      </c>
      <c r="CN134" s="244">
        <f>IF('Grille de saisie'!CM134&lt;18,0,IF('Grille de saisie'!CM134&lt;40,1,IF('Grille de saisie'!CM134&lt;65,2,IF('Grille de saisie'!CM134&lt;100,3,4))))</f>
        <v>4</v>
      </c>
      <c r="CO134" s="236">
        <f>IF(AND('Grille de saisie'!C134=1,'Grille de saisie'!BZ134=0),1,IF(AND('Grille de saisie'!C134="",'Grille de saisie'!BZ134=""),3,IF(AND('Grille de saisie'!C134=5),3,2)))</f>
        <v>3</v>
      </c>
      <c r="CP134" s="236">
        <f>IF(AND('Grille de saisie'!C134=1,'Grille de saisie'!BZ134=0),1,IF(AND('Grille de saisie'!C134=1,'Grille de saisie'!BZ134=1),2,IF(AND('Grille de saisie'!C134=2,'Grille de saisie'!BZ134=0),2,IF(AND('Grille de saisie'!C134=3,'Grille de saisie'!BZ134=0),3,IF(AND('Grille de saisie'!C134=2,'Grille de saisie'!BZ134=1),3,IF(AND('Grille de saisie'!C134=1,'Grille de saisie'!BZ134=2),3,IF(AND('Grille de saisie'!C134="",'Grille de saisie'!BZ134=""),5,IF(AND('Grille de saisie'!C134=5),5,4))))))))</f>
        <v>5</v>
      </c>
      <c r="CQ134" s="237">
        <f>IF('Grille de saisie'!BZ134="",3,IF('Grille de saisie'!C134=5,3,IF('Grille de saisie'!BZ134=0,1,2)))</f>
        <v>3</v>
      </c>
    </row>
    <row r="135" spans="1:95" ht="15">
      <c r="A135" s="511">
        <v>133</v>
      </c>
      <c r="B135" s="240"/>
      <c r="C135" s="513"/>
      <c r="D135" s="240"/>
      <c r="E135" s="517"/>
      <c r="F135" s="265"/>
      <c r="G135" s="513"/>
      <c r="H135" s="265"/>
      <c r="I135" s="520"/>
      <c r="J135" s="241"/>
      <c r="K135" s="520"/>
      <c r="L135" s="241"/>
      <c r="M135" s="521"/>
      <c r="N135" s="241"/>
      <c r="O135" s="521"/>
      <c r="P135" s="241"/>
      <c r="Q135" s="520"/>
      <c r="R135" s="241"/>
      <c r="S135" s="520"/>
      <c r="T135" s="241"/>
      <c r="U135" s="520"/>
      <c r="V135" s="241"/>
      <c r="W135" s="242"/>
      <c r="X135" s="241"/>
      <c r="Y135" s="242"/>
      <c r="Z135" s="241"/>
      <c r="AA135" s="241"/>
      <c r="AB135" s="275"/>
      <c r="AC135" s="524"/>
      <c r="AD135" s="241"/>
      <c r="AE135" s="241"/>
      <c r="AF135" s="241"/>
      <c r="AG135" s="241"/>
      <c r="AH135" s="241"/>
      <c r="AI135" s="241"/>
      <c r="AJ135" s="529"/>
      <c r="AK135" s="258"/>
      <c r="AL135" s="241"/>
      <c r="AM135" s="242"/>
      <c r="AN135" s="241"/>
      <c r="AO135" s="242"/>
      <c r="AP135" s="241"/>
      <c r="AQ135" s="242"/>
      <c r="AR135" s="241"/>
      <c r="AS135" s="242"/>
      <c r="AT135" s="241"/>
      <c r="AU135" s="241"/>
      <c r="AV135" s="256"/>
      <c r="AW135" s="241"/>
      <c r="AX135" s="256"/>
      <c r="AY135" s="241"/>
      <c r="AZ135" s="256"/>
      <c r="BA135" s="239"/>
      <c r="BB135" s="242"/>
      <c r="BC135" s="239"/>
      <c r="BD135" s="242"/>
      <c r="BE135" s="239"/>
      <c r="BF135" s="241"/>
      <c r="BG135" s="239"/>
      <c r="BH135" s="241"/>
      <c r="BI135" s="260"/>
      <c r="BJ135" s="241"/>
      <c r="BK135" s="260"/>
      <c r="BL135" s="239"/>
      <c r="BM135" s="256"/>
      <c r="BN135" s="241"/>
      <c r="BO135" s="243"/>
      <c r="BP135" s="241"/>
      <c r="BQ135" s="239"/>
      <c r="BR135" s="276"/>
      <c r="BS135" s="256"/>
      <c r="BT135" s="260"/>
      <c r="BU135" s="261"/>
      <c r="BV135" s="260"/>
      <c r="BW135" s="239"/>
      <c r="BX135" s="260"/>
      <c r="BY135" s="260"/>
      <c r="BZ135" s="239"/>
      <c r="CA135" s="260"/>
      <c r="CB135" s="239"/>
      <c r="CC135" s="260"/>
      <c r="CD135" s="539"/>
      <c r="CE135" s="239"/>
      <c r="CF135" s="276"/>
      <c r="CG135" s="256"/>
      <c r="CH135" s="259"/>
      <c r="CI135" s="347"/>
      <c r="CJ135" s="540"/>
      <c r="CK135" s="256"/>
      <c r="CL135" s="244">
        <v>1</v>
      </c>
      <c r="CM135" s="274">
        <f t="shared" si="2"/>
        <v>2015</v>
      </c>
      <c r="CN135" s="244">
        <f>IF('Grille de saisie'!CM135&lt;18,0,IF('Grille de saisie'!CM135&lt;40,1,IF('Grille de saisie'!CM135&lt;65,2,IF('Grille de saisie'!CM135&lt;100,3,4))))</f>
        <v>4</v>
      </c>
      <c r="CO135" s="236">
        <f>IF(AND('Grille de saisie'!C135=1,'Grille de saisie'!BZ135=0),1,IF(AND('Grille de saisie'!C135="",'Grille de saisie'!BZ135=""),3,IF(AND('Grille de saisie'!C135=5),3,2)))</f>
        <v>3</v>
      </c>
      <c r="CP135" s="236">
        <f>IF(AND('Grille de saisie'!C135=1,'Grille de saisie'!BZ135=0),1,IF(AND('Grille de saisie'!C135=1,'Grille de saisie'!BZ135=1),2,IF(AND('Grille de saisie'!C135=2,'Grille de saisie'!BZ135=0),2,IF(AND('Grille de saisie'!C135=3,'Grille de saisie'!BZ135=0),3,IF(AND('Grille de saisie'!C135=2,'Grille de saisie'!BZ135=1),3,IF(AND('Grille de saisie'!C135=1,'Grille de saisie'!BZ135=2),3,IF(AND('Grille de saisie'!C135="",'Grille de saisie'!BZ135=""),5,IF(AND('Grille de saisie'!C135=5),5,4))))))))</f>
        <v>5</v>
      </c>
      <c r="CQ135" s="237">
        <f>IF('Grille de saisie'!BZ135="",3,IF('Grille de saisie'!C135=5,3,IF('Grille de saisie'!BZ135=0,1,2)))</f>
        <v>3</v>
      </c>
    </row>
    <row r="136" spans="1:95" ht="15">
      <c r="A136" s="510">
        <v>134</v>
      </c>
      <c r="B136" s="240"/>
      <c r="C136" s="513"/>
      <c r="D136" s="240"/>
      <c r="E136" s="517"/>
      <c r="F136" s="265"/>
      <c r="G136" s="513"/>
      <c r="H136" s="265"/>
      <c r="I136" s="520"/>
      <c r="J136" s="241"/>
      <c r="K136" s="520"/>
      <c r="L136" s="241"/>
      <c r="M136" s="521"/>
      <c r="N136" s="241"/>
      <c r="O136" s="521"/>
      <c r="P136" s="241"/>
      <c r="Q136" s="520"/>
      <c r="R136" s="241"/>
      <c r="S136" s="520"/>
      <c r="T136" s="241"/>
      <c r="U136" s="520"/>
      <c r="V136" s="241"/>
      <c r="W136" s="242"/>
      <c r="X136" s="241"/>
      <c r="Y136" s="242"/>
      <c r="Z136" s="241"/>
      <c r="AA136" s="241"/>
      <c r="AB136" s="275"/>
      <c r="AC136" s="524"/>
      <c r="AD136" s="241"/>
      <c r="AE136" s="241"/>
      <c r="AF136" s="241"/>
      <c r="AG136" s="241"/>
      <c r="AH136" s="241"/>
      <c r="AI136" s="241"/>
      <c r="AJ136" s="529"/>
      <c r="AK136" s="258"/>
      <c r="AL136" s="241"/>
      <c r="AM136" s="242"/>
      <c r="AN136" s="241"/>
      <c r="AO136" s="242"/>
      <c r="AP136" s="241"/>
      <c r="AQ136" s="242"/>
      <c r="AR136" s="241"/>
      <c r="AS136" s="242"/>
      <c r="AT136" s="241"/>
      <c r="AU136" s="241"/>
      <c r="AV136" s="256"/>
      <c r="AW136" s="241"/>
      <c r="AX136" s="256"/>
      <c r="AY136" s="241"/>
      <c r="AZ136" s="256"/>
      <c r="BA136" s="239"/>
      <c r="BB136" s="242"/>
      <c r="BC136" s="239"/>
      <c r="BD136" s="242"/>
      <c r="BE136" s="239"/>
      <c r="BF136" s="241"/>
      <c r="BG136" s="239"/>
      <c r="BH136" s="241"/>
      <c r="BI136" s="260"/>
      <c r="BJ136" s="241"/>
      <c r="BK136" s="260"/>
      <c r="BL136" s="239"/>
      <c r="BM136" s="256"/>
      <c r="BN136" s="241"/>
      <c r="BO136" s="243"/>
      <c r="BP136" s="241"/>
      <c r="BQ136" s="239"/>
      <c r="BR136" s="276"/>
      <c r="BS136" s="256"/>
      <c r="BT136" s="260"/>
      <c r="BU136" s="261"/>
      <c r="BV136" s="260"/>
      <c r="BW136" s="239"/>
      <c r="BX136" s="260"/>
      <c r="BY136" s="260"/>
      <c r="BZ136" s="239"/>
      <c r="CA136" s="260"/>
      <c r="CB136" s="239"/>
      <c r="CC136" s="260"/>
      <c r="CD136" s="539"/>
      <c r="CE136" s="239"/>
      <c r="CF136" s="276"/>
      <c r="CG136" s="256"/>
      <c r="CH136" s="259"/>
      <c r="CI136" s="347"/>
      <c r="CJ136" s="540"/>
      <c r="CK136" s="256"/>
      <c r="CL136" s="244">
        <v>1</v>
      </c>
      <c r="CM136" s="274">
        <f t="shared" si="2"/>
        <v>2015</v>
      </c>
      <c r="CN136" s="244">
        <f>IF('Grille de saisie'!CM136&lt;18,0,IF('Grille de saisie'!CM136&lt;40,1,IF('Grille de saisie'!CM136&lt;65,2,IF('Grille de saisie'!CM136&lt;100,3,4))))</f>
        <v>4</v>
      </c>
      <c r="CO136" s="236">
        <f>IF(AND('Grille de saisie'!C136=1,'Grille de saisie'!BZ136=0),1,IF(AND('Grille de saisie'!C136="",'Grille de saisie'!BZ136=""),3,IF(AND('Grille de saisie'!C136=5),3,2)))</f>
        <v>3</v>
      </c>
      <c r="CP136" s="236">
        <f>IF(AND('Grille de saisie'!C136=1,'Grille de saisie'!BZ136=0),1,IF(AND('Grille de saisie'!C136=1,'Grille de saisie'!BZ136=1),2,IF(AND('Grille de saisie'!C136=2,'Grille de saisie'!BZ136=0),2,IF(AND('Grille de saisie'!C136=3,'Grille de saisie'!BZ136=0),3,IF(AND('Grille de saisie'!C136=2,'Grille de saisie'!BZ136=1),3,IF(AND('Grille de saisie'!C136=1,'Grille de saisie'!BZ136=2),3,IF(AND('Grille de saisie'!C136="",'Grille de saisie'!BZ136=""),5,IF(AND('Grille de saisie'!C136=5),5,4))))))))</f>
        <v>5</v>
      </c>
      <c r="CQ136" s="237">
        <f>IF('Grille de saisie'!BZ136="",3,IF('Grille de saisie'!C136=5,3,IF('Grille de saisie'!BZ136=0,1,2)))</f>
        <v>3</v>
      </c>
    </row>
    <row r="137" spans="1:95" ht="15">
      <c r="A137" s="510">
        <v>135</v>
      </c>
      <c r="B137" s="240"/>
      <c r="C137" s="513"/>
      <c r="D137" s="240"/>
      <c r="E137" s="517"/>
      <c r="F137" s="265"/>
      <c r="G137" s="513"/>
      <c r="H137" s="265"/>
      <c r="I137" s="520"/>
      <c r="J137" s="241"/>
      <c r="K137" s="520"/>
      <c r="L137" s="241"/>
      <c r="M137" s="521"/>
      <c r="N137" s="241"/>
      <c r="O137" s="521"/>
      <c r="P137" s="241"/>
      <c r="Q137" s="520"/>
      <c r="R137" s="241"/>
      <c r="S137" s="520"/>
      <c r="T137" s="241"/>
      <c r="U137" s="520"/>
      <c r="V137" s="241"/>
      <c r="W137" s="242"/>
      <c r="X137" s="241"/>
      <c r="Y137" s="242"/>
      <c r="Z137" s="241"/>
      <c r="AA137" s="241"/>
      <c r="AB137" s="275"/>
      <c r="AC137" s="524"/>
      <c r="AD137" s="241"/>
      <c r="AE137" s="241"/>
      <c r="AF137" s="241"/>
      <c r="AG137" s="241"/>
      <c r="AH137" s="241"/>
      <c r="AI137" s="241"/>
      <c r="AJ137" s="529"/>
      <c r="AK137" s="258"/>
      <c r="AL137" s="241"/>
      <c r="AM137" s="242"/>
      <c r="AN137" s="241"/>
      <c r="AO137" s="242"/>
      <c r="AP137" s="241"/>
      <c r="AQ137" s="242"/>
      <c r="AR137" s="241"/>
      <c r="AS137" s="242"/>
      <c r="AT137" s="241"/>
      <c r="AU137" s="241"/>
      <c r="AV137" s="256"/>
      <c r="AW137" s="241"/>
      <c r="AX137" s="256"/>
      <c r="AY137" s="241"/>
      <c r="AZ137" s="256"/>
      <c r="BA137" s="239"/>
      <c r="BB137" s="242"/>
      <c r="BC137" s="239"/>
      <c r="BD137" s="242"/>
      <c r="BE137" s="239"/>
      <c r="BF137" s="241"/>
      <c r="BG137" s="239"/>
      <c r="BH137" s="241"/>
      <c r="BI137" s="260"/>
      <c r="BJ137" s="241"/>
      <c r="BK137" s="260"/>
      <c r="BL137" s="239"/>
      <c r="BM137" s="256"/>
      <c r="BN137" s="241"/>
      <c r="BO137" s="243"/>
      <c r="BP137" s="241"/>
      <c r="BQ137" s="239"/>
      <c r="BR137" s="276"/>
      <c r="BS137" s="256"/>
      <c r="BT137" s="260"/>
      <c r="BU137" s="261"/>
      <c r="BV137" s="260"/>
      <c r="BW137" s="239"/>
      <c r="BX137" s="260"/>
      <c r="BY137" s="260"/>
      <c r="BZ137" s="239"/>
      <c r="CA137" s="260"/>
      <c r="CB137" s="239"/>
      <c r="CC137" s="260"/>
      <c r="CD137" s="539"/>
      <c r="CE137" s="239"/>
      <c r="CF137" s="276"/>
      <c r="CG137" s="256"/>
      <c r="CH137" s="259"/>
      <c r="CI137" s="347"/>
      <c r="CJ137" s="540"/>
      <c r="CK137" s="256"/>
      <c r="CL137" s="244">
        <v>1</v>
      </c>
      <c r="CM137" s="274">
        <f t="shared" si="2"/>
        <v>2015</v>
      </c>
      <c r="CN137" s="244">
        <f>IF('Grille de saisie'!CM137&lt;18,0,IF('Grille de saisie'!CM137&lt;40,1,IF('Grille de saisie'!CM137&lt;65,2,IF('Grille de saisie'!CM137&lt;100,3,4))))</f>
        <v>4</v>
      </c>
      <c r="CO137" s="236">
        <f>IF(AND('Grille de saisie'!C137=1,'Grille de saisie'!BZ137=0),1,IF(AND('Grille de saisie'!C137="",'Grille de saisie'!BZ137=""),3,IF(AND('Grille de saisie'!C137=5),3,2)))</f>
        <v>3</v>
      </c>
      <c r="CP137" s="236">
        <f>IF(AND('Grille de saisie'!C137=1,'Grille de saisie'!BZ137=0),1,IF(AND('Grille de saisie'!C137=1,'Grille de saisie'!BZ137=1),2,IF(AND('Grille de saisie'!C137=2,'Grille de saisie'!BZ137=0),2,IF(AND('Grille de saisie'!C137=3,'Grille de saisie'!BZ137=0),3,IF(AND('Grille de saisie'!C137=2,'Grille de saisie'!BZ137=1),3,IF(AND('Grille de saisie'!C137=1,'Grille de saisie'!BZ137=2),3,IF(AND('Grille de saisie'!C137="",'Grille de saisie'!BZ137=""),5,IF(AND('Grille de saisie'!C137=5),5,4))))))))</f>
        <v>5</v>
      </c>
      <c r="CQ137" s="237">
        <f>IF('Grille de saisie'!BZ137="",3,IF('Grille de saisie'!C137=5,3,IF('Grille de saisie'!BZ137=0,1,2)))</f>
        <v>3</v>
      </c>
    </row>
    <row r="138" spans="1:95" ht="15">
      <c r="A138" s="511">
        <v>136</v>
      </c>
      <c r="B138" s="240"/>
      <c r="C138" s="513"/>
      <c r="D138" s="240"/>
      <c r="E138" s="517"/>
      <c r="F138" s="265"/>
      <c r="G138" s="513"/>
      <c r="H138" s="265"/>
      <c r="I138" s="520"/>
      <c r="J138" s="241"/>
      <c r="K138" s="520"/>
      <c r="L138" s="241"/>
      <c r="M138" s="521"/>
      <c r="N138" s="241"/>
      <c r="O138" s="521"/>
      <c r="P138" s="241"/>
      <c r="Q138" s="520"/>
      <c r="R138" s="241"/>
      <c r="S138" s="520"/>
      <c r="T138" s="241"/>
      <c r="U138" s="520"/>
      <c r="V138" s="241"/>
      <c r="W138" s="242"/>
      <c r="X138" s="241"/>
      <c r="Y138" s="242"/>
      <c r="Z138" s="241"/>
      <c r="AA138" s="241"/>
      <c r="AB138" s="275"/>
      <c r="AC138" s="524"/>
      <c r="AD138" s="241"/>
      <c r="AE138" s="241"/>
      <c r="AF138" s="241"/>
      <c r="AG138" s="241"/>
      <c r="AH138" s="241"/>
      <c r="AI138" s="241"/>
      <c r="AJ138" s="529"/>
      <c r="AK138" s="258"/>
      <c r="AL138" s="241"/>
      <c r="AM138" s="242"/>
      <c r="AN138" s="241"/>
      <c r="AO138" s="242"/>
      <c r="AP138" s="241"/>
      <c r="AQ138" s="242"/>
      <c r="AR138" s="241"/>
      <c r="AS138" s="242"/>
      <c r="AT138" s="241"/>
      <c r="AU138" s="241"/>
      <c r="AV138" s="256"/>
      <c r="AW138" s="241"/>
      <c r="AX138" s="256"/>
      <c r="AY138" s="241"/>
      <c r="AZ138" s="256"/>
      <c r="BA138" s="239"/>
      <c r="BB138" s="242"/>
      <c r="BC138" s="239"/>
      <c r="BD138" s="242"/>
      <c r="BE138" s="239"/>
      <c r="BF138" s="241"/>
      <c r="BG138" s="239"/>
      <c r="BH138" s="241"/>
      <c r="BI138" s="260"/>
      <c r="BJ138" s="241"/>
      <c r="BK138" s="260"/>
      <c r="BL138" s="239"/>
      <c r="BM138" s="256"/>
      <c r="BN138" s="241"/>
      <c r="BO138" s="243"/>
      <c r="BP138" s="241"/>
      <c r="BQ138" s="239"/>
      <c r="BR138" s="276"/>
      <c r="BS138" s="256"/>
      <c r="BT138" s="260"/>
      <c r="BU138" s="261"/>
      <c r="BV138" s="260"/>
      <c r="BW138" s="239"/>
      <c r="BX138" s="260"/>
      <c r="BY138" s="260"/>
      <c r="BZ138" s="239"/>
      <c r="CA138" s="260"/>
      <c r="CB138" s="239"/>
      <c r="CC138" s="260"/>
      <c r="CD138" s="539"/>
      <c r="CE138" s="239"/>
      <c r="CF138" s="276"/>
      <c r="CG138" s="256"/>
      <c r="CH138" s="259"/>
      <c r="CI138" s="347"/>
      <c r="CJ138" s="540"/>
      <c r="CK138" s="256"/>
      <c r="CL138" s="244">
        <v>1</v>
      </c>
      <c r="CM138" s="274">
        <f t="shared" si="2"/>
        <v>2015</v>
      </c>
      <c r="CN138" s="244">
        <f>IF('Grille de saisie'!CM138&lt;18,0,IF('Grille de saisie'!CM138&lt;40,1,IF('Grille de saisie'!CM138&lt;65,2,IF('Grille de saisie'!CM138&lt;100,3,4))))</f>
        <v>4</v>
      </c>
      <c r="CO138" s="236">
        <f>IF(AND('Grille de saisie'!C138=1,'Grille de saisie'!BZ138=0),1,IF(AND('Grille de saisie'!C138="",'Grille de saisie'!BZ138=""),3,IF(AND('Grille de saisie'!C138=5),3,2)))</f>
        <v>3</v>
      </c>
      <c r="CP138" s="236">
        <f>IF(AND('Grille de saisie'!C138=1,'Grille de saisie'!BZ138=0),1,IF(AND('Grille de saisie'!C138=1,'Grille de saisie'!BZ138=1),2,IF(AND('Grille de saisie'!C138=2,'Grille de saisie'!BZ138=0),2,IF(AND('Grille de saisie'!C138=3,'Grille de saisie'!BZ138=0),3,IF(AND('Grille de saisie'!C138=2,'Grille de saisie'!BZ138=1),3,IF(AND('Grille de saisie'!C138=1,'Grille de saisie'!BZ138=2),3,IF(AND('Grille de saisie'!C138="",'Grille de saisie'!BZ138=""),5,IF(AND('Grille de saisie'!C138=5),5,4))))))))</f>
        <v>5</v>
      </c>
      <c r="CQ138" s="237">
        <f>IF('Grille de saisie'!BZ138="",3,IF('Grille de saisie'!C138=5,3,IF('Grille de saisie'!BZ138=0,1,2)))</f>
        <v>3</v>
      </c>
    </row>
    <row r="139" spans="1:95" ht="15">
      <c r="A139" s="510">
        <v>137</v>
      </c>
      <c r="B139" s="240"/>
      <c r="C139" s="513"/>
      <c r="D139" s="240"/>
      <c r="E139" s="517"/>
      <c r="F139" s="265"/>
      <c r="G139" s="513"/>
      <c r="H139" s="265"/>
      <c r="I139" s="520"/>
      <c r="J139" s="241"/>
      <c r="K139" s="520"/>
      <c r="L139" s="241"/>
      <c r="M139" s="521"/>
      <c r="N139" s="241"/>
      <c r="O139" s="521"/>
      <c r="P139" s="241"/>
      <c r="Q139" s="520"/>
      <c r="R139" s="241"/>
      <c r="S139" s="520"/>
      <c r="T139" s="241"/>
      <c r="U139" s="520"/>
      <c r="V139" s="241"/>
      <c r="W139" s="242"/>
      <c r="X139" s="241"/>
      <c r="Y139" s="242"/>
      <c r="Z139" s="241"/>
      <c r="AA139" s="241"/>
      <c r="AB139" s="275"/>
      <c r="AC139" s="524"/>
      <c r="AD139" s="241"/>
      <c r="AE139" s="241"/>
      <c r="AF139" s="241"/>
      <c r="AG139" s="241"/>
      <c r="AH139" s="241"/>
      <c r="AI139" s="241"/>
      <c r="AJ139" s="529"/>
      <c r="AK139" s="258"/>
      <c r="AL139" s="241"/>
      <c r="AM139" s="242"/>
      <c r="AN139" s="241"/>
      <c r="AO139" s="242"/>
      <c r="AP139" s="241"/>
      <c r="AQ139" s="242"/>
      <c r="AR139" s="241"/>
      <c r="AS139" s="242"/>
      <c r="AT139" s="241"/>
      <c r="AU139" s="241"/>
      <c r="AV139" s="256"/>
      <c r="AW139" s="241"/>
      <c r="AX139" s="256"/>
      <c r="AY139" s="241"/>
      <c r="AZ139" s="256"/>
      <c r="BA139" s="239"/>
      <c r="BB139" s="242"/>
      <c r="BC139" s="239"/>
      <c r="BD139" s="242"/>
      <c r="BE139" s="239"/>
      <c r="BF139" s="241"/>
      <c r="BG139" s="239"/>
      <c r="BH139" s="241"/>
      <c r="BI139" s="260"/>
      <c r="BJ139" s="241"/>
      <c r="BK139" s="260"/>
      <c r="BL139" s="239"/>
      <c r="BM139" s="256"/>
      <c r="BN139" s="241"/>
      <c r="BO139" s="243"/>
      <c r="BP139" s="241"/>
      <c r="BQ139" s="239"/>
      <c r="BR139" s="276"/>
      <c r="BS139" s="256"/>
      <c r="BT139" s="260"/>
      <c r="BU139" s="261"/>
      <c r="BV139" s="260"/>
      <c r="BW139" s="239"/>
      <c r="BX139" s="260"/>
      <c r="BY139" s="260"/>
      <c r="BZ139" s="239"/>
      <c r="CA139" s="260"/>
      <c r="CB139" s="239"/>
      <c r="CC139" s="260"/>
      <c r="CD139" s="539"/>
      <c r="CE139" s="239"/>
      <c r="CF139" s="276"/>
      <c r="CG139" s="256"/>
      <c r="CH139" s="259"/>
      <c r="CI139" s="347"/>
      <c r="CJ139" s="540"/>
      <c r="CK139" s="256"/>
      <c r="CL139" s="244">
        <v>1</v>
      </c>
      <c r="CM139" s="274">
        <f t="shared" si="2"/>
        <v>2015</v>
      </c>
      <c r="CN139" s="244">
        <f>IF('Grille de saisie'!CM139&lt;18,0,IF('Grille de saisie'!CM139&lt;40,1,IF('Grille de saisie'!CM139&lt;65,2,IF('Grille de saisie'!CM139&lt;100,3,4))))</f>
        <v>4</v>
      </c>
      <c r="CO139" s="236">
        <f>IF(AND('Grille de saisie'!C139=1,'Grille de saisie'!BZ139=0),1,IF(AND('Grille de saisie'!C139="",'Grille de saisie'!BZ139=""),3,IF(AND('Grille de saisie'!C139=5),3,2)))</f>
        <v>3</v>
      </c>
      <c r="CP139" s="236">
        <f>IF(AND('Grille de saisie'!C139=1,'Grille de saisie'!BZ139=0),1,IF(AND('Grille de saisie'!C139=1,'Grille de saisie'!BZ139=1),2,IF(AND('Grille de saisie'!C139=2,'Grille de saisie'!BZ139=0),2,IF(AND('Grille de saisie'!C139=3,'Grille de saisie'!BZ139=0),3,IF(AND('Grille de saisie'!C139=2,'Grille de saisie'!BZ139=1),3,IF(AND('Grille de saisie'!C139=1,'Grille de saisie'!BZ139=2),3,IF(AND('Grille de saisie'!C139="",'Grille de saisie'!BZ139=""),5,IF(AND('Grille de saisie'!C139=5),5,4))))))))</f>
        <v>5</v>
      </c>
      <c r="CQ139" s="237">
        <f>IF('Grille de saisie'!BZ139="",3,IF('Grille de saisie'!C139=5,3,IF('Grille de saisie'!BZ139=0,1,2)))</f>
        <v>3</v>
      </c>
    </row>
    <row r="140" spans="1:95" ht="15">
      <c r="A140" s="510">
        <v>138</v>
      </c>
      <c r="B140" s="240"/>
      <c r="C140" s="513"/>
      <c r="D140" s="240"/>
      <c r="E140" s="517"/>
      <c r="F140" s="265"/>
      <c r="G140" s="513"/>
      <c r="H140" s="265"/>
      <c r="I140" s="520"/>
      <c r="J140" s="241"/>
      <c r="K140" s="520"/>
      <c r="L140" s="241"/>
      <c r="M140" s="521"/>
      <c r="N140" s="241"/>
      <c r="O140" s="521"/>
      <c r="P140" s="241"/>
      <c r="Q140" s="520"/>
      <c r="R140" s="241"/>
      <c r="S140" s="520"/>
      <c r="T140" s="241"/>
      <c r="U140" s="520"/>
      <c r="V140" s="241"/>
      <c r="W140" s="242"/>
      <c r="X140" s="241"/>
      <c r="Y140" s="242"/>
      <c r="Z140" s="241"/>
      <c r="AA140" s="241"/>
      <c r="AB140" s="275"/>
      <c r="AC140" s="524"/>
      <c r="AD140" s="241"/>
      <c r="AE140" s="241"/>
      <c r="AF140" s="241"/>
      <c r="AG140" s="241"/>
      <c r="AH140" s="241"/>
      <c r="AI140" s="241"/>
      <c r="AJ140" s="529"/>
      <c r="AK140" s="258"/>
      <c r="AL140" s="241"/>
      <c r="AM140" s="242"/>
      <c r="AN140" s="241"/>
      <c r="AO140" s="242"/>
      <c r="AP140" s="241"/>
      <c r="AQ140" s="242"/>
      <c r="AR140" s="241"/>
      <c r="AS140" s="242"/>
      <c r="AT140" s="241"/>
      <c r="AU140" s="241"/>
      <c r="AV140" s="256"/>
      <c r="AW140" s="241"/>
      <c r="AX140" s="256"/>
      <c r="AY140" s="241"/>
      <c r="AZ140" s="256"/>
      <c r="BA140" s="239"/>
      <c r="BB140" s="242"/>
      <c r="BC140" s="239"/>
      <c r="BD140" s="242"/>
      <c r="BE140" s="239"/>
      <c r="BF140" s="241"/>
      <c r="BG140" s="239"/>
      <c r="BH140" s="241"/>
      <c r="BI140" s="260"/>
      <c r="BJ140" s="241"/>
      <c r="BK140" s="260"/>
      <c r="BL140" s="239"/>
      <c r="BM140" s="256"/>
      <c r="BN140" s="241"/>
      <c r="BO140" s="243"/>
      <c r="BP140" s="241"/>
      <c r="BQ140" s="239"/>
      <c r="BR140" s="276"/>
      <c r="BS140" s="256"/>
      <c r="BT140" s="260"/>
      <c r="BU140" s="261"/>
      <c r="BV140" s="260"/>
      <c r="BW140" s="239"/>
      <c r="BX140" s="260"/>
      <c r="BY140" s="260"/>
      <c r="BZ140" s="239"/>
      <c r="CA140" s="260"/>
      <c r="CB140" s="239"/>
      <c r="CC140" s="260"/>
      <c r="CD140" s="539"/>
      <c r="CE140" s="239"/>
      <c r="CF140" s="276"/>
      <c r="CG140" s="256"/>
      <c r="CH140" s="259"/>
      <c r="CI140" s="347"/>
      <c r="CJ140" s="540"/>
      <c r="CK140" s="256"/>
      <c r="CL140" s="244">
        <v>1</v>
      </c>
      <c r="CM140" s="274">
        <f t="shared" si="2"/>
        <v>2015</v>
      </c>
      <c r="CN140" s="244">
        <f>IF('Grille de saisie'!CM140&lt;18,0,IF('Grille de saisie'!CM140&lt;40,1,IF('Grille de saisie'!CM140&lt;65,2,IF('Grille de saisie'!CM140&lt;100,3,4))))</f>
        <v>4</v>
      </c>
      <c r="CO140" s="236">
        <f>IF(AND('Grille de saisie'!C140=1,'Grille de saisie'!BZ140=0),1,IF(AND('Grille de saisie'!C140="",'Grille de saisie'!BZ140=""),3,IF(AND('Grille de saisie'!C140=5),3,2)))</f>
        <v>3</v>
      </c>
      <c r="CP140" s="236">
        <f>IF(AND('Grille de saisie'!C140=1,'Grille de saisie'!BZ140=0),1,IF(AND('Grille de saisie'!C140=1,'Grille de saisie'!BZ140=1),2,IF(AND('Grille de saisie'!C140=2,'Grille de saisie'!BZ140=0),2,IF(AND('Grille de saisie'!C140=3,'Grille de saisie'!BZ140=0),3,IF(AND('Grille de saisie'!C140=2,'Grille de saisie'!BZ140=1),3,IF(AND('Grille de saisie'!C140=1,'Grille de saisie'!BZ140=2),3,IF(AND('Grille de saisie'!C140="",'Grille de saisie'!BZ140=""),5,IF(AND('Grille de saisie'!C140=5),5,4))))))))</f>
        <v>5</v>
      </c>
      <c r="CQ140" s="237">
        <f>IF('Grille de saisie'!BZ140="",3,IF('Grille de saisie'!C140=5,3,IF('Grille de saisie'!BZ140=0,1,2)))</f>
        <v>3</v>
      </c>
    </row>
    <row r="141" spans="1:95" ht="15">
      <c r="A141" s="511">
        <v>139</v>
      </c>
      <c r="B141" s="240"/>
      <c r="C141" s="513"/>
      <c r="D141" s="240"/>
      <c r="E141" s="517"/>
      <c r="F141" s="265"/>
      <c r="G141" s="513"/>
      <c r="H141" s="265"/>
      <c r="I141" s="520"/>
      <c r="J141" s="241"/>
      <c r="K141" s="520"/>
      <c r="L141" s="241"/>
      <c r="M141" s="521"/>
      <c r="N141" s="241"/>
      <c r="O141" s="521"/>
      <c r="P141" s="241"/>
      <c r="Q141" s="520"/>
      <c r="R141" s="241"/>
      <c r="S141" s="520"/>
      <c r="T141" s="241"/>
      <c r="U141" s="520"/>
      <c r="V141" s="241"/>
      <c r="W141" s="242"/>
      <c r="X141" s="241"/>
      <c r="Y141" s="242"/>
      <c r="Z141" s="241"/>
      <c r="AA141" s="241"/>
      <c r="AB141" s="275"/>
      <c r="AC141" s="524"/>
      <c r="AD141" s="241"/>
      <c r="AE141" s="241"/>
      <c r="AF141" s="241"/>
      <c r="AG141" s="241"/>
      <c r="AH141" s="241"/>
      <c r="AI141" s="241"/>
      <c r="AJ141" s="529"/>
      <c r="AK141" s="258"/>
      <c r="AL141" s="241"/>
      <c r="AM141" s="242"/>
      <c r="AN141" s="241"/>
      <c r="AO141" s="242"/>
      <c r="AP141" s="241"/>
      <c r="AQ141" s="242"/>
      <c r="AR141" s="241"/>
      <c r="AS141" s="242"/>
      <c r="AT141" s="241"/>
      <c r="AU141" s="241"/>
      <c r="AV141" s="256"/>
      <c r="AW141" s="241"/>
      <c r="AX141" s="256"/>
      <c r="AY141" s="241"/>
      <c r="AZ141" s="256"/>
      <c r="BA141" s="239"/>
      <c r="BB141" s="242"/>
      <c r="BC141" s="239"/>
      <c r="BD141" s="242"/>
      <c r="BE141" s="239"/>
      <c r="BF141" s="241"/>
      <c r="BG141" s="239"/>
      <c r="BH141" s="241"/>
      <c r="BI141" s="260"/>
      <c r="BJ141" s="241"/>
      <c r="BK141" s="260"/>
      <c r="BL141" s="239"/>
      <c r="BM141" s="256"/>
      <c r="BN141" s="241"/>
      <c r="BO141" s="243"/>
      <c r="BP141" s="241"/>
      <c r="BQ141" s="239"/>
      <c r="BR141" s="276"/>
      <c r="BS141" s="256"/>
      <c r="BT141" s="260"/>
      <c r="BU141" s="261"/>
      <c r="BV141" s="260"/>
      <c r="BW141" s="239"/>
      <c r="BX141" s="260"/>
      <c r="BY141" s="260"/>
      <c r="BZ141" s="239"/>
      <c r="CA141" s="260"/>
      <c r="CB141" s="239"/>
      <c r="CC141" s="260"/>
      <c r="CD141" s="539"/>
      <c r="CE141" s="239"/>
      <c r="CF141" s="276"/>
      <c r="CG141" s="256"/>
      <c r="CH141" s="259"/>
      <c r="CI141" s="347"/>
      <c r="CJ141" s="540"/>
      <c r="CK141" s="256"/>
      <c r="CL141" s="244">
        <v>1</v>
      </c>
      <c r="CM141" s="274">
        <f t="shared" si="2"/>
        <v>2015</v>
      </c>
      <c r="CN141" s="244">
        <f>IF('Grille de saisie'!CM141&lt;18,0,IF('Grille de saisie'!CM141&lt;40,1,IF('Grille de saisie'!CM141&lt;65,2,IF('Grille de saisie'!CM141&lt;100,3,4))))</f>
        <v>4</v>
      </c>
      <c r="CO141" s="236">
        <f>IF(AND('Grille de saisie'!C141=1,'Grille de saisie'!BZ141=0),1,IF(AND('Grille de saisie'!C141="",'Grille de saisie'!BZ141=""),3,IF(AND('Grille de saisie'!C141=5),3,2)))</f>
        <v>3</v>
      </c>
      <c r="CP141" s="236">
        <f>IF(AND('Grille de saisie'!C141=1,'Grille de saisie'!BZ141=0),1,IF(AND('Grille de saisie'!C141=1,'Grille de saisie'!BZ141=1),2,IF(AND('Grille de saisie'!C141=2,'Grille de saisie'!BZ141=0),2,IF(AND('Grille de saisie'!C141=3,'Grille de saisie'!BZ141=0),3,IF(AND('Grille de saisie'!C141=2,'Grille de saisie'!BZ141=1),3,IF(AND('Grille de saisie'!C141=1,'Grille de saisie'!BZ141=2),3,IF(AND('Grille de saisie'!C141="",'Grille de saisie'!BZ141=""),5,IF(AND('Grille de saisie'!C141=5),5,4))))))))</f>
        <v>5</v>
      </c>
      <c r="CQ141" s="237">
        <f>IF('Grille de saisie'!BZ141="",3,IF('Grille de saisie'!C141=5,3,IF('Grille de saisie'!BZ141=0,1,2)))</f>
        <v>3</v>
      </c>
    </row>
    <row r="142" spans="1:95" ht="15">
      <c r="A142" s="510">
        <v>140</v>
      </c>
      <c r="B142" s="240"/>
      <c r="C142" s="513"/>
      <c r="D142" s="240"/>
      <c r="E142" s="517"/>
      <c r="F142" s="265"/>
      <c r="G142" s="513"/>
      <c r="H142" s="265"/>
      <c r="I142" s="520"/>
      <c r="J142" s="241"/>
      <c r="K142" s="520"/>
      <c r="L142" s="241"/>
      <c r="M142" s="521"/>
      <c r="N142" s="241"/>
      <c r="O142" s="521"/>
      <c r="P142" s="241"/>
      <c r="Q142" s="520"/>
      <c r="R142" s="241"/>
      <c r="S142" s="520"/>
      <c r="T142" s="241"/>
      <c r="U142" s="520"/>
      <c r="V142" s="241"/>
      <c r="W142" s="242"/>
      <c r="X142" s="241"/>
      <c r="Y142" s="242"/>
      <c r="Z142" s="241"/>
      <c r="AA142" s="241"/>
      <c r="AB142" s="275"/>
      <c r="AC142" s="524"/>
      <c r="AD142" s="241"/>
      <c r="AE142" s="241"/>
      <c r="AF142" s="241"/>
      <c r="AG142" s="241"/>
      <c r="AH142" s="241"/>
      <c r="AI142" s="241"/>
      <c r="AJ142" s="529"/>
      <c r="AK142" s="258"/>
      <c r="AL142" s="241"/>
      <c r="AM142" s="242"/>
      <c r="AN142" s="241"/>
      <c r="AO142" s="242"/>
      <c r="AP142" s="241"/>
      <c r="AQ142" s="242"/>
      <c r="AR142" s="241"/>
      <c r="AS142" s="242"/>
      <c r="AT142" s="241"/>
      <c r="AU142" s="241"/>
      <c r="AV142" s="256"/>
      <c r="AW142" s="241"/>
      <c r="AX142" s="256"/>
      <c r="AY142" s="241"/>
      <c r="AZ142" s="256"/>
      <c r="BA142" s="239"/>
      <c r="BB142" s="242"/>
      <c r="BC142" s="239"/>
      <c r="BD142" s="242"/>
      <c r="BE142" s="239"/>
      <c r="BF142" s="241"/>
      <c r="BG142" s="239"/>
      <c r="BH142" s="241"/>
      <c r="BI142" s="260"/>
      <c r="BJ142" s="241"/>
      <c r="BK142" s="260"/>
      <c r="BL142" s="239"/>
      <c r="BM142" s="256"/>
      <c r="BN142" s="241"/>
      <c r="BO142" s="243"/>
      <c r="BP142" s="241"/>
      <c r="BQ142" s="239"/>
      <c r="BR142" s="276"/>
      <c r="BS142" s="256"/>
      <c r="BT142" s="260"/>
      <c r="BU142" s="261"/>
      <c r="BV142" s="260"/>
      <c r="BW142" s="239"/>
      <c r="BX142" s="260"/>
      <c r="BY142" s="260"/>
      <c r="BZ142" s="239"/>
      <c r="CA142" s="260"/>
      <c r="CB142" s="239"/>
      <c r="CC142" s="260"/>
      <c r="CD142" s="539"/>
      <c r="CE142" s="239"/>
      <c r="CF142" s="276"/>
      <c r="CG142" s="256"/>
      <c r="CH142" s="259"/>
      <c r="CI142" s="347"/>
      <c r="CJ142" s="540"/>
      <c r="CK142" s="256"/>
      <c r="CL142" s="244">
        <v>1</v>
      </c>
      <c r="CM142" s="274">
        <f t="shared" si="2"/>
        <v>2015</v>
      </c>
      <c r="CN142" s="244">
        <f>IF('Grille de saisie'!CM142&lt;18,0,IF('Grille de saisie'!CM142&lt;40,1,IF('Grille de saisie'!CM142&lt;65,2,IF('Grille de saisie'!CM142&lt;100,3,4))))</f>
        <v>4</v>
      </c>
      <c r="CO142" s="236">
        <f>IF(AND('Grille de saisie'!C142=1,'Grille de saisie'!BZ142=0),1,IF(AND('Grille de saisie'!C142="",'Grille de saisie'!BZ142=""),3,IF(AND('Grille de saisie'!C142=5),3,2)))</f>
        <v>3</v>
      </c>
      <c r="CP142" s="236">
        <f>IF(AND('Grille de saisie'!C142=1,'Grille de saisie'!BZ142=0),1,IF(AND('Grille de saisie'!C142=1,'Grille de saisie'!BZ142=1),2,IF(AND('Grille de saisie'!C142=2,'Grille de saisie'!BZ142=0),2,IF(AND('Grille de saisie'!C142=3,'Grille de saisie'!BZ142=0),3,IF(AND('Grille de saisie'!C142=2,'Grille de saisie'!BZ142=1),3,IF(AND('Grille de saisie'!C142=1,'Grille de saisie'!BZ142=2),3,IF(AND('Grille de saisie'!C142="",'Grille de saisie'!BZ142=""),5,IF(AND('Grille de saisie'!C142=5),5,4))))))))</f>
        <v>5</v>
      </c>
      <c r="CQ142" s="237">
        <f>IF('Grille de saisie'!BZ142="",3,IF('Grille de saisie'!C142=5,3,IF('Grille de saisie'!BZ142=0,1,2)))</f>
        <v>3</v>
      </c>
    </row>
    <row r="143" spans="1:95" ht="15">
      <c r="A143" s="510">
        <v>141</v>
      </c>
      <c r="B143" s="240"/>
      <c r="C143" s="513"/>
      <c r="D143" s="240"/>
      <c r="E143" s="517"/>
      <c r="F143" s="265"/>
      <c r="G143" s="513"/>
      <c r="H143" s="265"/>
      <c r="I143" s="520"/>
      <c r="J143" s="241"/>
      <c r="K143" s="520"/>
      <c r="L143" s="241"/>
      <c r="M143" s="521"/>
      <c r="N143" s="241"/>
      <c r="O143" s="521"/>
      <c r="P143" s="241"/>
      <c r="Q143" s="520"/>
      <c r="R143" s="241"/>
      <c r="S143" s="520"/>
      <c r="T143" s="241"/>
      <c r="U143" s="520"/>
      <c r="V143" s="241"/>
      <c r="W143" s="242"/>
      <c r="X143" s="241"/>
      <c r="Y143" s="242"/>
      <c r="Z143" s="241"/>
      <c r="AA143" s="241"/>
      <c r="AB143" s="275"/>
      <c r="AC143" s="524"/>
      <c r="AD143" s="241"/>
      <c r="AE143" s="241"/>
      <c r="AF143" s="241"/>
      <c r="AG143" s="241"/>
      <c r="AH143" s="241"/>
      <c r="AI143" s="241"/>
      <c r="AJ143" s="529"/>
      <c r="AK143" s="258"/>
      <c r="AL143" s="241"/>
      <c r="AM143" s="242"/>
      <c r="AN143" s="241"/>
      <c r="AO143" s="242"/>
      <c r="AP143" s="241"/>
      <c r="AQ143" s="242"/>
      <c r="AR143" s="241"/>
      <c r="AS143" s="242"/>
      <c r="AT143" s="241"/>
      <c r="AU143" s="241"/>
      <c r="AV143" s="256"/>
      <c r="AW143" s="241"/>
      <c r="AX143" s="256"/>
      <c r="AY143" s="241"/>
      <c r="AZ143" s="256"/>
      <c r="BA143" s="239"/>
      <c r="BB143" s="242"/>
      <c r="BC143" s="239"/>
      <c r="BD143" s="242"/>
      <c r="BE143" s="239"/>
      <c r="BF143" s="241"/>
      <c r="BG143" s="239"/>
      <c r="BH143" s="241"/>
      <c r="BI143" s="260"/>
      <c r="BJ143" s="241"/>
      <c r="BK143" s="260"/>
      <c r="BL143" s="239"/>
      <c r="BM143" s="256"/>
      <c r="BN143" s="241"/>
      <c r="BO143" s="243"/>
      <c r="BP143" s="241"/>
      <c r="BQ143" s="239"/>
      <c r="BR143" s="276"/>
      <c r="BS143" s="256"/>
      <c r="BT143" s="260"/>
      <c r="BU143" s="261"/>
      <c r="BV143" s="260"/>
      <c r="BW143" s="239"/>
      <c r="BX143" s="260"/>
      <c r="BY143" s="260"/>
      <c r="BZ143" s="239"/>
      <c r="CA143" s="260"/>
      <c r="CB143" s="239"/>
      <c r="CC143" s="260"/>
      <c r="CD143" s="539"/>
      <c r="CE143" s="239"/>
      <c r="CF143" s="276"/>
      <c r="CG143" s="256"/>
      <c r="CH143" s="259"/>
      <c r="CI143" s="347"/>
      <c r="CJ143" s="540"/>
      <c r="CK143" s="256"/>
      <c r="CL143" s="244">
        <v>1</v>
      </c>
      <c r="CM143" s="274">
        <f t="shared" si="2"/>
        <v>2015</v>
      </c>
      <c r="CN143" s="244">
        <f>IF('Grille de saisie'!CM143&lt;18,0,IF('Grille de saisie'!CM143&lt;40,1,IF('Grille de saisie'!CM143&lt;65,2,IF('Grille de saisie'!CM143&lt;100,3,4))))</f>
        <v>4</v>
      </c>
      <c r="CO143" s="236">
        <f>IF(AND('Grille de saisie'!C143=1,'Grille de saisie'!BZ143=0),1,IF(AND('Grille de saisie'!C143="",'Grille de saisie'!BZ143=""),3,IF(AND('Grille de saisie'!C143=5),3,2)))</f>
        <v>3</v>
      </c>
      <c r="CP143" s="236">
        <f>IF(AND('Grille de saisie'!C143=1,'Grille de saisie'!BZ143=0),1,IF(AND('Grille de saisie'!C143=1,'Grille de saisie'!BZ143=1),2,IF(AND('Grille de saisie'!C143=2,'Grille de saisie'!BZ143=0),2,IF(AND('Grille de saisie'!C143=3,'Grille de saisie'!BZ143=0),3,IF(AND('Grille de saisie'!C143=2,'Grille de saisie'!BZ143=1),3,IF(AND('Grille de saisie'!C143=1,'Grille de saisie'!BZ143=2),3,IF(AND('Grille de saisie'!C143="",'Grille de saisie'!BZ143=""),5,IF(AND('Grille de saisie'!C143=5),5,4))))))))</f>
        <v>5</v>
      </c>
      <c r="CQ143" s="237">
        <f>IF('Grille de saisie'!BZ143="",3,IF('Grille de saisie'!C143=5,3,IF('Grille de saisie'!BZ143=0,1,2)))</f>
        <v>3</v>
      </c>
    </row>
    <row r="144" spans="1:95" ht="15">
      <c r="A144" s="511">
        <v>142</v>
      </c>
      <c r="B144" s="240"/>
      <c r="C144" s="513"/>
      <c r="D144" s="240"/>
      <c r="E144" s="517"/>
      <c r="F144" s="265"/>
      <c r="G144" s="513"/>
      <c r="H144" s="265"/>
      <c r="I144" s="520"/>
      <c r="J144" s="241"/>
      <c r="K144" s="520"/>
      <c r="L144" s="241"/>
      <c r="M144" s="521"/>
      <c r="N144" s="241"/>
      <c r="O144" s="521"/>
      <c r="P144" s="241"/>
      <c r="Q144" s="520"/>
      <c r="R144" s="241"/>
      <c r="S144" s="520"/>
      <c r="T144" s="241"/>
      <c r="U144" s="520"/>
      <c r="V144" s="241"/>
      <c r="W144" s="242"/>
      <c r="X144" s="241"/>
      <c r="Y144" s="242"/>
      <c r="Z144" s="241"/>
      <c r="AA144" s="241"/>
      <c r="AB144" s="275"/>
      <c r="AC144" s="524"/>
      <c r="AD144" s="241"/>
      <c r="AE144" s="241"/>
      <c r="AF144" s="241"/>
      <c r="AG144" s="241"/>
      <c r="AH144" s="241"/>
      <c r="AI144" s="241"/>
      <c r="AJ144" s="529"/>
      <c r="AK144" s="258"/>
      <c r="AL144" s="241"/>
      <c r="AM144" s="242"/>
      <c r="AN144" s="241"/>
      <c r="AO144" s="242"/>
      <c r="AP144" s="241"/>
      <c r="AQ144" s="242"/>
      <c r="AR144" s="241"/>
      <c r="AS144" s="242"/>
      <c r="AT144" s="241"/>
      <c r="AU144" s="241"/>
      <c r="AV144" s="256"/>
      <c r="AW144" s="241"/>
      <c r="AX144" s="256"/>
      <c r="AY144" s="241"/>
      <c r="AZ144" s="256"/>
      <c r="BA144" s="239"/>
      <c r="BB144" s="242"/>
      <c r="BC144" s="239"/>
      <c r="BD144" s="242"/>
      <c r="BE144" s="239"/>
      <c r="BF144" s="241"/>
      <c r="BG144" s="239"/>
      <c r="BH144" s="241"/>
      <c r="BI144" s="260"/>
      <c r="BJ144" s="241"/>
      <c r="BK144" s="260"/>
      <c r="BL144" s="239"/>
      <c r="BM144" s="256"/>
      <c r="BN144" s="241"/>
      <c r="BO144" s="243"/>
      <c r="BP144" s="241"/>
      <c r="BQ144" s="239"/>
      <c r="BR144" s="276"/>
      <c r="BS144" s="256"/>
      <c r="BT144" s="260"/>
      <c r="BU144" s="261"/>
      <c r="BV144" s="260"/>
      <c r="BW144" s="239"/>
      <c r="BX144" s="260"/>
      <c r="BY144" s="260"/>
      <c r="BZ144" s="239"/>
      <c r="CA144" s="260"/>
      <c r="CB144" s="239"/>
      <c r="CC144" s="260"/>
      <c r="CD144" s="539"/>
      <c r="CE144" s="239"/>
      <c r="CF144" s="276"/>
      <c r="CG144" s="256"/>
      <c r="CH144" s="259"/>
      <c r="CI144" s="347"/>
      <c r="CJ144" s="540"/>
      <c r="CK144" s="256"/>
      <c r="CL144" s="244">
        <v>1</v>
      </c>
      <c r="CM144" s="274">
        <f t="shared" si="2"/>
        <v>2015</v>
      </c>
      <c r="CN144" s="244">
        <f>IF('Grille de saisie'!CM144&lt;18,0,IF('Grille de saisie'!CM144&lt;40,1,IF('Grille de saisie'!CM144&lt;65,2,IF('Grille de saisie'!CM144&lt;100,3,4))))</f>
        <v>4</v>
      </c>
      <c r="CO144" s="236">
        <f>IF(AND('Grille de saisie'!C144=1,'Grille de saisie'!BZ144=0),1,IF(AND('Grille de saisie'!C144="",'Grille de saisie'!BZ144=""),3,IF(AND('Grille de saisie'!C144=5),3,2)))</f>
        <v>3</v>
      </c>
      <c r="CP144" s="236">
        <f>IF(AND('Grille de saisie'!C144=1,'Grille de saisie'!BZ144=0),1,IF(AND('Grille de saisie'!C144=1,'Grille de saisie'!BZ144=1),2,IF(AND('Grille de saisie'!C144=2,'Grille de saisie'!BZ144=0),2,IF(AND('Grille de saisie'!C144=3,'Grille de saisie'!BZ144=0),3,IF(AND('Grille de saisie'!C144=2,'Grille de saisie'!BZ144=1),3,IF(AND('Grille de saisie'!C144=1,'Grille de saisie'!BZ144=2),3,IF(AND('Grille de saisie'!C144="",'Grille de saisie'!BZ144=""),5,IF(AND('Grille de saisie'!C144=5),5,4))))))))</f>
        <v>5</v>
      </c>
      <c r="CQ144" s="237">
        <f>IF('Grille de saisie'!BZ144="",3,IF('Grille de saisie'!C144=5,3,IF('Grille de saisie'!BZ144=0,1,2)))</f>
        <v>3</v>
      </c>
    </row>
    <row r="145" spans="1:95" ht="15">
      <c r="A145" s="510">
        <v>143</v>
      </c>
      <c r="B145" s="240"/>
      <c r="C145" s="513"/>
      <c r="D145" s="240"/>
      <c r="E145" s="517"/>
      <c r="F145" s="265"/>
      <c r="G145" s="513"/>
      <c r="H145" s="265"/>
      <c r="I145" s="520"/>
      <c r="J145" s="241"/>
      <c r="K145" s="520"/>
      <c r="L145" s="241"/>
      <c r="M145" s="521"/>
      <c r="N145" s="241"/>
      <c r="O145" s="521"/>
      <c r="P145" s="241"/>
      <c r="Q145" s="520"/>
      <c r="R145" s="241"/>
      <c r="S145" s="520"/>
      <c r="T145" s="241"/>
      <c r="U145" s="520"/>
      <c r="V145" s="241"/>
      <c r="W145" s="242"/>
      <c r="X145" s="241"/>
      <c r="Y145" s="242"/>
      <c r="Z145" s="241"/>
      <c r="AA145" s="241"/>
      <c r="AB145" s="275"/>
      <c r="AC145" s="524"/>
      <c r="AD145" s="241"/>
      <c r="AE145" s="241"/>
      <c r="AF145" s="241"/>
      <c r="AG145" s="241"/>
      <c r="AH145" s="241"/>
      <c r="AI145" s="241"/>
      <c r="AJ145" s="529"/>
      <c r="AK145" s="258"/>
      <c r="AL145" s="241"/>
      <c r="AM145" s="242"/>
      <c r="AN145" s="241"/>
      <c r="AO145" s="242"/>
      <c r="AP145" s="241"/>
      <c r="AQ145" s="242"/>
      <c r="AR145" s="241"/>
      <c r="AS145" s="242"/>
      <c r="AT145" s="241"/>
      <c r="AU145" s="241"/>
      <c r="AV145" s="256"/>
      <c r="AW145" s="241"/>
      <c r="AX145" s="256"/>
      <c r="AY145" s="241"/>
      <c r="AZ145" s="256"/>
      <c r="BA145" s="239"/>
      <c r="BB145" s="242"/>
      <c r="BC145" s="239"/>
      <c r="BD145" s="242"/>
      <c r="BE145" s="239"/>
      <c r="BF145" s="241"/>
      <c r="BG145" s="239"/>
      <c r="BH145" s="241"/>
      <c r="BI145" s="260"/>
      <c r="BJ145" s="241"/>
      <c r="BK145" s="260"/>
      <c r="BL145" s="239"/>
      <c r="BM145" s="256"/>
      <c r="BN145" s="241"/>
      <c r="BO145" s="243"/>
      <c r="BP145" s="241"/>
      <c r="BQ145" s="239"/>
      <c r="BR145" s="276"/>
      <c r="BS145" s="256"/>
      <c r="BT145" s="260"/>
      <c r="BU145" s="261"/>
      <c r="BV145" s="260"/>
      <c r="BW145" s="239"/>
      <c r="BX145" s="260"/>
      <c r="BY145" s="260"/>
      <c r="BZ145" s="239"/>
      <c r="CA145" s="260"/>
      <c r="CB145" s="239"/>
      <c r="CC145" s="260"/>
      <c r="CD145" s="539"/>
      <c r="CE145" s="239"/>
      <c r="CF145" s="276"/>
      <c r="CG145" s="256"/>
      <c r="CH145" s="259"/>
      <c r="CI145" s="347"/>
      <c r="CJ145" s="540"/>
      <c r="CK145" s="256"/>
      <c r="CL145" s="244">
        <v>1</v>
      </c>
      <c r="CM145" s="274">
        <f t="shared" si="2"/>
        <v>2015</v>
      </c>
      <c r="CN145" s="244">
        <f>IF('Grille de saisie'!CM145&lt;18,0,IF('Grille de saisie'!CM145&lt;40,1,IF('Grille de saisie'!CM145&lt;65,2,IF('Grille de saisie'!CM145&lt;100,3,4))))</f>
        <v>4</v>
      </c>
      <c r="CO145" s="236">
        <f>IF(AND('Grille de saisie'!C145=1,'Grille de saisie'!BZ145=0),1,IF(AND('Grille de saisie'!C145="",'Grille de saisie'!BZ145=""),3,IF(AND('Grille de saisie'!C145=5),3,2)))</f>
        <v>3</v>
      </c>
      <c r="CP145" s="236">
        <f>IF(AND('Grille de saisie'!C145=1,'Grille de saisie'!BZ145=0),1,IF(AND('Grille de saisie'!C145=1,'Grille de saisie'!BZ145=1),2,IF(AND('Grille de saisie'!C145=2,'Grille de saisie'!BZ145=0),2,IF(AND('Grille de saisie'!C145=3,'Grille de saisie'!BZ145=0),3,IF(AND('Grille de saisie'!C145=2,'Grille de saisie'!BZ145=1),3,IF(AND('Grille de saisie'!C145=1,'Grille de saisie'!BZ145=2),3,IF(AND('Grille de saisie'!C145="",'Grille de saisie'!BZ145=""),5,IF(AND('Grille de saisie'!C145=5),5,4))))))))</f>
        <v>5</v>
      </c>
      <c r="CQ145" s="237">
        <f>IF('Grille de saisie'!BZ145="",3,IF('Grille de saisie'!C145=5,3,IF('Grille de saisie'!BZ145=0,1,2)))</f>
        <v>3</v>
      </c>
    </row>
    <row r="146" spans="1:95" ht="15">
      <c r="A146" s="510">
        <v>144</v>
      </c>
      <c r="B146" s="240"/>
      <c r="C146" s="513"/>
      <c r="D146" s="240"/>
      <c r="E146" s="517"/>
      <c r="F146" s="265"/>
      <c r="G146" s="513"/>
      <c r="H146" s="265"/>
      <c r="I146" s="520"/>
      <c r="J146" s="241"/>
      <c r="K146" s="520"/>
      <c r="L146" s="241"/>
      <c r="M146" s="521"/>
      <c r="N146" s="241"/>
      <c r="O146" s="521"/>
      <c r="P146" s="241"/>
      <c r="Q146" s="520"/>
      <c r="R146" s="241"/>
      <c r="S146" s="520"/>
      <c r="T146" s="241"/>
      <c r="U146" s="520"/>
      <c r="V146" s="241"/>
      <c r="W146" s="242"/>
      <c r="X146" s="241"/>
      <c r="Y146" s="242"/>
      <c r="Z146" s="241"/>
      <c r="AA146" s="241"/>
      <c r="AB146" s="275"/>
      <c r="AC146" s="524"/>
      <c r="AD146" s="241"/>
      <c r="AE146" s="241"/>
      <c r="AF146" s="241"/>
      <c r="AG146" s="241"/>
      <c r="AH146" s="241"/>
      <c r="AI146" s="241"/>
      <c r="AJ146" s="529"/>
      <c r="AK146" s="258"/>
      <c r="AL146" s="241"/>
      <c r="AM146" s="242"/>
      <c r="AN146" s="241"/>
      <c r="AO146" s="242"/>
      <c r="AP146" s="241"/>
      <c r="AQ146" s="242"/>
      <c r="AR146" s="241"/>
      <c r="AS146" s="242"/>
      <c r="AT146" s="241"/>
      <c r="AU146" s="241"/>
      <c r="AV146" s="256"/>
      <c r="AW146" s="241"/>
      <c r="AX146" s="256"/>
      <c r="AY146" s="241"/>
      <c r="AZ146" s="256"/>
      <c r="BA146" s="239"/>
      <c r="BB146" s="242"/>
      <c r="BC146" s="239"/>
      <c r="BD146" s="242"/>
      <c r="BE146" s="239"/>
      <c r="BF146" s="241"/>
      <c r="BG146" s="239"/>
      <c r="BH146" s="241"/>
      <c r="BI146" s="260"/>
      <c r="BJ146" s="241"/>
      <c r="BK146" s="260"/>
      <c r="BL146" s="239"/>
      <c r="BM146" s="256"/>
      <c r="BN146" s="241"/>
      <c r="BO146" s="243"/>
      <c r="BP146" s="241"/>
      <c r="BQ146" s="239"/>
      <c r="BR146" s="276"/>
      <c r="BS146" s="256"/>
      <c r="BT146" s="260"/>
      <c r="BU146" s="261"/>
      <c r="BV146" s="260"/>
      <c r="BW146" s="239"/>
      <c r="BX146" s="260"/>
      <c r="BY146" s="260"/>
      <c r="BZ146" s="239"/>
      <c r="CA146" s="260"/>
      <c r="CB146" s="239"/>
      <c r="CC146" s="260"/>
      <c r="CD146" s="539"/>
      <c r="CE146" s="239"/>
      <c r="CF146" s="276"/>
      <c r="CG146" s="256"/>
      <c r="CH146" s="259"/>
      <c r="CI146" s="347"/>
      <c r="CJ146" s="540"/>
      <c r="CK146" s="256"/>
      <c r="CL146" s="244">
        <v>1</v>
      </c>
      <c r="CM146" s="274">
        <f t="shared" si="2"/>
        <v>2015</v>
      </c>
      <c r="CN146" s="244">
        <f>IF('Grille de saisie'!CM146&lt;18,0,IF('Grille de saisie'!CM146&lt;40,1,IF('Grille de saisie'!CM146&lt;65,2,IF('Grille de saisie'!CM146&lt;100,3,4))))</f>
        <v>4</v>
      </c>
      <c r="CO146" s="236">
        <f>IF(AND('Grille de saisie'!C146=1,'Grille de saisie'!BZ146=0),1,IF(AND('Grille de saisie'!C146="",'Grille de saisie'!BZ146=""),3,IF(AND('Grille de saisie'!C146=5),3,2)))</f>
        <v>3</v>
      </c>
      <c r="CP146" s="236">
        <f>IF(AND('Grille de saisie'!C146=1,'Grille de saisie'!BZ146=0),1,IF(AND('Grille de saisie'!C146=1,'Grille de saisie'!BZ146=1),2,IF(AND('Grille de saisie'!C146=2,'Grille de saisie'!BZ146=0),2,IF(AND('Grille de saisie'!C146=3,'Grille de saisie'!BZ146=0),3,IF(AND('Grille de saisie'!C146=2,'Grille de saisie'!BZ146=1),3,IF(AND('Grille de saisie'!C146=1,'Grille de saisie'!BZ146=2),3,IF(AND('Grille de saisie'!C146="",'Grille de saisie'!BZ146=""),5,IF(AND('Grille de saisie'!C146=5),5,4))))))))</f>
        <v>5</v>
      </c>
      <c r="CQ146" s="237">
        <f>IF('Grille de saisie'!BZ146="",3,IF('Grille de saisie'!C146=5,3,IF('Grille de saisie'!BZ146=0,1,2)))</f>
        <v>3</v>
      </c>
    </row>
    <row r="147" spans="1:95" ht="15">
      <c r="A147" s="511">
        <v>145</v>
      </c>
      <c r="B147" s="240"/>
      <c r="C147" s="513"/>
      <c r="D147" s="240"/>
      <c r="E147" s="517"/>
      <c r="F147" s="265"/>
      <c r="G147" s="513"/>
      <c r="H147" s="265"/>
      <c r="I147" s="520"/>
      <c r="J147" s="241"/>
      <c r="K147" s="520"/>
      <c r="L147" s="241"/>
      <c r="M147" s="521"/>
      <c r="N147" s="241"/>
      <c r="O147" s="521"/>
      <c r="P147" s="241"/>
      <c r="Q147" s="520"/>
      <c r="R147" s="241"/>
      <c r="S147" s="520"/>
      <c r="T147" s="241"/>
      <c r="U147" s="520"/>
      <c r="V147" s="241"/>
      <c r="W147" s="242"/>
      <c r="X147" s="241"/>
      <c r="Y147" s="242"/>
      <c r="Z147" s="241"/>
      <c r="AA147" s="241"/>
      <c r="AB147" s="275"/>
      <c r="AC147" s="524"/>
      <c r="AD147" s="241"/>
      <c r="AE147" s="241"/>
      <c r="AF147" s="241"/>
      <c r="AG147" s="241"/>
      <c r="AH147" s="241"/>
      <c r="AI147" s="241"/>
      <c r="AJ147" s="529"/>
      <c r="AK147" s="258"/>
      <c r="AL147" s="241"/>
      <c r="AM147" s="242"/>
      <c r="AN147" s="241"/>
      <c r="AO147" s="242"/>
      <c r="AP147" s="241"/>
      <c r="AQ147" s="242"/>
      <c r="AR147" s="241"/>
      <c r="AS147" s="242"/>
      <c r="AT147" s="241"/>
      <c r="AU147" s="241"/>
      <c r="AV147" s="256"/>
      <c r="AW147" s="241"/>
      <c r="AX147" s="256"/>
      <c r="AY147" s="241"/>
      <c r="AZ147" s="256"/>
      <c r="BA147" s="239"/>
      <c r="BB147" s="242"/>
      <c r="BC147" s="239"/>
      <c r="BD147" s="242"/>
      <c r="BE147" s="239"/>
      <c r="BF147" s="241"/>
      <c r="BG147" s="239"/>
      <c r="BH147" s="241"/>
      <c r="BI147" s="260"/>
      <c r="BJ147" s="241"/>
      <c r="BK147" s="260"/>
      <c r="BL147" s="239"/>
      <c r="BM147" s="256"/>
      <c r="BN147" s="241"/>
      <c r="BO147" s="243"/>
      <c r="BP147" s="241"/>
      <c r="BQ147" s="239"/>
      <c r="BR147" s="276"/>
      <c r="BS147" s="256"/>
      <c r="BT147" s="260"/>
      <c r="BU147" s="261"/>
      <c r="BV147" s="260"/>
      <c r="BW147" s="239"/>
      <c r="BX147" s="260"/>
      <c r="BY147" s="260"/>
      <c r="BZ147" s="239"/>
      <c r="CA147" s="260"/>
      <c r="CB147" s="239"/>
      <c r="CC147" s="260"/>
      <c r="CD147" s="539"/>
      <c r="CE147" s="239"/>
      <c r="CF147" s="276"/>
      <c r="CG147" s="256"/>
      <c r="CH147" s="259"/>
      <c r="CI147" s="347"/>
      <c r="CJ147" s="540"/>
      <c r="CK147" s="256"/>
      <c r="CL147" s="244">
        <v>1</v>
      </c>
      <c r="CM147" s="274">
        <f t="shared" si="2"/>
        <v>2015</v>
      </c>
      <c r="CN147" s="244">
        <f>IF('Grille de saisie'!CM147&lt;18,0,IF('Grille de saisie'!CM147&lt;40,1,IF('Grille de saisie'!CM147&lt;65,2,IF('Grille de saisie'!CM147&lt;100,3,4))))</f>
        <v>4</v>
      </c>
      <c r="CO147" s="236">
        <f>IF(AND('Grille de saisie'!C147=1,'Grille de saisie'!BZ147=0),1,IF(AND('Grille de saisie'!C147="",'Grille de saisie'!BZ147=""),3,IF(AND('Grille de saisie'!C147=5),3,2)))</f>
        <v>3</v>
      </c>
      <c r="CP147" s="236">
        <f>IF(AND('Grille de saisie'!C147=1,'Grille de saisie'!BZ147=0),1,IF(AND('Grille de saisie'!C147=1,'Grille de saisie'!BZ147=1),2,IF(AND('Grille de saisie'!C147=2,'Grille de saisie'!BZ147=0),2,IF(AND('Grille de saisie'!C147=3,'Grille de saisie'!BZ147=0),3,IF(AND('Grille de saisie'!C147=2,'Grille de saisie'!BZ147=1),3,IF(AND('Grille de saisie'!C147=1,'Grille de saisie'!BZ147=2),3,IF(AND('Grille de saisie'!C147="",'Grille de saisie'!BZ147=""),5,IF(AND('Grille de saisie'!C147=5),5,4))))))))</f>
        <v>5</v>
      </c>
      <c r="CQ147" s="237">
        <f>IF('Grille de saisie'!BZ147="",3,IF('Grille de saisie'!C147=5,3,IF('Grille de saisie'!BZ147=0,1,2)))</f>
        <v>3</v>
      </c>
    </row>
    <row r="148" spans="1:95" ht="15">
      <c r="A148" s="510">
        <v>146</v>
      </c>
      <c r="B148" s="240"/>
      <c r="C148" s="513"/>
      <c r="D148" s="240"/>
      <c r="E148" s="517"/>
      <c r="F148" s="265"/>
      <c r="G148" s="513"/>
      <c r="H148" s="265"/>
      <c r="I148" s="520"/>
      <c r="J148" s="241"/>
      <c r="K148" s="520"/>
      <c r="L148" s="241"/>
      <c r="M148" s="521"/>
      <c r="N148" s="241"/>
      <c r="O148" s="521"/>
      <c r="P148" s="241"/>
      <c r="Q148" s="520"/>
      <c r="R148" s="241"/>
      <c r="S148" s="520"/>
      <c r="T148" s="241"/>
      <c r="U148" s="520"/>
      <c r="V148" s="241"/>
      <c r="W148" s="242"/>
      <c r="X148" s="241"/>
      <c r="Y148" s="242"/>
      <c r="Z148" s="241"/>
      <c r="AA148" s="241"/>
      <c r="AB148" s="275"/>
      <c r="AC148" s="524"/>
      <c r="AD148" s="241"/>
      <c r="AE148" s="241"/>
      <c r="AF148" s="241"/>
      <c r="AG148" s="241"/>
      <c r="AH148" s="241"/>
      <c r="AI148" s="241"/>
      <c r="AJ148" s="529"/>
      <c r="AK148" s="258"/>
      <c r="AL148" s="241"/>
      <c r="AM148" s="242"/>
      <c r="AN148" s="241"/>
      <c r="AO148" s="242"/>
      <c r="AP148" s="241"/>
      <c r="AQ148" s="242"/>
      <c r="AR148" s="241"/>
      <c r="AS148" s="242"/>
      <c r="AT148" s="241"/>
      <c r="AU148" s="241"/>
      <c r="AV148" s="256"/>
      <c r="AW148" s="241"/>
      <c r="AX148" s="256"/>
      <c r="AY148" s="241"/>
      <c r="AZ148" s="256"/>
      <c r="BA148" s="239"/>
      <c r="BB148" s="242"/>
      <c r="BC148" s="239"/>
      <c r="BD148" s="242"/>
      <c r="BE148" s="239"/>
      <c r="BF148" s="241"/>
      <c r="BG148" s="239"/>
      <c r="BH148" s="241"/>
      <c r="BI148" s="260"/>
      <c r="BJ148" s="241"/>
      <c r="BK148" s="260"/>
      <c r="BL148" s="239"/>
      <c r="BM148" s="256"/>
      <c r="BN148" s="241"/>
      <c r="BO148" s="243"/>
      <c r="BP148" s="241"/>
      <c r="BQ148" s="239"/>
      <c r="BR148" s="276"/>
      <c r="BS148" s="256"/>
      <c r="BT148" s="260"/>
      <c r="BU148" s="261"/>
      <c r="BV148" s="260"/>
      <c r="BW148" s="239"/>
      <c r="BX148" s="260"/>
      <c r="BY148" s="260"/>
      <c r="BZ148" s="239"/>
      <c r="CA148" s="260"/>
      <c r="CB148" s="239"/>
      <c r="CC148" s="260"/>
      <c r="CD148" s="539"/>
      <c r="CE148" s="239"/>
      <c r="CF148" s="276"/>
      <c r="CG148" s="256"/>
      <c r="CH148" s="259"/>
      <c r="CI148" s="347"/>
      <c r="CJ148" s="540"/>
      <c r="CK148" s="256"/>
      <c r="CL148" s="244">
        <v>1</v>
      </c>
      <c r="CM148" s="274">
        <f t="shared" si="2"/>
        <v>2015</v>
      </c>
      <c r="CN148" s="244">
        <f>IF('Grille de saisie'!CM148&lt;18,0,IF('Grille de saisie'!CM148&lt;40,1,IF('Grille de saisie'!CM148&lt;65,2,IF('Grille de saisie'!CM148&lt;100,3,4))))</f>
        <v>4</v>
      </c>
      <c r="CO148" s="236">
        <f>IF(AND('Grille de saisie'!C148=1,'Grille de saisie'!BZ148=0),1,IF(AND('Grille de saisie'!C148="",'Grille de saisie'!BZ148=""),3,IF(AND('Grille de saisie'!C148=5),3,2)))</f>
        <v>3</v>
      </c>
      <c r="CP148" s="236">
        <f>IF(AND('Grille de saisie'!C148=1,'Grille de saisie'!BZ148=0),1,IF(AND('Grille de saisie'!C148=1,'Grille de saisie'!BZ148=1),2,IF(AND('Grille de saisie'!C148=2,'Grille de saisie'!BZ148=0),2,IF(AND('Grille de saisie'!C148=3,'Grille de saisie'!BZ148=0),3,IF(AND('Grille de saisie'!C148=2,'Grille de saisie'!BZ148=1),3,IF(AND('Grille de saisie'!C148=1,'Grille de saisie'!BZ148=2),3,IF(AND('Grille de saisie'!C148="",'Grille de saisie'!BZ148=""),5,IF(AND('Grille de saisie'!C148=5),5,4))))))))</f>
        <v>5</v>
      </c>
      <c r="CQ148" s="237">
        <f>IF('Grille de saisie'!BZ148="",3,IF('Grille de saisie'!C148=5,3,IF('Grille de saisie'!BZ148=0,1,2)))</f>
        <v>3</v>
      </c>
    </row>
    <row r="149" spans="1:95" ht="15">
      <c r="A149" s="510">
        <v>147</v>
      </c>
      <c r="B149" s="240"/>
      <c r="C149" s="513"/>
      <c r="D149" s="240"/>
      <c r="E149" s="517"/>
      <c r="F149" s="265"/>
      <c r="G149" s="513"/>
      <c r="H149" s="265"/>
      <c r="I149" s="520"/>
      <c r="J149" s="241"/>
      <c r="K149" s="520"/>
      <c r="L149" s="241"/>
      <c r="M149" s="521"/>
      <c r="N149" s="241"/>
      <c r="O149" s="521"/>
      <c r="P149" s="241"/>
      <c r="Q149" s="520"/>
      <c r="R149" s="241"/>
      <c r="S149" s="520"/>
      <c r="T149" s="241"/>
      <c r="U149" s="520"/>
      <c r="V149" s="241"/>
      <c r="W149" s="242"/>
      <c r="X149" s="241"/>
      <c r="Y149" s="242"/>
      <c r="Z149" s="241"/>
      <c r="AA149" s="241"/>
      <c r="AB149" s="275"/>
      <c r="AC149" s="524"/>
      <c r="AD149" s="241"/>
      <c r="AE149" s="241"/>
      <c r="AF149" s="241"/>
      <c r="AG149" s="241"/>
      <c r="AH149" s="241"/>
      <c r="AI149" s="241"/>
      <c r="AJ149" s="529"/>
      <c r="AK149" s="258"/>
      <c r="AL149" s="241"/>
      <c r="AM149" s="242"/>
      <c r="AN149" s="241"/>
      <c r="AO149" s="242"/>
      <c r="AP149" s="241"/>
      <c r="AQ149" s="242"/>
      <c r="AR149" s="241"/>
      <c r="AS149" s="242"/>
      <c r="AT149" s="241"/>
      <c r="AU149" s="241"/>
      <c r="AV149" s="256"/>
      <c r="AW149" s="241"/>
      <c r="AX149" s="256"/>
      <c r="AY149" s="241"/>
      <c r="AZ149" s="256"/>
      <c r="BA149" s="239"/>
      <c r="BB149" s="242"/>
      <c r="BC149" s="239"/>
      <c r="BD149" s="242"/>
      <c r="BE149" s="239"/>
      <c r="BF149" s="241"/>
      <c r="BG149" s="239"/>
      <c r="BH149" s="241"/>
      <c r="BI149" s="260"/>
      <c r="BJ149" s="241"/>
      <c r="BK149" s="260"/>
      <c r="BL149" s="239"/>
      <c r="BM149" s="256"/>
      <c r="BN149" s="241"/>
      <c r="BO149" s="243"/>
      <c r="BP149" s="241"/>
      <c r="BQ149" s="239"/>
      <c r="BR149" s="276"/>
      <c r="BS149" s="256"/>
      <c r="BT149" s="260"/>
      <c r="BU149" s="261"/>
      <c r="BV149" s="260"/>
      <c r="BW149" s="239"/>
      <c r="BX149" s="260"/>
      <c r="BY149" s="260"/>
      <c r="BZ149" s="239"/>
      <c r="CA149" s="260"/>
      <c r="CB149" s="239"/>
      <c r="CC149" s="260"/>
      <c r="CD149" s="539"/>
      <c r="CE149" s="239"/>
      <c r="CF149" s="276"/>
      <c r="CG149" s="256"/>
      <c r="CH149" s="259"/>
      <c r="CI149" s="347"/>
      <c r="CJ149" s="540"/>
      <c r="CK149" s="256"/>
      <c r="CL149" s="244">
        <v>1</v>
      </c>
      <c r="CM149" s="274">
        <f t="shared" si="2"/>
        <v>2015</v>
      </c>
      <c r="CN149" s="244">
        <f>IF('Grille de saisie'!CM149&lt;18,0,IF('Grille de saisie'!CM149&lt;40,1,IF('Grille de saisie'!CM149&lt;65,2,IF('Grille de saisie'!CM149&lt;100,3,4))))</f>
        <v>4</v>
      </c>
      <c r="CO149" s="236">
        <f>IF(AND('Grille de saisie'!C149=1,'Grille de saisie'!BZ149=0),1,IF(AND('Grille de saisie'!C149="",'Grille de saisie'!BZ149=""),3,IF(AND('Grille de saisie'!C149=5),3,2)))</f>
        <v>3</v>
      </c>
      <c r="CP149" s="236">
        <f>IF(AND('Grille de saisie'!C149=1,'Grille de saisie'!BZ149=0),1,IF(AND('Grille de saisie'!C149=1,'Grille de saisie'!BZ149=1),2,IF(AND('Grille de saisie'!C149=2,'Grille de saisie'!BZ149=0),2,IF(AND('Grille de saisie'!C149=3,'Grille de saisie'!BZ149=0),3,IF(AND('Grille de saisie'!C149=2,'Grille de saisie'!BZ149=1),3,IF(AND('Grille de saisie'!C149=1,'Grille de saisie'!BZ149=2),3,IF(AND('Grille de saisie'!C149="",'Grille de saisie'!BZ149=""),5,IF(AND('Grille de saisie'!C149=5),5,4))))))))</f>
        <v>5</v>
      </c>
      <c r="CQ149" s="237">
        <f>IF('Grille de saisie'!BZ149="",3,IF('Grille de saisie'!C149=5,3,IF('Grille de saisie'!BZ149=0,1,2)))</f>
        <v>3</v>
      </c>
    </row>
    <row r="150" spans="1:95" ht="15">
      <c r="A150" s="511">
        <v>148</v>
      </c>
      <c r="B150" s="240"/>
      <c r="C150" s="513"/>
      <c r="D150" s="240"/>
      <c r="E150" s="517"/>
      <c r="F150" s="265"/>
      <c r="G150" s="513"/>
      <c r="H150" s="265"/>
      <c r="I150" s="520"/>
      <c r="J150" s="241"/>
      <c r="K150" s="520"/>
      <c r="L150" s="241"/>
      <c r="M150" s="521"/>
      <c r="N150" s="241"/>
      <c r="O150" s="521"/>
      <c r="P150" s="241"/>
      <c r="Q150" s="520"/>
      <c r="R150" s="241"/>
      <c r="S150" s="520"/>
      <c r="T150" s="241"/>
      <c r="U150" s="520"/>
      <c r="V150" s="241"/>
      <c r="W150" s="242"/>
      <c r="X150" s="241"/>
      <c r="Y150" s="242"/>
      <c r="Z150" s="241"/>
      <c r="AA150" s="241"/>
      <c r="AB150" s="275"/>
      <c r="AC150" s="524"/>
      <c r="AD150" s="241"/>
      <c r="AE150" s="241"/>
      <c r="AF150" s="241"/>
      <c r="AG150" s="241"/>
      <c r="AH150" s="241"/>
      <c r="AI150" s="241"/>
      <c r="AJ150" s="529"/>
      <c r="AK150" s="258"/>
      <c r="AL150" s="241"/>
      <c r="AM150" s="242"/>
      <c r="AN150" s="241"/>
      <c r="AO150" s="242"/>
      <c r="AP150" s="241"/>
      <c r="AQ150" s="242"/>
      <c r="AR150" s="241"/>
      <c r="AS150" s="242"/>
      <c r="AT150" s="241"/>
      <c r="AU150" s="241"/>
      <c r="AV150" s="256"/>
      <c r="AW150" s="241"/>
      <c r="AX150" s="256"/>
      <c r="AY150" s="241"/>
      <c r="AZ150" s="256"/>
      <c r="BA150" s="239"/>
      <c r="BB150" s="242"/>
      <c r="BC150" s="239"/>
      <c r="BD150" s="242"/>
      <c r="BE150" s="239"/>
      <c r="BF150" s="241"/>
      <c r="BG150" s="239"/>
      <c r="BH150" s="241"/>
      <c r="BI150" s="260"/>
      <c r="BJ150" s="241"/>
      <c r="BK150" s="260"/>
      <c r="BL150" s="239"/>
      <c r="BM150" s="256"/>
      <c r="BN150" s="241"/>
      <c r="BO150" s="243"/>
      <c r="BP150" s="241"/>
      <c r="BQ150" s="239"/>
      <c r="BR150" s="276"/>
      <c r="BS150" s="256"/>
      <c r="BT150" s="260"/>
      <c r="BU150" s="261"/>
      <c r="BV150" s="260"/>
      <c r="BW150" s="239"/>
      <c r="BX150" s="260"/>
      <c r="BY150" s="260"/>
      <c r="BZ150" s="239"/>
      <c r="CA150" s="260"/>
      <c r="CB150" s="239"/>
      <c r="CC150" s="260"/>
      <c r="CD150" s="539"/>
      <c r="CE150" s="239"/>
      <c r="CF150" s="276"/>
      <c r="CG150" s="256"/>
      <c r="CH150" s="259"/>
      <c r="CI150" s="347"/>
      <c r="CJ150" s="540"/>
      <c r="CK150" s="256"/>
      <c r="CL150" s="244">
        <v>1</v>
      </c>
      <c r="CM150" s="274">
        <f t="shared" si="2"/>
        <v>2015</v>
      </c>
      <c r="CN150" s="244">
        <f>IF('Grille de saisie'!CM150&lt;18,0,IF('Grille de saisie'!CM150&lt;40,1,IF('Grille de saisie'!CM150&lt;65,2,IF('Grille de saisie'!CM150&lt;100,3,4))))</f>
        <v>4</v>
      </c>
      <c r="CO150" s="236">
        <f>IF(AND('Grille de saisie'!C150=1,'Grille de saisie'!BZ150=0),1,IF(AND('Grille de saisie'!C150="",'Grille de saisie'!BZ150=""),3,IF(AND('Grille de saisie'!C150=5),3,2)))</f>
        <v>3</v>
      </c>
      <c r="CP150" s="236">
        <f>IF(AND('Grille de saisie'!C150=1,'Grille de saisie'!BZ150=0),1,IF(AND('Grille de saisie'!C150=1,'Grille de saisie'!BZ150=1),2,IF(AND('Grille de saisie'!C150=2,'Grille de saisie'!BZ150=0),2,IF(AND('Grille de saisie'!C150=3,'Grille de saisie'!BZ150=0),3,IF(AND('Grille de saisie'!C150=2,'Grille de saisie'!BZ150=1),3,IF(AND('Grille de saisie'!C150=1,'Grille de saisie'!BZ150=2),3,IF(AND('Grille de saisie'!C150="",'Grille de saisie'!BZ150=""),5,IF(AND('Grille de saisie'!C150=5),5,4))))))))</f>
        <v>5</v>
      </c>
      <c r="CQ150" s="237">
        <f>IF('Grille de saisie'!BZ150="",3,IF('Grille de saisie'!C150=5,3,IF('Grille de saisie'!BZ150=0,1,2)))</f>
        <v>3</v>
      </c>
    </row>
    <row r="151" spans="1:95" ht="15">
      <c r="A151" s="510">
        <v>149</v>
      </c>
      <c r="B151" s="240"/>
      <c r="C151" s="513"/>
      <c r="D151" s="240"/>
      <c r="E151" s="517"/>
      <c r="F151" s="265"/>
      <c r="G151" s="513"/>
      <c r="H151" s="265"/>
      <c r="I151" s="520"/>
      <c r="J151" s="241"/>
      <c r="K151" s="520"/>
      <c r="L151" s="241"/>
      <c r="M151" s="521"/>
      <c r="N151" s="241"/>
      <c r="O151" s="521"/>
      <c r="P151" s="241"/>
      <c r="Q151" s="520"/>
      <c r="R151" s="241"/>
      <c r="S151" s="520"/>
      <c r="T151" s="241"/>
      <c r="U151" s="520"/>
      <c r="V151" s="241"/>
      <c r="W151" s="242"/>
      <c r="X151" s="241"/>
      <c r="Y151" s="242"/>
      <c r="Z151" s="241"/>
      <c r="AA151" s="241"/>
      <c r="AB151" s="275"/>
      <c r="AC151" s="524"/>
      <c r="AD151" s="241"/>
      <c r="AE151" s="241"/>
      <c r="AF151" s="241"/>
      <c r="AG151" s="241"/>
      <c r="AH151" s="241"/>
      <c r="AI151" s="241"/>
      <c r="AJ151" s="529"/>
      <c r="AK151" s="258"/>
      <c r="AL151" s="241"/>
      <c r="AM151" s="242"/>
      <c r="AN151" s="241"/>
      <c r="AO151" s="242"/>
      <c r="AP151" s="241"/>
      <c r="AQ151" s="242"/>
      <c r="AR151" s="241"/>
      <c r="AS151" s="242"/>
      <c r="AT151" s="241"/>
      <c r="AU151" s="241"/>
      <c r="AV151" s="256"/>
      <c r="AW151" s="241"/>
      <c r="AX151" s="256"/>
      <c r="AY151" s="241"/>
      <c r="AZ151" s="256"/>
      <c r="BA151" s="239"/>
      <c r="BB151" s="242"/>
      <c r="BC151" s="239"/>
      <c r="BD151" s="242"/>
      <c r="BE151" s="239"/>
      <c r="BF151" s="241"/>
      <c r="BG151" s="239"/>
      <c r="BH151" s="241"/>
      <c r="BI151" s="260"/>
      <c r="BJ151" s="241"/>
      <c r="BK151" s="260"/>
      <c r="BL151" s="239"/>
      <c r="BM151" s="256"/>
      <c r="BN151" s="241"/>
      <c r="BO151" s="243"/>
      <c r="BP151" s="241"/>
      <c r="BQ151" s="239"/>
      <c r="BR151" s="276"/>
      <c r="BS151" s="256"/>
      <c r="BT151" s="260"/>
      <c r="BU151" s="261"/>
      <c r="BV151" s="260"/>
      <c r="BW151" s="239"/>
      <c r="BX151" s="260"/>
      <c r="BY151" s="260"/>
      <c r="BZ151" s="239"/>
      <c r="CA151" s="260"/>
      <c r="CB151" s="239"/>
      <c r="CC151" s="260"/>
      <c r="CD151" s="539"/>
      <c r="CE151" s="239"/>
      <c r="CF151" s="276"/>
      <c r="CG151" s="256"/>
      <c r="CH151" s="259"/>
      <c r="CI151" s="347"/>
      <c r="CJ151" s="540"/>
      <c r="CK151" s="256"/>
      <c r="CL151" s="244">
        <v>1</v>
      </c>
      <c r="CM151" s="274">
        <f t="shared" si="2"/>
        <v>2015</v>
      </c>
      <c r="CN151" s="244">
        <f>IF('Grille de saisie'!CM151&lt;18,0,IF('Grille de saisie'!CM151&lt;40,1,IF('Grille de saisie'!CM151&lt;65,2,IF('Grille de saisie'!CM151&lt;100,3,4))))</f>
        <v>4</v>
      </c>
      <c r="CO151" s="236">
        <f>IF(AND('Grille de saisie'!C151=1,'Grille de saisie'!BZ151=0),1,IF(AND('Grille de saisie'!C151="",'Grille de saisie'!BZ151=""),3,IF(AND('Grille de saisie'!C151=5),3,2)))</f>
        <v>3</v>
      </c>
      <c r="CP151" s="236">
        <f>IF(AND('Grille de saisie'!C151=1,'Grille de saisie'!BZ151=0),1,IF(AND('Grille de saisie'!C151=1,'Grille de saisie'!BZ151=1),2,IF(AND('Grille de saisie'!C151=2,'Grille de saisie'!BZ151=0),2,IF(AND('Grille de saisie'!C151=3,'Grille de saisie'!BZ151=0),3,IF(AND('Grille de saisie'!C151=2,'Grille de saisie'!BZ151=1),3,IF(AND('Grille de saisie'!C151=1,'Grille de saisie'!BZ151=2),3,IF(AND('Grille de saisie'!C151="",'Grille de saisie'!BZ151=""),5,IF(AND('Grille de saisie'!C151=5),5,4))))))))</f>
        <v>5</v>
      </c>
      <c r="CQ151" s="237">
        <f>IF('Grille de saisie'!BZ151="",3,IF('Grille de saisie'!C151=5,3,IF('Grille de saisie'!BZ151=0,1,2)))</f>
        <v>3</v>
      </c>
    </row>
    <row r="152" spans="1:95" ht="15">
      <c r="A152" s="510">
        <v>150</v>
      </c>
      <c r="B152" s="240"/>
      <c r="C152" s="513"/>
      <c r="D152" s="240"/>
      <c r="E152" s="517"/>
      <c r="F152" s="265"/>
      <c r="G152" s="513"/>
      <c r="H152" s="265"/>
      <c r="I152" s="520"/>
      <c r="J152" s="241"/>
      <c r="K152" s="520"/>
      <c r="L152" s="241"/>
      <c r="M152" s="521"/>
      <c r="N152" s="241"/>
      <c r="O152" s="521"/>
      <c r="P152" s="241"/>
      <c r="Q152" s="520"/>
      <c r="R152" s="241"/>
      <c r="S152" s="520"/>
      <c r="T152" s="241"/>
      <c r="U152" s="520"/>
      <c r="V152" s="241"/>
      <c r="W152" s="242"/>
      <c r="X152" s="241"/>
      <c r="Y152" s="242"/>
      <c r="Z152" s="241"/>
      <c r="AA152" s="241"/>
      <c r="AB152" s="275"/>
      <c r="AC152" s="524"/>
      <c r="AD152" s="241"/>
      <c r="AE152" s="241"/>
      <c r="AF152" s="241"/>
      <c r="AG152" s="241"/>
      <c r="AH152" s="241"/>
      <c r="AI152" s="241"/>
      <c r="AJ152" s="529"/>
      <c r="AK152" s="258"/>
      <c r="AL152" s="241"/>
      <c r="AM152" s="242"/>
      <c r="AN152" s="241"/>
      <c r="AO152" s="242"/>
      <c r="AP152" s="241"/>
      <c r="AQ152" s="242"/>
      <c r="AR152" s="241"/>
      <c r="AS152" s="242"/>
      <c r="AT152" s="241"/>
      <c r="AU152" s="241"/>
      <c r="AV152" s="256"/>
      <c r="AW152" s="241"/>
      <c r="AX152" s="256"/>
      <c r="AY152" s="241"/>
      <c r="AZ152" s="256"/>
      <c r="BA152" s="239"/>
      <c r="BB152" s="242"/>
      <c r="BC152" s="239"/>
      <c r="BD152" s="242"/>
      <c r="BE152" s="239"/>
      <c r="BF152" s="241"/>
      <c r="BG152" s="239"/>
      <c r="BH152" s="241"/>
      <c r="BI152" s="260"/>
      <c r="BJ152" s="241"/>
      <c r="BK152" s="260"/>
      <c r="BL152" s="239"/>
      <c r="BM152" s="256"/>
      <c r="BN152" s="241"/>
      <c r="BO152" s="243"/>
      <c r="BP152" s="241"/>
      <c r="BQ152" s="239"/>
      <c r="BR152" s="276"/>
      <c r="BS152" s="256"/>
      <c r="BT152" s="260"/>
      <c r="BU152" s="261"/>
      <c r="BV152" s="260"/>
      <c r="BW152" s="239"/>
      <c r="BX152" s="260"/>
      <c r="BY152" s="260"/>
      <c r="BZ152" s="239"/>
      <c r="CA152" s="260"/>
      <c r="CB152" s="239"/>
      <c r="CC152" s="260"/>
      <c r="CD152" s="539"/>
      <c r="CE152" s="239"/>
      <c r="CF152" s="276"/>
      <c r="CG152" s="256"/>
      <c r="CH152" s="259"/>
      <c r="CI152" s="347"/>
      <c r="CJ152" s="540"/>
      <c r="CK152" s="256"/>
      <c r="CL152" s="244">
        <v>1</v>
      </c>
      <c r="CM152" s="274">
        <f t="shared" si="2"/>
        <v>2015</v>
      </c>
      <c r="CN152" s="244">
        <f>IF('Grille de saisie'!CM152&lt;18,0,IF('Grille de saisie'!CM152&lt;40,1,IF('Grille de saisie'!CM152&lt;65,2,IF('Grille de saisie'!CM152&lt;100,3,4))))</f>
        <v>4</v>
      </c>
      <c r="CO152" s="236">
        <f>IF(AND('Grille de saisie'!C152=1,'Grille de saisie'!BZ152=0),1,IF(AND('Grille de saisie'!C152="",'Grille de saisie'!BZ152=""),3,IF(AND('Grille de saisie'!C152=5),3,2)))</f>
        <v>3</v>
      </c>
      <c r="CP152" s="236">
        <f>IF(AND('Grille de saisie'!C152=1,'Grille de saisie'!BZ152=0),1,IF(AND('Grille de saisie'!C152=1,'Grille de saisie'!BZ152=1),2,IF(AND('Grille de saisie'!C152=2,'Grille de saisie'!BZ152=0),2,IF(AND('Grille de saisie'!C152=3,'Grille de saisie'!BZ152=0),3,IF(AND('Grille de saisie'!C152=2,'Grille de saisie'!BZ152=1),3,IF(AND('Grille de saisie'!C152=1,'Grille de saisie'!BZ152=2),3,IF(AND('Grille de saisie'!C152="",'Grille de saisie'!BZ152=""),5,IF(AND('Grille de saisie'!C152=5),5,4))))))))</f>
        <v>5</v>
      </c>
      <c r="CQ152" s="237">
        <f>IF('Grille de saisie'!BZ152="",3,IF('Grille de saisie'!C152=5,3,IF('Grille de saisie'!BZ152=0,1,2)))</f>
        <v>3</v>
      </c>
    </row>
    <row r="153" spans="1:95" ht="15">
      <c r="A153" s="511">
        <v>151</v>
      </c>
      <c r="B153" s="240"/>
      <c r="C153" s="513"/>
      <c r="D153" s="240"/>
      <c r="E153" s="517"/>
      <c r="F153" s="265"/>
      <c r="G153" s="513"/>
      <c r="H153" s="265"/>
      <c r="I153" s="520"/>
      <c r="J153" s="241"/>
      <c r="K153" s="520"/>
      <c r="L153" s="241"/>
      <c r="M153" s="521"/>
      <c r="N153" s="241"/>
      <c r="O153" s="521"/>
      <c r="P153" s="241"/>
      <c r="Q153" s="520"/>
      <c r="R153" s="241"/>
      <c r="S153" s="520"/>
      <c r="T153" s="241"/>
      <c r="U153" s="520"/>
      <c r="V153" s="241"/>
      <c r="W153" s="242"/>
      <c r="X153" s="241"/>
      <c r="Y153" s="242"/>
      <c r="Z153" s="241"/>
      <c r="AA153" s="241"/>
      <c r="AB153" s="275"/>
      <c r="AC153" s="524"/>
      <c r="AD153" s="241"/>
      <c r="AE153" s="241"/>
      <c r="AF153" s="241"/>
      <c r="AG153" s="241"/>
      <c r="AH153" s="241"/>
      <c r="AI153" s="241"/>
      <c r="AJ153" s="529"/>
      <c r="AK153" s="258"/>
      <c r="AL153" s="241"/>
      <c r="AM153" s="242"/>
      <c r="AN153" s="241"/>
      <c r="AO153" s="242"/>
      <c r="AP153" s="241"/>
      <c r="AQ153" s="242"/>
      <c r="AR153" s="241"/>
      <c r="AS153" s="242"/>
      <c r="AT153" s="241"/>
      <c r="AU153" s="241"/>
      <c r="AV153" s="256"/>
      <c r="AW153" s="241"/>
      <c r="AX153" s="256"/>
      <c r="AY153" s="241"/>
      <c r="AZ153" s="256"/>
      <c r="BA153" s="239"/>
      <c r="BB153" s="242"/>
      <c r="BC153" s="239"/>
      <c r="BD153" s="242"/>
      <c r="BE153" s="239"/>
      <c r="BF153" s="241"/>
      <c r="BG153" s="239"/>
      <c r="BH153" s="241"/>
      <c r="BI153" s="260"/>
      <c r="BJ153" s="241"/>
      <c r="BK153" s="260"/>
      <c r="BL153" s="239"/>
      <c r="BM153" s="256"/>
      <c r="BN153" s="241"/>
      <c r="BO153" s="243"/>
      <c r="BP153" s="241"/>
      <c r="BQ153" s="239"/>
      <c r="BR153" s="276"/>
      <c r="BS153" s="256"/>
      <c r="BT153" s="260"/>
      <c r="BU153" s="261"/>
      <c r="BV153" s="260"/>
      <c r="BW153" s="239"/>
      <c r="BX153" s="260"/>
      <c r="BY153" s="260"/>
      <c r="BZ153" s="239"/>
      <c r="CA153" s="260"/>
      <c r="CB153" s="239"/>
      <c r="CC153" s="260"/>
      <c r="CD153" s="539"/>
      <c r="CE153" s="239"/>
      <c r="CF153" s="276"/>
      <c r="CG153" s="256"/>
      <c r="CH153" s="259"/>
      <c r="CI153" s="347"/>
      <c r="CJ153" s="540"/>
      <c r="CK153" s="256"/>
      <c r="CL153" s="244">
        <v>1</v>
      </c>
      <c r="CM153" s="274">
        <f t="shared" si="2"/>
        <v>2015</v>
      </c>
      <c r="CN153" s="244">
        <f>IF('Grille de saisie'!CM153&lt;18,0,IF('Grille de saisie'!CM153&lt;40,1,IF('Grille de saisie'!CM153&lt;65,2,IF('Grille de saisie'!CM153&lt;100,3,4))))</f>
        <v>4</v>
      </c>
      <c r="CO153" s="236">
        <f>IF(AND('Grille de saisie'!C153=1,'Grille de saisie'!BZ153=0),1,IF(AND('Grille de saisie'!C153="",'Grille de saisie'!BZ153=""),3,IF(AND('Grille de saisie'!C153=5),3,2)))</f>
        <v>3</v>
      </c>
      <c r="CP153" s="236">
        <f>IF(AND('Grille de saisie'!C153=1,'Grille de saisie'!BZ153=0),1,IF(AND('Grille de saisie'!C153=1,'Grille de saisie'!BZ153=1),2,IF(AND('Grille de saisie'!C153=2,'Grille de saisie'!BZ153=0),2,IF(AND('Grille de saisie'!C153=3,'Grille de saisie'!BZ153=0),3,IF(AND('Grille de saisie'!C153=2,'Grille de saisie'!BZ153=1),3,IF(AND('Grille de saisie'!C153=1,'Grille de saisie'!BZ153=2),3,IF(AND('Grille de saisie'!C153="",'Grille de saisie'!BZ153=""),5,IF(AND('Grille de saisie'!C153=5),5,4))))))))</f>
        <v>5</v>
      </c>
      <c r="CQ153" s="237">
        <f>IF('Grille de saisie'!BZ153="",3,IF('Grille de saisie'!C153=5,3,IF('Grille de saisie'!BZ153=0,1,2)))</f>
        <v>3</v>
      </c>
    </row>
    <row r="154" spans="1:95" ht="15">
      <c r="A154" s="510">
        <v>152</v>
      </c>
      <c r="B154" s="240"/>
      <c r="C154" s="513"/>
      <c r="D154" s="240"/>
      <c r="E154" s="517"/>
      <c r="F154" s="265"/>
      <c r="G154" s="513"/>
      <c r="H154" s="265"/>
      <c r="I154" s="520"/>
      <c r="J154" s="241"/>
      <c r="K154" s="520"/>
      <c r="L154" s="241"/>
      <c r="M154" s="521"/>
      <c r="N154" s="241"/>
      <c r="O154" s="521"/>
      <c r="P154" s="241"/>
      <c r="Q154" s="520"/>
      <c r="R154" s="241"/>
      <c r="S154" s="520"/>
      <c r="T154" s="241"/>
      <c r="U154" s="520"/>
      <c r="V154" s="241"/>
      <c r="W154" s="242"/>
      <c r="X154" s="241"/>
      <c r="Y154" s="242"/>
      <c r="Z154" s="241"/>
      <c r="AA154" s="241"/>
      <c r="AB154" s="275"/>
      <c r="AC154" s="524"/>
      <c r="AD154" s="241"/>
      <c r="AE154" s="241"/>
      <c r="AF154" s="241"/>
      <c r="AG154" s="241"/>
      <c r="AH154" s="241"/>
      <c r="AI154" s="241"/>
      <c r="AJ154" s="529"/>
      <c r="AK154" s="258"/>
      <c r="AL154" s="241"/>
      <c r="AM154" s="242"/>
      <c r="AN154" s="241"/>
      <c r="AO154" s="242"/>
      <c r="AP154" s="241"/>
      <c r="AQ154" s="242"/>
      <c r="AR154" s="241"/>
      <c r="AS154" s="242"/>
      <c r="AT154" s="241"/>
      <c r="AU154" s="241"/>
      <c r="AV154" s="256"/>
      <c r="AW154" s="241"/>
      <c r="AX154" s="256"/>
      <c r="AY154" s="241"/>
      <c r="AZ154" s="256"/>
      <c r="BA154" s="239"/>
      <c r="BB154" s="242"/>
      <c r="BC154" s="239"/>
      <c r="BD154" s="242"/>
      <c r="BE154" s="239"/>
      <c r="BF154" s="241"/>
      <c r="BG154" s="239"/>
      <c r="BH154" s="241"/>
      <c r="BI154" s="260"/>
      <c r="BJ154" s="241"/>
      <c r="BK154" s="260"/>
      <c r="BL154" s="239"/>
      <c r="BM154" s="256"/>
      <c r="BN154" s="241"/>
      <c r="BO154" s="243"/>
      <c r="BP154" s="241"/>
      <c r="BQ154" s="239"/>
      <c r="BR154" s="276"/>
      <c r="BS154" s="256"/>
      <c r="BT154" s="260"/>
      <c r="BU154" s="261"/>
      <c r="BV154" s="260"/>
      <c r="BW154" s="239"/>
      <c r="BX154" s="260"/>
      <c r="BY154" s="260"/>
      <c r="BZ154" s="239"/>
      <c r="CA154" s="260"/>
      <c r="CB154" s="239"/>
      <c r="CC154" s="260"/>
      <c r="CD154" s="539"/>
      <c r="CE154" s="239"/>
      <c r="CF154" s="276"/>
      <c r="CG154" s="256"/>
      <c r="CH154" s="259"/>
      <c r="CI154" s="347"/>
      <c r="CJ154" s="540"/>
      <c r="CK154" s="256"/>
      <c r="CL154" s="244">
        <v>1</v>
      </c>
      <c r="CM154" s="274">
        <f t="shared" si="2"/>
        <v>2015</v>
      </c>
      <c r="CN154" s="244">
        <f>IF('Grille de saisie'!CM154&lt;18,0,IF('Grille de saisie'!CM154&lt;40,1,IF('Grille de saisie'!CM154&lt;65,2,IF('Grille de saisie'!CM154&lt;100,3,4))))</f>
        <v>4</v>
      </c>
      <c r="CO154" s="236">
        <f>IF(AND('Grille de saisie'!C154=1,'Grille de saisie'!BZ154=0),1,IF(AND('Grille de saisie'!C154="",'Grille de saisie'!BZ154=""),3,IF(AND('Grille de saisie'!C154=5),3,2)))</f>
        <v>3</v>
      </c>
      <c r="CP154" s="236">
        <f>IF(AND('Grille de saisie'!C154=1,'Grille de saisie'!BZ154=0),1,IF(AND('Grille de saisie'!C154=1,'Grille de saisie'!BZ154=1),2,IF(AND('Grille de saisie'!C154=2,'Grille de saisie'!BZ154=0),2,IF(AND('Grille de saisie'!C154=3,'Grille de saisie'!BZ154=0),3,IF(AND('Grille de saisie'!C154=2,'Grille de saisie'!BZ154=1),3,IF(AND('Grille de saisie'!C154=1,'Grille de saisie'!BZ154=2),3,IF(AND('Grille de saisie'!C154="",'Grille de saisie'!BZ154=""),5,IF(AND('Grille de saisie'!C154=5),5,4))))))))</f>
        <v>5</v>
      </c>
      <c r="CQ154" s="237">
        <f>IF('Grille de saisie'!BZ154="",3,IF('Grille de saisie'!C154=5,3,IF('Grille de saisie'!BZ154=0,1,2)))</f>
        <v>3</v>
      </c>
    </row>
    <row r="155" spans="1:95" ht="15">
      <c r="A155" s="510">
        <v>153</v>
      </c>
      <c r="B155" s="240"/>
      <c r="C155" s="513"/>
      <c r="D155" s="240"/>
      <c r="E155" s="517"/>
      <c r="F155" s="265"/>
      <c r="G155" s="513"/>
      <c r="H155" s="265"/>
      <c r="I155" s="520"/>
      <c r="J155" s="241"/>
      <c r="K155" s="520"/>
      <c r="L155" s="241"/>
      <c r="M155" s="521"/>
      <c r="N155" s="241"/>
      <c r="O155" s="521"/>
      <c r="P155" s="241"/>
      <c r="Q155" s="520"/>
      <c r="R155" s="241"/>
      <c r="S155" s="520"/>
      <c r="T155" s="241"/>
      <c r="U155" s="520"/>
      <c r="V155" s="241"/>
      <c r="W155" s="242"/>
      <c r="X155" s="241"/>
      <c r="Y155" s="242"/>
      <c r="Z155" s="241"/>
      <c r="AA155" s="241"/>
      <c r="AB155" s="275"/>
      <c r="AC155" s="524"/>
      <c r="AD155" s="241"/>
      <c r="AE155" s="241"/>
      <c r="AF155" s="241"/>
      <c r="AG155" s="241"/>
      <c r="AH155" s="241"/>
      <c r="AI155" s="241"/>
      <c r="AJ155" s="529"/>
      <c r="AK155" s="258"/>
      <c r="AL155" s="241"/>
      <c r="AM155" s="242"/>
      <c r="AN155" s="241"/>
      <c r="AO155" s="242"/>
      <c r="AP155" s="241"/>
      <c r="AQ155" s="242"/>
      <c r="AR155" s="241"/>
      <c r="AS155" s="242"/>
      <c r="AT155" s="241"/>
      <c r="AU155" s="241"/>
      <c r="AV155" s="256"/>
      <c r="AW155" s="241"/>
      <c r="AX155" s="256"/>
      <c r="AY155" s="241"/>
      <c r="AZ155" s="256"/>
      <c r="BA155" s="239"/>
      <c r="BB155" s="242"/>
      <c r="BC155" s="239"/>
      <c r="BD155" s="242"/>
      <c r="BE155" s="239"/>
      <c r="BF155" s="241"/>
      <c r="BG155" s="239"/>
      <c r="BH155" s="241"/>
      <c r="BI155" s="260"/>
      <c r="BJ155" s="241"/>
      <c r="BK155" s="260"/>
      <c r="BL155" s="239"/>
      <c r="BM155" s="256"/>
      <c r="BN155" s="241"/>
      <c r="BO155" s="243"/>
      <c r="BP155" s="241"/>
      <c r="BQ155" s="239"/>
      <c r="BR155" s="276"/>
      <c r="BS155" s="256"/>
      <c r="BT155" s="260"/>
      <c r="BU155" s="261"/>
      <c r="BV155" s="260"/>
      <c r="BW155" s="239"/>
      <c r="BX155" s="260"/>
      <c r="BY155" s="260"/>
      <c r="BZ155" s="239"/>
      <c r="CA155" s="260"/>
      <c r="CB155" s="239"/>
      <c r="CC155" s="260"/>
      <c r="CD155" s="539"/>
      <c r="CE155" s="239"/>
      <c r="CF155" s="276"/>
      <c r="CG155" s="256"/>
      <c r="CH155" s="259"/>
      <c r="CI155" s="347"/>
      <c r="CJ155" s="540"/>
      <c r="CK155" s="256"/>
      <c r="CL155" s="244">
        <v>1</v>
      </c>
      <c r="CM155" s="274">
        <f t="shared" si="2"/>
        <v>2015</v>
      </c>
      <c r="CN155" s="244">
        <f>IF('Grille de saisie'!CM155&lt;18,0,IF('Grille de saisie'!CM155&lt;40,1,IF('Grille de saisie'!CM155&lt;65,2,IF('Grille de saisie'!CM155&lt;100,3,4))))</f>
        <v>4</v>
      </c>
      <c r="CO155" s="236">
        <f>IF(AND('Grille de saisie'!C155=1,'Grille de saisie'!BZ155=0),1,IF(AND('Grille de saisie'!C155="",'Grille de saisie'!BZ155=""),3,IF(AND('Grille de saisie'!C155=5),3,2)))</f>
        <v>3</v>
      </c>
      <c r="CP155" s="236">
        <f>IF(AND('Grille de saisie'!C155=1,'Grille de saisie'!BZ155=0),1,IF(AND('Grille de saisie'!C155=1,'Grille de saisie'!BZ155=1),2,IF(AND('Grille de saisie'!C155=2,'Grille de saisie'!BZ155=0),2,IF(AND('Grille de saisie'!C155=3,'Grille de saisie'!BZ155=0),3,IF(AND('Grille de saisie'!C155=2,'Grille de saisie'!BZ155=1),3,IF(AND('Grille de saisie'!C155=1,'Grille de saisie'!BZ155=2),3,IF(AND('Grille de saisie'!C155="",'Grille de saisie'!BZ155=""),5,IF(AND('Grille de saisie'!C155=5),5,4))))))))</f>
        <v>5</v>
      </c>
      <c r="CQ155" s="237">
        <f>IF('Grille de saisie'!BZ155="",3,IF('Grille de saisie'!C155=5,3,IF('Grille de saisie'!BZ155=0,1,2)))</f>
        <v>3</v>
      </c>
    </row>
    <row r="156" spans="1:95" ht="15">
      <c r="A156" s="511">
        <v>154</v>
      </c>
      <c r="B156" s="240"/>
      <c r="C156" s="513"/>
      <c r="D156" s="240"/>
      <c r="E156" s="517"/>
      <c r="F156" s="265"/>
      <c r="G156" s="513"/>
      <c r="H156" s="265"/>
      <c r="I156" s="520"/>
      <c r="J156" s="241"/>
      <c r="K156" s="520"/>
      <c r="L156" s="241"/>
      <c r="M156" s="521"/>
      <c r="N156" s="241"/>
      <c r="O156" s="521"/>
      <c r="P156" s="241"/>
      <c r="Q156" s="520"/>
      <c r="R156" s="241"/>
      <c r="S156" s="520"/>
      <c r="T156" s="241"/>
      <c r="U156" s="520"/>
      <c r="V156" s="241"/>
      <c r="W156" s="242"/>
      <c r="X156" s="241"/>
      <c r="Y156" s="242"/>
      <c r="Z156" s="241"/>
      <c r="AA156" s="241"/>
      <c r="AB156" s="275"/>
      <c r="AC156" s="524"/>
      <c r="AD156" s="241"/>
      <c r="AE156" s="241"/>
      <c r="AF156" s="241"/>
      <c r="AG156" s="241"/>
      <c r="AH156" s="241"/>
      <c r="AI156" s="241"/>
      <c r="AJ156" s="529"/>
      <c r="AK156" s="258"/>
      <c r="AL156" s="241"/>
      <c r="AM156" s="242"/>
      <c r="AN156" s="241"/>
      <c r="AO156" s="242"/>
      <c r="AP156" s="241"/>
      <c r="AQ156" s="242"/>
      <c r="AR156" s="241"/>
      <c r="AS156" s="242"/>
      <c r="AT156" s="241"/>
      <c r="AU156" s="241"/>
      <c r="AV156" s="256"/>
      <c r="AW156" s="241"/>
      <c r="AX156" s="256"/>
      <c r="AY156" s="241"/>
      <c r="AZ156" s="256"/>
      <c r="BA156" s="239"/>
      <c r="BB156" s="242"/>
      <c r="BC156" s="239"/>
      <c r="BD156" s="242"/>
      <c r="BE156" s="239"/>
      <c r="BF156" s="241"/>
      <c r="BG156" s="239"/>
      <c r="BH156" s="241"/>
      <c r="BI156" s="260"/>
      <c r="BJ156" s="241"/>
      <c r="BK156" s="260"/>
      <c r="BL156" s="239"/>
      <c r="BM156" s="256"/>
      <c r="BN156" s="241"/>
      <c r="BO156" s="243"/>
      <c r="BP156" s="241"/>
      <c r="BQ156" s="239"/>
      <c r="BR156" s="276"/>
      <c r="BS156" s="256"/>
      <c r="BT156" s="260"/>
      <c r="BU156" s="261"/>
      <c r="BV156" s="260"/>
      <c r="BW156" s="239"/>
      <c r="BX156" s="260"/>
      <c r="BY156" s="260"/>
      <c r="BZ156" s="239"/>
      <c r="CA156" s="260"/>
      <c r="CB156" s="239"/>
      <c r="CC156" s="260"/>
      <c r="CD156" s="539"/>
      <c r="CE156" s="239"/>
      <c r="CF156" s="276"/>
      <c r="CG156" s="256"/>
      <c r="CH156" s="259"/>
      <c r="CI156" s="347"/>
      <c r="CJ156" s="540"/>
      <c r="CK156" s="256"/>
      <c r="CL156" s="244">
        <v>1</v>
      </c>
      <c r="CM156" s="274">
        <f t="shared" si="2"/>
        <v>2015</v>
      </c>
      <c r="CN156" s="244">
        <f>IF('Grille de saisie'!CM156&lt;18,0,IF('Grille de saisie'!CM156&lt;40,1,IF('Grille de saisie'!CM156&lt;65,2,IF('Grille de saisie'!CM156&lt;100,3,4))))</f>
        <v>4</v>
      </c>
      <c r="CO156" s="236">
        <f>IF(AND('Grille de saisie'!C156=1,'Grille de saisie'!BZ156=0),1,IF(AND('Grille de saisie'!C156="",'Grille de saisie'!BZ156=""),3,IF(AND('Grille de saisie'!C156=5),3,2)))</f>
        <v>3</v>
      </c>
      <c r="CP156" s="236">
        <f>IF(AND('Grille de saisie'!C156=1,'Grille de saisie'!BZ156=0),1,IF(AND('Grille de saisie'!C156=1,'Grille de saisie'!BZ156=1),2,IF(AND('Grille de saisie'!C156=2,'Grille de saisie'!BZ156=0),2,IF(AND('Grille de saisie'!C156=3,'Grille de saisie'!BZ156=0),3,IF(AND('Grille de saisie'!C156=2,'Grille de saisie'!BZ156=1),3,IF(AND('Grille de saisie'!C156=1,'Grille de saisie'!BZ156=2),3,IF(AND('Grille de saisie'!C156="",'Grille de saisie'!BZ156=""),5,IF(AND('Grille de saisie'!C156=5),5,4))))))))</f>
        <v>5</v>
      </c>
      <c r="CQ156" s="237">
        <f>IF('Grille de saisie'!BZ156="",3,IF('Grille de saisie'!C156=5,3,IF('Grille de saisie'!BZ156=0,1,2)))</f>
        <v>3</v>
      </c>
    </row>
    <row r="157" spans="1:95" ht="15">
      <c r="A157" s="510">
        <v>155</v>
      </c>
      <c r="B157" s="240"/>
      <c r="C157" s="513"/>
      <c r="D157" s="240"/>
      <c r="E157" s="517"/>
      <c r="F157" s="265"/>
      <c r="G157" s="513"/>
      <c r="H157" s="265"/>
      <c r="I157" s="520"/>
      <c r="J157" s="241"/>
      <c r="K157" s="520"/>
      <c r="L157" s="241"/>
      <c r="M157" s="521"/>
      <c r="N157" s="241"/>
      <c r="O157" s="521"/>
      <c r="P157" s="241"/>
      <c r="Q157" s="520"/>
      <c r="R157" s="241"/>
      <c r="S157" s="520"/>
      <c r="T157" s="241"/>
      <c r="U157" s="520"/>
      <c r="V157" s="241"/>
      <c r="W157" s="242"/>
      <c r="X157" s="241"/>
      <c r="Y157" s="242"/>
      <c r="Z157" s="241"/>
      <c r="AA157" s="241"/>
      <c r="AB157" s="275"/>
      <c r="AC157" s="524"/>
      <c r="AD157" s="241"/>
      <c r="AE157" s="241"/>
      <c r="AF157" s="241"/>
      <c r="AG157" s="241"/>
      <c r="AH157" s="241"/>
      <c r="AI157" s="241"/>
      <c r="AJ157" s="529"/>
      <c r="AK157" s="258"/>
      <c r="AL157" s="241"/>
      <c r="AM157" s="242"/>
      <c r="AN157" s="241"/>
      <c r="AO157" s="242"/>
      <c r="AP157" s="241"/>
      <c r="AQ157" s="242"/>
      <c r="AR157" s="241"/>
      <c r="AS157" s="242"/>
      <c r="AT157" s="241"/>
      <c r="AU157" s="241"/>
      <c r="AV157" s="256"/>
      <c r="AW157" s="241"/>
      <c r="AX157" s="256"/>
      <c r="AY157" s="241"/>
      <c r="AZ157" s="256"/>
      <c r="BA157" s="239"/>
      <c r="BB157" s="242"/>
      <c r="BC157" s="239"/>
      <c r="BD157" s="242"/>
      <c r="BE157" s="239"/>
      <c r="BF157" s="241"/>
      <c r="BG157" s="239"/>
      <c r="BH157" s="241"/>
      <c r="BI157" s="260"/>
      <c r="BJ157" s="241"/>
      <c r="BK157" s="260"/>
      <c r="BL157" s="239"/>
      <c r="BM157" s="256"/>
      <c r="BN157" s="241"/>
      <c r="BO157" s="243"/>
      <c r="BP157" s="241"/>
      <c r="BQ157" s="239"/>
      <c r="BR157" s="276"/>
      <c r="BS157" s="256"/>
      <c r="BT157" s="260"/>
      <c r="BU157" s="261"/>
      <c r="BV157" s="260"/>
      <c r="BW157" s="239"/>
      <c r="BX157" s="260"/>
      <c r="BY157" s="260"/>
      <c r="BZ157" s="239"/>
      <c r="CA157" s="260"/>
      <c r="CB157" s="239"/>
      <c r="CC157" s="260"/>
      <c r="CD157" s="539"/>
      <c r="CE157" s="239"/>
      <c r="CF157" s="276"/>
      <c r="CG157" s="256"/>
      <c r="CH157" s="259"/>
      <c r="CI157" s="347"/>
      <c r="CJ157" s="540"/>
      <c r="CK157" s="256"/>
      <c r="CL157" s="244">
        <v>1</v>
      </c>
      <c r="CM157" s="274">
        <f t="shared" si="2"/>
        <v>2015</v>
      </c>
      <c r="CN157" s="244">
        <f>IF('Grille de saisie'!CM157&lt;18,0,IF('Grille de saisie'!CM157&lt;40,1,IF('Grille de saisie'!CM157&lt;65,2,IF('Grille de saisie'!CM157&lt;100,3,4))))</f>
        <v>4</v>
      </c>
      <c r="CO157" s="236">
        <f>IF(AND('Grille de saisie'!C157=1,'Grille de saisie'!BZ157=0),1,IF(AND('Grille de saisie'!C157="",'Grille de saisie'!BZ157=""),3,IF(AND('Grille de saisie'!C157=5),3,2)))</f>
        <v>3</v>
      </c>
      <c r="CP157" s="236">
        <f>IF(AND('Grille de saisie'!C157=1,'Grille de saisie'!BZ157=0),1,IF(AND('Grille de saisie'!C157=1,'Grille de saisie'!BZ157=1),2,IF(AND('Grille de saisie'!C157=2,'Grille de saisie'!BZ157=0),2,IF(AND('Grille de saisie'!C157=3,'Grille de saisie'!BZ157=0),3,IF(AND('Grille de saisie'!C157=2,'Grille de saisie'!BZ157=1),3,IF(AND('Grille de saisie'!C157=1,'Grille de saisie'!BZ157=2),3,IF(AND('Grille de saisie'!C157="",'Grille de saisie'!BZ157=""),5,IF(AND('Grille de saisie'!C157=5),5,4))))))))</f>
        <v>5</v>
      </c>
      <c r="CQ157" s="237">
        <f>IF('Grille de saisie'!BZ157="",3,IF('Grille de saisie'!C157=5,3,IF('Grille de saisie'!BZ157=0,1,2)))</f>
        <v>3</v>
      </c>
    </row>
    <row r="158" spans="1:95" ht="15">
      <c r="A158" s="510">
        <v>156</v>
      </c>
      <c r="B158" s="240"/>
      <c r="C158" s="513"/>
      <c r="D158" s="240"/>
      <c r="E158" s="517"/>
      <c r="F158" s="265"/>
      <c r="G158" s="513"/>
      <c r="H158" s="265"/>
      <c r="I158" s="520"/>
      <c r="J158" s="241"/>
      <c r="K158" s="520"/>
      <c r="L158" s="241"/>
      <c r="M158" s="521"/>
      <c r="N158" s="241"/>
      <c r="O158" s="521"/>
      <c r="P158" s="241"/>
      <c r="Q158" s="520"/>
      <c r="R158" s="241"/>
      <c r="S158" s="520"/>
      <c r="T158" s="241"/>
      <c r="U158" s="520"/>
      <c r="V158" s="241"/>
      <c r="W158" s="242"/>
      <c r="X158" s="241"/>
      <c r="Y158" s="242"/>
      <c r="Z158" s="241"/>
      <c r="AA158" s="241"/>
      <c r="AB158" s="275"/>
      <c r="AC158" s="524"/>
      <c r="AD158" s="241"/>
      <c r="AE158" s="241"/>
      <c r="AF158" s="241"/>
      <c r="AG158" s="241"/>
      <c r="AH158" s="241"/>
      <c r="AI158" s="241"/>
      <c r="AJ158" s="529"/>
      <c r="AK158" s="258"/>
      <c r="AL158" s="241"/>
      <c r="AM158" s="242"/>
      <c r="AN158" s="241"/>
      <c r="AO158" s="242"/>
      <c r="AP158" s="241"/>
      <c r="AQ158" s="242"/>
      <c r="AR158" s="241"/>
      <c r="AS158" s="242"/>
      <c r="AT158" s="241"/>
      <c r="AU158" s="241"/>
      <c r="AV158" s="256"/>
      <c r="AW158" s="241"/>
      <c r="AX158" s="256"/>
      <c r="AY158" s="241"/>
      <c r="AZ158" s="256"/>
      <c r="BA158" s="239"/>
      <c r="BB158" s="242"/>
      <c r="BC158" s="239"/>
      <c r="BD158" s="242"/>
      <c r="BE158" s="239"/>
      <c r="BF158" s="241"/>
      <c r="BG158" s="239"/>
      <c r="BH158" s="241"/>
      <c r="BI158" s="260"/>
      <c r="BJ158" s="241"/>
      <c r="BK158" s="260"/>
      <c r="BL158" s="239"/>
      <c r="BM158" s="256"/>
      <c r="BN158" s="241"/>
      <c r="BO158" s="243"/>
      <c r="BP158" s="241"/>
      <c r="BQ158" s="239"/>
      <c r="BR158" s="276"/>
      <c r="BS158" s="256"/>
      <c r="BT158" s="260"/>
      <c r="BU158" s="261"/>
      <c r="BV158" s="260"/>
      <c r="BW158" s="239"/>
      <c r="BX158" s="260"/>
      <c r="BY158" s="260"/>
      <c r="BZ158" s="239"/>
      <c r="CA158" s="260"/>
      <c r="CB158" s="239"/>
      <c r="CC158" s="260"/>
      <c r="CD158" s="539"/>
      <c r="CE158" s="239"/>
      <c r="CF158" s="276"/>
      <c r="CG158" s="256"/>
      <c r="CH158" s="259"/>
      <c r="CI158" s="347"/>
      <c r="CJ158" s="540"/>
      <c r="CK158" s="256"/>
      <c r="CL158" s="244">
        <v>1</v>
      </c>
      <c r="CM158" s="274">
        <f t="shared" si="2"/>
        <v>2015</v>
      </c>
      <c r="CN158" s="244">
        <f>IF('Grille de saisie'!CM158&lt;18,0,IF('Grille de saisie'!CM158&lt;40,1,IF('Grille de saisie'!CM158&lt;65,2,IF('Grille de saisie'!CM158&lt;100,3,4))))</f>
        <v>4</v>
      </c>
      <c r="CO158" s="236">
        <f>IF(AND('Grille de saisie'!C158=1,'Grille de saisie'!BZ158=0),1,IF(AND('Grille de saisie'!C158="",'Grille de saisie'!BZ158=""),3,IF(AND('Grille de saisie'!C158=5),3,2)))</f>
        <v>3</v>
      </c>
      <c r="CP158" s="236">
        <f>IF(AND('Grille de saisie'!C158=1,'Grille de saisie'!BZ158=0),1,IF(AND('Grille de saisie'!C158=1,'Grille de saisie'!BZ158=1),2,IF(AND('Grille de saisie'!C158=2,'Grille de saisie'!BZ158=0),2,IF(AND('Grille de saisie'!C158=3,'Grille de saisie'!BZ158=0),3,IF(AND('Grille de saisie'!C158=2,'Grille de saisie'!BZ158=1),3,IF(AND('Grille de saisie'!C158=1,'Grille de saisie'!BZ158=2),3,IF(AND('Grille de saisie'!C158="",'Grille de saisie'!BZ158=""),5,IF(AND('Grille de saisie'!C158=5),5,4))))))))</f>
        <v>5</v>
      </c>
      <c r="CQ158" s="237">
        <f>IF('Grille de saisie'!BZ158="",3,IF('Grille de saisie'!C158=5,3,IF('Grille de saisie'!BZ158=0,1,2)))</f>
        <v>3</v>
      </c>
    </row>
    <row r="159" spans="1:95" ht="15">
      <c r="A159" s="511">
        <v>157</v>
      </c>
      <c r="B159" s="240"/>
      <c r="C159" s="513"/>
      <c r="D159" s="240"/>
      <c r="E159" s="517"/>
      <c r="F159" s="265"/>
      <c r="G159" s="513"/>
      <c r="H159" s="265"/>
      <c r="I159" s="520"/>
      <c r="J159" s="241"/>
      <c r="K159" s="520"/>
      <c r="L159" s="241"/>
      <c r="M159" s="521"/>
      <c r="N159" s="241"/>
      <c r="O159" s="521"/>
      <c r="P159" s="241"/>
      <c r="Q159" s="520"/>
      <c r="R159" s="241"/>
      <c r="S159" s="520"/>
      <c r="T159" s="241"/>
      <c r="U159" s="520"/>
      <c r="V159" s="241"/>
      <c r="W159" s="242"/>
      <c r="X159" s="241"/>
      <c r="Y159" s="242"/>
      <c r="Z159" s="241"/>
      <c r="AA159" s="241"/>
      <c r="AB159" s="275"/>
      <c r="AC159" s="524"/>
      <c r="AD159" s="241"/>
      <c r="AE159" s="241"/>
      <c r="AF159" s="241"/>
      <c r="AG159" s="241"/>
      <c r="AH159" s="241"/>
      <c r="AI159" s="241"/>
      <c r="AJ159" s="529"/>
      <c r="AK159" s="258"/>
      <c r="AL159" s="241"/>
      <c r="AM159" s="242"/>
      <c r="AN159" s="241"/>
      <c r="AO159" s="242"/>
      <c r="AP159" s="241"/>
      <c r="AQ159" s="242"/>
      <c r="AR159" s="241"/>
      <c r="AS159" s="242"/>
      <c r="AT159" s="241"/>
      <c r="AU159" s="241"/>
      <c r="AV159" s="256"/>
      <c r="AW159" s="241"/>
      <c r="AX159" s="256"/>
      <c r="AY159" s="241"/>
      <c r="AZ159" s="256"/>
      <c r="BA159" s="239"/>
      <c r="BB159" s="242"/>
      <c r="BC159" s="239"/>
      <c r="BD159" s="242"/>
      <c r="BE159" s="239"/>
      <c r="BF159" s="241"/>
      <c r="BG159" s="239"/>
      <c r="BH159" s="241"/>
      <c r="BI159" s="260"/>
      <c r="BJ159" s="241"/>
      <c r="BK159" s="260"/>
      <c r="BL159" s="239"/>
      <c r="BM159" s="256"/>
      <c r="BN159" s="241"/>
      <c r="BO159" s="243"/>
      <c r="BP159" s="241"/>
      <c r="BQ159" s="239"/>
      <c r="BR159" s="276"/>
      <c r="BS159" s="256"/>
      <c r="BT159" s="260"/>
      <c r="BU159" s="261"/>
      <c r="BV159" s="260"/>
      <c r="BW159" s="239"/>
      <c r="BX159" s="260"/>
      <c r="BY159" s="260"/>
      <c r="BZ159" s="239"/>
      <c r="CA159" s="260"/>
      <c r="CB159" s="239"/>
      <c r="CC159" s="260"/>
      <c r="CD159" s="539"/>
      <c r="CE159" s="239"/>
      <c r="CF159" s="276"/>
      <c r="CG159" s="256"/>
      <c r="CH159" s="259"/>
      <c r="CI159" s="347"/>
      <c r="CJ159" s="540"/>
      <c r="CK159" s="256"/>
      <c r="CL159" s="244">
        <v>1</v>
      </c>
      <c r="CM159" s="274">
        <f t="shared" si="2"/>
        <v>2015</v>
      </c>
      <c r="CN159" s="244">
        <f>IF('Grille de saisie'!CM159&lt;18,0,IF('Grille de saisie'!CM159&lt;40,1,IF('Grille de saisie'!CM159&lt;65,2,IF('Grille de saisie'!CM159&lt;100,3,4))))</f>
        <v>4</v>
      </c>
      <c r="CO159" s="236">
        <f>IF(AND('Grille de saisie'!C159=1,'Grille de saisie'!BZ159=0),1,IF(AND('Grille de saisie'!C159="",'Grille de saisie'!BZ159=""),3,IF(AND('Grille de saisie'!C159=5),3,2)))</f>
        <v>3</v>
      </c>
      <c r="CP159" s="236">
        <f>IF(AND('Grille de saisie'!C159=1,'Grille de saisie'!BZ159=0),1,IF(AND('Grille de saisie'!C159=1,'Grille de saisie'!BZ159=1),2,IF(AND('Grille de saisie'!C159=2,'Grille de saisie'!BZ159=0),2,IF(AND('Grille de saisie'!C159=3,'Grille de saisie'!BZ159=0),3,IF(AND('Grille de saisie'!C159=2,'Grille de saisie'!BZ159=1),3,IF(AND('Grille de saisie'!C159=1,'Grille de saisie'!BZ159=2),3,IF(AND('Grille de saisie'!C159="",'Grille de saisie'!BZ159=""),5,IF(AND('Grille de saisie'!C159=5),5,4))))))))</f>
        <v>5</v>
      </c>
      <c r="CQ159" s="237">
        <f>IF('Grille de saisie'!BZ159="",3,IF('Grille de saisie'!C159=5,3,IF('Grille de saisie'!BZ159=0,1,2)))</f>
        <v>3</v>
      </c>
    </row>
    <row r="160" spans="1:95" ht="15">
      <c r="A160" s="510">
        <v>158</v>
      </c>
      <c r="B160" s="240"/>
      <c r="C160" s="513"/>
      <c r="D160" s="240"/>
      <c r="E160" s="517"/>
      <c r="F160" s="265"/>
      <c r="G160" s="513"/>
      <c r="H160" s="265"/>
      <c r="I160" s="520"/>
      <c r="J160" s="241"/>
      <c r="K160" s="520"/>
      <c r="L160" s="241"/>
      <c r="M160" s="521"/>
      <c r="N160" s="241"/>
      <c r="O160" s="521"/>
      <c r="P160" s="241"/>
      <c r="Q160" s="520"/>
      <c r="R160" s="241"/>
      <c r="S160" s="520"/>
      <c r="T160" s="241"/>
      <c r="U160" s="520"/>
      <c r="V160" s="241"/>
      <c r="W160" s="242"/>
      <c r="X160" s="241"/>
      <c r="Y160" s="242"/>
      <c r="Z160" s="241"/>
      <c r="AA160" s="241"/>
      <c r="AB160" s="275"/>
      <c r="AC160" s="524"/>
      <c r="AD160" s="241"/>
      <c r="AE160" s="241"/>
      <c r="AF160" s="241"/>
      <c r="AG160" s="241"/>
      <c r="AH160" s="241"/>
      <c r="AI160" s="241"/>
      <c r="AJ160" s="529"/>
      <c r="AK160" s="258"/>
      <c r="AL160" s="241"/>
      <c r="AM160" s="242"/>
      <c r="AN160" s="241"/>
      <c r="AO160" s="242"/>
      <c r="AP160" s="241"/>
      <c r="AQ160" s="242"/>
      <c r="AR160" s="241"/>
      <c r="AS160" s="242"/>
      <c r="AT160" s="241"/>
      <c r="AU160" s="241"/>
      <c r="AV160" s="256"/>
      <c r="AW160" s="241"/>
      <c r="AX160" s="256"/>
      <c r="AY160" s="241"/>
      <c r="AZ160" s="256"/>
      <c r="BA160" s="239"/>
      <c r="BB160" s="242"/>
      <c r="BC160" s="239"/>
      <c r="BD160" s="242"/>
      <c r="BE160" s="239"/>
      <c r="BF160" s="241"/>
      <c r="BG160" s="239"/>
      <c r="BH160" s="241"/>
      <c r="BI160" s="260"/>
      <c r="BJ160" s="241"/>
      <c r="BK160" s="260"/>
      <c r="BL160" s="239"/>
      <c r="BM160" s="256"/>
      <c r="BN160" s="241"/>
      <c r="BO160" s="243"/>
      <c r="BP160" s="241"/>
      <c r="BQ160" s="239"/>
      <c r="BR160" s="276"/>
      <c r="BS160" s="256"/>
      <c r="BT160" s="260"/>
      <c r="BU160" s="261"/>
      <c r="BV160" s="260"/>
      <c r="BW160" s="239"/>
      <c r="BX160" s="260"/>
      <c r="BY160" s="260"/>
      <c r="BZ160" s="239"/>
      <c r="CA160" s="260"/>
      <c r="CB160" s="239"/>
      <c r="CC160" s="260"/>
      <c r="CD160" s="539"/>
      <c r="CE160" s="239"/>
      <c r="CF160" s="276"/>
      <c r="CG160" s="256"/>
      <c r="CH160" s="259"/>
      <c r="CI160" s="347"/>
      <c r="CJ160" s="540"/>
      <c r="CK160" s="256"/>
      <c r="CL160" s="244">
        <v>1</v>
      </c>
      <c r="CM160" s="274">
        <f t="shared" si="2"/>
        <v>2015</v>
      </c>
      <c r="CN160" s="244">
        <f>IF('Grille de saisie'!CM160&lt;18,0,IF('Grille de saisie'!CM160&lt;40,1,IF('Grille de saisie'!CM160&lt;65,2,IF('Grille de saisie'!CM160&lt;100,3,4))))</f>
        <v>4</v>
      </c>
      <c r="CO160" s="236">
        <f>IF(AND('Grille de saisie'!C160=1,'Grille de saisie'!BZ160=0),1,IF(AND('Grille de saisie'!C160="",'Grille de saisie'!BZ160=""),3,IF(AND('Grille de saisie'!C160=5),3,2)))</f>
        <v>3</v>
      </c>
      <c r="CP160" s="236">
        <f>IF(AND('Grille de saisie'!C160=1,'Grille de saisie'!BZ160=0),1,IF(AND('Grille de saisie'!C160=1,'Grille de saisie'!BZ160=1),2,IF(AND('Grille de saisie'!C160=2,'Grille de saisie'!BZ160=0),2,IF(AND('Grille de saisie'!C160=3,'Grille de saisie'!BZ160=0),3,IF(AND('Grille de saisie'!C160=2,'Grille de saisie'!BZ160=1),3,IF(AND('Grille de saisie'!C160=1,'Grille de saisie'!BZ160=2),3,IF(AND('Grille de saisie'!C160="",'Grille de saisie'!BZ160=""),5,IF(AND('Grille de saisie'!C160=5),5,4))))))))</f>
        <v>5</v>
      </c>
      <c r="CQ160" s="237">
        <f>IF('Grille de saisie'!BZ160="",3,IF('Grille de saisie'!C160=5,3,IF('Grille de saisie'!BZ160=0,1,2)))</f>
        <v>3</v>
      </c>
    </row>
    <row r="161" spans="1:95" ht="15">
      <c r="A161" s="510">
        <v>159</v>
      </c>
      <c r="B161" s="240"/>
      <c r="C161" s="513"/>
      <c r="D161" s="240"/>
      <c r="E161" s="517"/>
      <c r="F161" s="265"/>
      <c r="G161" s="513"/>
      <c r="H161" s="265"/>
      <c r="I161" s="520"/>
      <c r="J161" s="241"/>
      <c r="K161" s="520"/>
      <c r="L161" s="241"/>
      <c r="M161" s="521"/>
      <c r="N161" s="241"/>
      <c r="O161" s="521"/>
      <c r="P161" s="241"/>
      <c r="Q161" s="520"/>
      <c r="R161" s="241"/>
      <c r="S161" s="520"/>
      <c r="T161" s="241"/>
      <c r="U161" s="520"/>
      <c r="V161" s="241"/>
      <c r="W161" s="242"/>
      <c r="X161" s="241"/>
      <c r="Y161" s="242"/>
      <c r="Z161" s="241"/>
      <c r="AA161" s="241"/>
      <c r="AB161" s="275"/>
      <c r="AC161" s="524"/>
      <c r="AD161" s="241"/>
      <c r="AE161" s="241"/>
      <c r="AF161" s="241"/>
      <c r="AG161" s="241"/>
      <c r="AH161" s="241"/>
      <c r="AI161" s="241"/>
      <c r="AJ161" s="529"/>
      <c r="AK161" s="258"/>
      <c r="AL161" s="241"/>
      <c r="AM161" s="242"/>
      <c r="AN161" s="241"/>
      <c r="AO161" s="242"/>
      <c r="AP161" s="241"/>
      <c r="AQ161" s="242"/>
      <c r="AR161" s="241"/>
      <c r="AS161" s="242"/>
      <c r="AT161" s="241"/>
      <c r="AU161" s="241"/>
      <c r="AV161" s="256"/>
      <c r="AW161" s="241"/>
      <c r="AX161" s="256"/>
      <c r="AY161" s="241"/>
      <c r="AZ161" s="256"/>
      <c r="BA161" s="239"/>
      <c r="BB161" s="242"/>
      <c r="BC161" s="239"/>
      <c r="BD161" s="242"/>
      <c r="BE161" s="239"/>
      <c r="BF161" s="241"/>
      <c r="BG161" s="239"/>
      <c r="BH161" s="241"/>
      <c r="BI161" s="260"/>
      <c r="BJ161" s="241"/>
      <c r="BK161" s="260"/>
      <c r="BL161" s="239"/>
      <c r="BM161" s="256"/>
      <c r="BN161" s="241"/>
      <c r="BO161" s="243"/>
      <c r="BP161" s="241"/>
      <c r="BQ161" s="239"/>
      <c r="BR161" s="276"/>
      <c r="BS161" s="256"/>
      <c r="BT161" s="260"/>
      <c r="BU161" s="261"/>
      <c r="BV161" s="260"/>
      <c r="BW161" s="239"/>
      <c r="BX161" s="260"/>
      <c r="BY161" s="260"/>
      <c r="BZ161" s="239"/>
      <c r="CA161" s="260"/>
      <c r="CB161" s="239"/>
      <c r="CC161" s="260"/>
      <c r="CD161" s="539"/>
      <c r="CE161" s="239"/>
      <c r="CF161" s="276"/>
      <c r="CG161" s="256"/>
      <c r="CH161" s="259"/>
      <c r="CI161" s="347"/>
      <c r="CJ161" s="540"/>
      <c r="CK161" s="256"/>
      <c r="CL161" s="244">
        <v>1</v>
      </c>
      <c r="CM161" s="274">
        <f t="shared" si="2"/>
        <v>2015</v>
      </c>
      <c r="CN161" s="244">
        <f>IF('Grille de saisie'!CM161&lt;18,0,IF('Grille de saisie'!CM161&lt;40,1,IF('Grille de saisie'!CM161&lt;65,2,IF('Grille de saisie'!CM161&lt;100,3,4))))</f>
        <v>4</v>
      </c>
      <c r="CO161" s="236">
        <f>IF(AND('Grille de saisie'!C161=1,'Grille de saisie'!BZ161=0),1,IF(AND('Grille de saisie'!C161="",'Grille de saisie'!BZ161=""),3,IF(AND('Grille de saisie'!C161=5),3,2)))</f>
        <v>3</v>
      </c>
      <c r="CP161" s="236">
        <f>IF(AND('Grille de saisie'!C161=1,'Grille de saisie'!BZ161=0),1,IF(AND('Grille de saisie'!C161=1,'Grille de saisie'!BZ161=1),2,IF(AND('Grille de saisie'!C161=2,'Grille de saisie'!BZ161=0),2,IF(AND('Grille de saisie'!C161=3,'Grille de saisie'!BZ161=0),3,IF(AND('Grille de saisie'!C161=2,'Grille de saisie'!BZ161=1),3,IF(AND('Grille de saisie'!C161=1,'Grille de saisie'!BZ161=2),3,IF(AND('Grille de saisie'!C161="",'Grille de saisie'!BZ161=""),5,IF(AND('Grille de saisie'!C161=5),5,4))))))))</f>
        <v>5</v>
      </c>
      <c r="CQ161" s="237">
        <f>IF('Grille de saisie'!BZ161="",3,IF('Grille de saisie'!C161=5,3,IF('Grille de saisie'!BZ161=0,1,2)))</f>
        <v>3</v>
      </c>
    </row>
    <row r="162" spans="1:95" ht="15">
      <c r="A162" s="511">
        <v>160</v>
      </c>
      <c r="B162" s="240"/>
      <c r="C162" s="513"/>
      <c r="D162" s="240"/>
      <c r="E162" s="517"/>
      <c r="F162" s="265"/>
      <c r="G162" s="513"/>
      <c r="H162" s="265"/>
      <c r="I162" s="520"/>
      <c r="J162" s="241"/>
      <c r="K162" s="520"/>
      <c r="L162" s="241"/>
      <c r="M162" s="521"/>
      <c r="N162" s="241"/>
      <c r="O162" s="521"/>
      <c r="P162" s="241"/>
      <c r="Q162" s="520"/>
      <c r="R162" s="241"/>
      <c r="S162" s="520"/>
      <c r="T162" s="241"/>
      <c r="U162" s="520"/>
      <c r="V162" s="241"/>
      <c r="W162" s="242"/>
      <c r="X162" s="241"/>
      <c r="Y162" s="242"/>
      <c r="Z162" s="241"/>
      <c r="AA162" s="241"/>
      <c r="AB162" s="275"/>
      <c r="AC162" s="524"/>
      <c r="AD162" s="241"/>
      <c r="AE162" s="241"/>
      <c r="AF162" s="241"/>
      <c r="AG162" s="241"/>
      <c r="AH162" s="241"/>
      <c r="AI162" s="241"/>
      <c r="AJ162" s="529"/>
      <c r="AK162" s="258"/>
      <c r="AL162" s="241"/>
      <c r="AM162" s="242"/>
      <c r="AN162" s="241"/>
      <c r="AO162" s="242"/>
      <c r="AP162" s="241"/>
      <c r="AQ162" s="242"/>
      <c r="AR162" s="241"/>
      <c r="AS162" s="242"/>
      <c r="AT162" s="241"/>
      <c r="AU162" s="241"/>
      <c r="AV162" s="256"/>
      <c r="AW162" s="241"/>
      <c r="AX162" s="256"/>
      <c r="AY162" s="241"/>
      <c r="AZ162" s="256"/>
      <c r="BA162" s="239"/>
      <c r="BB162" s="242"/>
      <c r="BC162" s="239"/>
      <c r="BD162" s="242"/>
      <c r="BE162" s="239"/>
      <c r="BF162" s="241"/>
      <c r="BG162" s="239"/>
      <c r="BH162" s="241"/>
      <c r="BI162" s="260"/>
      <c r="BJ162" s="241"/>
      <c r="BK162" s="260"/>
      <c r="BL162" s="239"/>
      <c r="BM162" s="256"/>
      <c r="BN162" s="241"/>
      <c r="BO162" s="243"/>
      <c r="BP162" s="241"/>
      <c r="BQ162" s="239"/>
      <c r="BR162" s="276"/>
      <c r="BS162" s="256"/>
      <c r="BT162" s="260"/>
      <c r="BU162" s="261"/>
      <c r="BV162" s="260"/>
      <c r="BW162" s="239"/>
      <c r="BX162" s="260"/>
      <c r="BY162" s="260"/>
      <c r="BZ162" s="239"/>
      <c r="CA162" s="260"/>
      <c r="CB162" s="239"/>
      <c r="CC162" s="260"/>
      <c r="CD162" s="539"/>
      <c r="CE162" s="239"/>
      <c r="CF162" s="276"/>
      <c r="CG162" s="256"/>
      <c r="CH162" s="259"/>
      <c r="CI162" s="347"/>
      <c r="CJ162" s="540"/>
      <c r="CK162" s="256"/>
      <c r="CL162" s="244">
        <v>1</v>
      </c>
      <c r="CM162" s="274">
        <f t="shared" si="2"/>
        <v>2015</v>
      </c>
      <c r="CN162" s="244">
        <f>IF('Grille de saisie'!CM162&lt;18,0,IF('Grille de saisie'!CM162&lt;40,1,IF('Grille de saisie'!CM162&lt;65,2,IF('Grille de saisie'!CM162&lt;100,3,4))))</f>
        <v>4</v>
      </c>
      <c r="CO162" s="236">
        <f>IF(AND('Grille de saisie'!C162=1,'Grille de saisie'!BZ162=0),1,IF(AND('Grille de saisie'!C162="",'Grille de saisie'!BZ162=""),3,IF(AND('Grille de saisie'!C162=5),3,2)))</f>
        <v>3</v>
      </c>
      <c r="CP162" s="236">
        <f>IF(AND('Grille de saisie'!C162=1,'Grille de saisie'!BZ162=0),1,IF(AND('Grille de saisie'!C162=1,'Grille de saisie'!BZ162=1),2,IF(AND('Grille de saisie'!C162=2,'Grille de saisie'!BZ162=0),2,IF(AND('Grille de saisie'!C162=3,'Grille de saisie'!BZ162=0),3,IF(AND('Grille de saisie'!C162=2,'Grille de saisie'!BZ162=1),3,IF(AND('Grille de saisie'!C162=1,'Grille de saisie'!BZ162=2),3,IF(AND('Grille de saisie'!C162="",'Grille de saisie'!BZ162=""),5,IF(AND('Grille de saisie'!C162=5),5,4))))))))</f>
        <v>5</v>
      </c>
      <c r="CQ162" s="237">
        <f>IF('Grille de saisie'!BZ162="",3,IF('Grille de saisie'!C162=5,3,IF('Grille de saisie'!BZ162=0,1,2)))</f>
        <v>3</v>
      </c>
    </row>
    <row r="163" spans="1:95" ht="15">
      <c r="A163" s="510">
        <v>161</v>
      </c>
      <c r="B163" s="240"/>
      <c r="C163" s="513"/>
      <c r="D163" s="240"/>
      <c r="E163" s="517"/>
      <c r="F163" s="265"/>
      <c r="G163" s="513"/>
      <c r="H163" s="265"/>
      <c r="I163" s="520"/>
      <c r="J163" s="241"/>
      <c r="K163" s="520"/>
      <c r="L163" s="241"/>
      <c r="M163" s="521"/>
      <c r="N163" s="241"/>
      <c r="O163" s="521"/>
      <c r="P163" s="241"/>
      <c r="Q163" s="520"/>
      <c r="R163" s="241"/>
      <c r="S163" s="520"/>
      <c r="T163" s="241"/>
      <c r="U163" s="520"/>
      <c r="V163" s="241"/>
      <c r="W163" s="242"/>
      <c r="X163" s="241"/>
      <c r="Y163" s="242"/>
      <c r="Z163" s="241"/>
      <c r="AA163" s="241"/>
      <c r="AB163" s="275"/>
      <c r="AC163" s="524"/>
      <c r="AD163" s="241"/>
      <c r="AE163" s="241"/>
      <c r="AF163" s="241"/>
      <c r="AG163" s="241"/>
      <c r="AH163" s="241"/>
      <c r="AI163" s="241"/>
      <c r="AJ163" s="529"/>
      <c r="AK163" s="258"/>
      <c r="AL163" s="241"/>
      <c r="AM163" s="242"/>
      <c r="AN163" s="241"/>
      <c r="AO163" s="242"/>
      <c r="AP163" s="241"/>
      <c r="AQ163" s="242"/>
      <c r="AR163" s="241"/>
      <c r="AS163" s="242"/>
      <c r="AT163" s="241"/>
      <c r="AU163" s="241"/>
      <c r="AV163" s="256"/>
      <c r="AW163" s="241"/>
      <c r="AX163" s="256"/>
      <c r="AY163" s="241"/>
      <c r="AZ163" s="256"/>
      <c r="BA163" s="239"/>
      <c r="BB163" s="242"/>
      <c r="BC163" s="239"/>
      <c r="BD163" s="242"/>
      <c r="BE163" s="239"/>
      <c r="BF163" s="241"/>
      <c r="BG163" s="239"/>
      <c r="BH163" s="241"/>
      <c r="BI163" s="260"/>
      <c r="BJ163" s="241"/>
      <c r="BK163" s="260"/>
      <c r="BL163" s="239"/>
      <c r="BM163" s="256"/>
      <c r="BN163" s="241"/>
      <c r="BO163" s="243"/>
      <c r="BP163" s="241"/>
      <c r="BQ163" s="239"/>
      <c r="BR163" s="276"/>
      <c r="BS163" s="256"/>
      <c r="BT163" s="260"/>
      <c r="BU163" s="261"/>
      <c r="BV163" s="260"/>
      <c r="BW163" s="239"/>
      <c r="BX163" s="260"/>
      <c r="BY163" s="260"/>
      <c r="BZ163" s="239"/>
      <c r="CA163" s="260"/>
      <c r="CB163" s="239"/>
      <c r="CC163" s="260"/>
      <c r="CD163" s="539"/>
      <c r="CE163" s="239"/>
      <c r="CF163" s="276"/>
      <c r="CG163" s="256"/>
      <c r="CH163" s="259"/>
      <c r="CI163" s="347"/>
      <c r="CJ163" s="540"/>
      <c r="CK163" s="256"/>
      <c r="CL163" s="244">
        <v>1</v>
      </c>
      <c r="CM163" s="274">
        <f t="shared" si="2"/>
        <v>2015</v>
      </c>
      <c r="CN163" s="244">
        <f>IF('Grille de saisie'!CM163&lt;18,0,IF('Grille de saisie'!CM163&lt;40,1,IF('Grille de saisie'!CM163&lt;65,2,IF('Grille de saisie'!CM163&lt;100,3,4))))</f>
        <v>4</v>
      </c>
      <c r="CO163" s="236">
        <f>IF(AND('Grille de saisie'!C163=1,'Grille de saisie'!BZ163=0),1,IF(AND('Grille de saisie'!C163="",'Grille de saisie'!BZ163=""),3,IF(AND('Grille de saisie'!C163=5),3,2)))</f>
        <v>3</v>
      </c>
      <c r="CP163" s="236">
        <f>IF(AND('Grille de saisie'!C163=1,'Grille de saisie'!BZ163=0),1,IF(AND('Grille de saisie'!C163=1,'Grille de saisie'!BZ163=1),2,IF(AND('Grille de saisie'!C163=2,'Grille de saisie'!BZ163=0),2,IF(AND('Grille de saisie'!C163=3,'Grille de saisie'!BZ163=0),3,IF(AND('Grille de saisie'!C163=2,'Grille de saisie'!BZ163=1),3,IF(AND('Grille de saisie'!C163=1,'Grille de saisie'!BZ163=2),3,IF(AND('Grille de saisie'!C163="",'Grille de saisie'!BZ163=""),5,IF(AND('Grille de saisie'!C163=5),5,4))))))))</f>
        <v>5</v>
      </c>
      <c r="CQ163" s="237">
        <f>IF('Grille de saisie'!BZ163="",3,IF('Grille de saisie'!C163=5,3,IF('Grille de saisie'!BZ163=0,1,2)))</f>
        <v>3</v>
      </c>
    </row>
    <row r="164" spans="1:95" ht="15">
      <c r="A164" s="510">
        <v>162</v>
      </c>
      <c r="B164" s="240"/>
      <c r="C164" s="513"/>
      <c r="D164" s="240"/>
      <c r="E164" s="517"/>
      <c r="F164" s="265"/>
      <c r="G164" s="513"/>
      <c r="H164" s="265"/>
      <c r="I164" s="520"/>
      <c r="J164" s="241"/>
      <c r="K164" s="520"/>
      <c r="L164" s="241"/>
      <c r="M164" s="521"/>
      <c r="N164" s="241"/>
      <c r="O164" s="521"/>
      <c r="P164" s="241"/>
      <c r="Q164" s="520"/>
      <c r="R164" s="241"/>
      <c r="S164" s="520"/>
      <c r="T164" s="241"/>
      <c r="U164" s="520"/>
      <c r="V164" s="241"/>
      <c r="W164" s="242"/>
      <c r="X164" s="241"/>
      <c r="Y164" s="242"/>
      <c r="Z164" s="241"/>
      <c r="AA164" s="241"/>
      <c r="AB164" s="275"/>
      <c r="AC164" s="524"/>
      <c r="AD164" s="241"/>
      <c r="AE164" s="241"/>
      <c r="AF164" s="241"/>
      <c r="AG164" s="241"/>
      <c r="AH164" s="241"/>
      <c r="AI164" s="241"/>
      <c r="AJ164" s="529"/>
      <c r="AK164" s="258"/>
      <c r="AL164" s="241"/>
      <c r="AM164" s="242"/>
      <c r="AN164" s="241"/>
      <c r="AO164" s="242"/>
      <c r="AP164" s="241"/>
      <c r="AQ164" s="242"/>
      <c r="AR164" s="241"/>
      <c r="AS164" s="242"/>
      <c r="AT164" s="241"/>
      <c r="AU164" s="241"/>
      <c r="AV164" s="256"/>
      <c r="AW164" s="241"/>
      <c r="AX164" s="256"/>
      <c r="AY164" s="241"/>
      <c r="AZ164" s="256"/>
      <c r="BA164" s="239"/>
      <c r="BB164" s="242"/>
      <c r="BC164" s="239"/>
      <c r="BD164" s="242"/>
      <c r="BE164" s="239"/>
      <c r="BF164" s="241"/>
      <c r="BG164" s="239"/>
      <c r="BH164" s="241"/>
      <c r="BI164" s="260"/>
      <c r="BJ164" s="241"/>
      <c r="BK164" s="260"/>
      <c r="BL164" s="239"/>
      <c r="BM164" s="256"/>
      <c r="BN164" s="241"/>
      <c r="BO164" s="243"/>
      <c r="BP164" s="241"/>
      <c r="BQ164" s="239"/>
      <c r="BR164" s="276"/>
      <c r="BS164" s="256"/>
      <c r="BT164" s="260"/>
      <c r="BU164" s="261"/>
      <c r="BV164" s="260"/>
      <c r="BW164" s="239"/>
      <c r="BX164" s="260"/>
      <c r="BY164" s="260"/>
      <c r="BZ164" s="239"/>
      <c r="CA164" s="260"/>
      <c r="CB164" s="239"/>
      <c r="CC164" s="260"/>
      <c r="CD164" s="539"/>
      <c r="CE164" s="239"/>
      <c r="CF164" s="276"/>
      <c r="CG164" s="256"/>
      <c r="CH164" s="259"/>
      <c r="CI164" s="347"/>
      <c r="CJ164" s="540"/>
      <c r="CK164" s="256"/>
      <c r="CL164" s="244">
        <v>1</v>
      </c>
      <c r="CM164" s="274">
        <f t="shared" si="2"/>
        <v>2015</v>
      </c>
      <c r="CN164" s="244">
        <f>IF('Grille de saisie'!CM164&lt;18,0,IF('Grille de saisie'!CM164&lt;40,1,IF('Grille de saisie'!CM164&lt;65,2,IF('Grille de saisie'!CM164&lt;100,3,4))))</f>
        <v>4</v>
      </c>
      <c r="CO164" s="236">
        <f>IF(AND('Grille de saisie'!C164=1,'Grille de saisie'!BZ164=0),1,IF(AND('Grille de saisie'!C164="",'Grille de saisie'!BZ164=""),3,IF(AND('Grille de saisie'!C164=5),3,2)))</f>
        <v>3</v>
      </c>
      <c r="CP164" s="236">
        <f>IF(AND('Grille de saisie'!C164=1,'Grille de saisie'!BZ164=0),1,IF(AND('Grille de saisie'!C164=1,'Grille de saisie'!BZ164=1),2,IF(AND('Grille de saisie'!C164=2,'Grille de saisie'!BZ164=0),2,IF(AND('Grille de saisie'!C164=3,'Grille de saisie'!BZ164=0),3,IF(AND('Grille de saisie'!C164=2,'Grille de saisie'!BZ164=1),3,IF(AND('Grille de saisie'!C164=1,'Grille de saisie'!BZ164=2),3,IF(AND('Grille de saisie'!C164="",'Grille de saisie'!BZ164=""),5,IF(AND('Grille de saisie'!C164=5),5,4))))))))</f>
        <v>5</v>
      </c>
      <c r="CQ164" s="237">
        <f>IF('Grille de saisie'!BZ164="",3,IF('Grille de saisie'!C164=5,3,IF('Grille de saisie'!BZ164=0,1,2)))</f>
        <v>3</v>
      </c>
    </row>
    <row r="165" spans="1:95" ht="15">
      <c r="A165" s="511">
        <v>163</v>
      </c>
      <c r="B165" s="240"/>
      <c r="C165" s="513"/>
      <c r="D165" s="240"/>
      <c r="E165" s="517"/>
      <c r="F165" s="265"/>
      <c r="G165" s="513"/>
      <c r="H165" s="265"/>
      <c r="I165" s="520"/>
      <c r="J165" s="241"/>
      <c r="K165" s="520"/>
      <c r="L165" s="241"/>
      <c r="M165" s="521"/>
      <c r="N165" s="241"/>
      <c r="O165" s="521"/>
      <c r="P165" s="241"/>
      <c r="Q165" s="520"/>
      <c r="R165" s="241"/>
      <c r="S165" s="520"/>
      <c r="T165" s="241"/>
      <c r="U165" s="520"/>
      <c r="V165" s="241"/>
      <c r="W165" s="242"/>
      <c r="X165" s="241"/>
      <c r="Y165" s="242"/>
      <c r="Z165" s="241"/>
      <c r="AA165" s="241"/>
      <c r="AB165" s="275"/>
      <c r="AC165" s="524"/>
      <c r="AD165" s="241"/>
      <c r="AE165" s="241"/>
      <c r="AF165" s="241"/>
      <c r="AG165" s="241"/>
      <c r="AH165" s="241"/>
      <c r="AI165" s="241"/>
      <c r="AJ165" s="529"/>
      <c r="AK165" s="258"/>
      <c r="AL165" s="241"/>
      <c r="AM165" s="242"/>
      <c r="AN165" s="241"/>
      <c r="AO165" s="242"/>
      <c r="AP165" s="241"/>
      <c r="AQ165" s="242"/>
      <c r="AR165" s="241"/>
      <c r="AS165" s="242"/>
      <c r="AT165" s="241"/>
      <c r="AU165" s="241"/>
      <c r="AV165" s="256"/>
      <c r="AW165" s="241"/>
      <c r="AX165" s="256"/>
      <c r="AY165" s="241"/>
      <c r="AZ165" s="256"/>
      <c r="BA165" s="239"/>
      <c r="BB165" s="242"/>
      <c r="BC165" s="239"/>
      <c r="BD165" s="242"/>
      <c r="BE165" s="239"/>
      <c r="BF165" s="241"/>
      <c r="BG165" s="239"/>
      <c r="BH165" s="241"/>
      <c r="BI165" s="260"/>
      <c r="BJ165" s="241"/>
      <c r="BK165" s="260"/>
      <c r="BL165" s="239"/>
      <c r="BM165" s="256"/>
      <c r="BN165" s="241"/>
      <c r="BO165" s="243"/>
      <c r="BP165" s="241"/>
      <c r="BQ165" s="239"/>
      <c r="BR165" s="276"/>
      <c r="BS165" s="256"/>
      <c r="BT165" s="260"/>
      <c r="BU165" s="261"/>
      <c r="BV165" s="260"/>
      <c r="BW165" s="239"/>
      <c r="BX165" s="260"/>
      <c r="BY165" s="260"/>
      <c r="BZ165" s="239"/>
      <c r="CA165" s="260"/>
      <c r="CB165" s="239"/>
      <c r="CC165" s="260"/>
      <c r="CD165" s="539"/>
      <c r="CE165" s="239"/>
      <c r="CF165" s="276"/>
      <c r="CG165" s="256"/>
      <c r="CH165" s="259"/>
      <c r="CI165" s="347"/>
      <c r="CJ165" s="540"/>
      <c r="CK165" s="256"/>
      <c r="CL165" s="244">
        <v>1</v>
      </c>
      <c r="CM165" s="274">
        <f t="shared" si="2"/>
        <v>2015</v>
      </c>
      <c r="CN165" s="244">
        <f>IF('Grille de saisie'!CM165&lt;18,0,IF('Grille de saisie'!CM165&lt;40,1,IF('Grille de saisie'!CM165&lt;65,2,IF('Grille de saisie'!CM165&lt;100,3,4))))</f>
        <v>4</v>
      </c>
      <c r="CO165" s="236">
        <f>IF(AND('Grille de saisie'!C165=1,'Grille de saisie'!BZ165=0),1,IF(AND('Grille de saisie'!C165="",'Grille de saisie'!BZ165=""),3,IF(AND('Grille de saisie'!C165=5),3,2)))</f>
        <v>3</v>
      </c>
      <c r="CP165" s="236">
        <f>IF(AND('Grille de saisie'!C165=1,'Grille de saisie'!BZ165=0),1,IF(AND('Grille de saisie'!C165=1,'Grille de saisie'!BZ165=1),2,IF(AND('Grille de saisie'!C165=2,'Grille de saisie'!BZ165=0),2,IF(AND('Grille de saisie'!C165=3,'Grille de saisie'!BZ165=0),3,IF(AND('Grille de saisie'!C165=2,'Grille de saisie'!BZ165=1),3,IF(AND('Grille de saisie'!C165=1,'Grille de saisie'!BZ165=2),3,IF(AND('Grille de saisie'!C165="",'Grille de saisie'!BZ165=""),5,IF(AND('Grille de saisie'!C165=5),5,4))))))))</f>
        <v>5</v>
      </c>
      <c r="CQ165" s="237">
        <f>IF('Grille de saisie'!BZ165="",3,IF('Grille de saisie'!C165=5,3,IF('Grille de saisie'!BZ165=0,1,2)))</f>
        <v>3</v>
      </c>
    </row>
    <row r="166" spans="1:95" ht="15">
      <c r="A166" s="510">
        <v>164</v>
      </c>
      <c r="B166" s="240"/>
      <c r="C166" s="513"/>
      <c r="D166" s="240"/>
      <c r="E166" s="517"/>
      <c r="F166" s="265"/>
      <c r="G166" s="513"/>
      <c r="H166" s="265"/>
      <c r="I166" s="520"/>
      <c r="J166" s="241"/>
      <c r="K166" s="520"/>
      <c r="L166" s="241"/>
      <c r="M166" s="521"/>
      <c r="N166" s="241"/>
      <c r="O166" s="521"/>
      <c r="P166" s="241"/>
      <c r="Q166" s="520"/>
      <c r="R166" s="241"/>
      <c r="S166" s="520"/>
      <c r="T166" s="241"/>
      <c r="U166" s="520"/>
      <c r="V166" s="241"/>
      <c r="W166" s="242"/>
      <c r="X166" s="241"/>
      <c r="Y166" s="242"/>
      <c r="Z166" s="241"/>
      <c r="AA166" s="241"/>
      <c r="AB166" s="275"/>
      <c r="AC166" s="524"/>
      <c r="AD166" s="241"/>
      <c r="AE166" s="241"/>
      <c r="AF166" s="241"/>
      <c r="AG166" s="241"/>
      <c r="AH166" s="241"/>
      <c r="AI166" s="241"/>
      <c r="AJ166" s="529"/>
      <c r="AK166" s="258"/>
      <c r="AL166" s="241"/>
      <c r="AM166" s="242"/>
      <c r="AN166" s="241"/>
      <c r="AO166" s="242"/>
      <c r="AP166" s="241"/>
      <c r="AQ166" s="242"/>
      <c r="AR166" s="241"/>
      <c r="AS166" s="242"/>
      <c r="AT166" s="241"/>
      <c r="AU166" s="241"/>
      <c r="AV166" s="256"/>
      <c r="AW166" s="241"/>
      <c r="AX166" s="256"/>
      <c r="AY166" s="241"/>
      <c r="AZ166" s="256"/>
      <c r="BA166" s="239"/>
      <c r="BB166" s="242"/>
      <c r="BC166" s="239"/>
      <c r="BD166" s="242"/>
      <c r="BE166" s="239"/>
      <c r="BF166" s="241"/>
      <c r="BG166" s="239"/>
      <c r="BH166" s="241"/>
      <c r="BI166" s="260"/>
      <c r="BJ166" s="241"/>
      <c r="BK166" s="260"/>
      <c r="BL166" s="239"/>
      <c r="BM166" s="256"/>
      <c r="BN166" s="241"/>
      <c r="BO166" s="243"/>
      <c r="BP166" s="241"/>
      <c r="BQ166" s="239"/>
      <c r="BR166" s="276"/>
      <c r="BS166" s="256"/>
      <c r="BT166" s="260"/>
      <c r="BU166" s="261"/>
      <c r="BV166" s="260"/>
      <c r="BW166" s="239"/>
      <c r="BX166" s="260"/>
      <c r="BY166" s="260"/>
      <c r="BZ166" s="239"/>
      <c r="CA166" s="260"/>
      <c r="CB166" s="239"/>
      <c r="CC166" s="260"/>
      <c r="CD166" s="539"/>
      <c r="CE166" s="239"/>
      <c r="CF166" s="276"/>
      <c r="CG166" s="256"/>
      <c r="CH166" s="259"/>
      <c r="CI166" s="347"/>
      <c r="CJ166" s="540"/>
      <c r="CK166" s="256"/>
      <c r="CL166" s="244">
        <v>1</v>
      </c>
      <c r="CM166" s="274">
        <f t="shared" si="2"/>
        <v>2015</v>
      </c>
      <c r="CN166" s="244">
        <f>IF('Grille de saisie'!CM166&lt;18,0,IF('Grille de saisie'!CM166&lt;40,1,IF('Grille de saisie'!CM166&lt;65,2,IF('Grille de saisie'!CM166&lt;100,3,4))))</f>
        <v>4</v>
      </c>
      <c r="CO166" s="236">
        <f>IF(AND('Grille de saisie'!C166=1,'Grille de saisie'!BZ166=0),1,IF(AND('Grille de saisie'!C166="",'Grille de saisie'!BZ166=""),3,IF(AND('Grille de saisie'!C166=5),3,2)))</f>
        <v>3</v>
      </c>
      <c r="CP166" s="236">
        <f>IF(AND('Grille de saisie'!C166=1,'Grille de saisie'!BZ166=0),1,IF(AND('Grille de saisie'!C166=1,'Grille de saisie'!BZ166=1),2,IF(AND('Grille de saisie'!C166=2,'Grille de saisie'!BZ166=0),2,IF(AND('Grille de saisie'!C166=3,'Grille de saisie'!BZ166=0),3,IF(AND('Grille de saisie'!C166=2,'Grille de saisie'!BZ166=1),3,IF(AND('Grille de saisie'!C166=1,'Grille de saisie'!BZ166=2),3,IF(AND('Grille de saisie'!C166="",'Grille de saisie'!BZ166=""),5,IF(AND('Grille de saisie'!C166=5),5,4))))))))</f>
        <v>5</v>
      </c>
      <c r="CQ166" s="237">
        <f>IF('Grille de saisie'!BZ166="",3,IF('Grille de saisie'!C166=5,3,IF('Grille de saisie'!BZ166=0,1,2)))</f>
        <v>3</v>
      </c>
    </row>
    <row r="167" spans="1:95" ht="15">
      <c r="A167" s="510">
        <v>165</v>
      </c>
      <c r="B167" s="240"/>
      <c r="C167" s="513"/>
      <c r="D167" s="240"/>
      <c r="E167" s="517"/>
      <c r="F167" s="265"/>
      <c r="G167" s="513"/>
      <c r="H167" s="265"/>
      <c r="I167" s="520"/>
      <c r="J167" s="241"/>
      <c r="K167" s="520"/>
      <c r="L167" s="241"/>
      <c r="M167" s="521"/>
      <c r="N167" s="241"/>
      <c r="O167" s="521"/>
      <c r="P167" s="241"/>
      <c r="Q167" s="520"/>
      <c r="R167" s="241"/>
      <c r="S167" s="520"/>
      <c r="T167" s="241"/>
      <c r="U167" s="520"/>
      <c r="V167" s="241"/>
      <c r="W167" s="242"/>
      <c r="X167" s="241"/>
      <c r="Y167" s="242"/>
      <c r="Z167" s="241"/>
      <c r="AA167" s="241"/>
      <c r="AB167" s="275"/>
      <c r="AC167" s="524"/>
      <c r="AD167" s="241"/>
      <c r="AE167" s="241"/>
      <c r="AF167" s="241"/>
      <c r="AG167" s="241"/>
      <c r="AH167" s="241"/>
      <c r="AI167" s="241"/>
      <c r="AJ167" s="529"/>
      <c r="AK167" s="258"/>
      <c r="AL167" s="241"/>
      <c r="AM167" s="242"/>
      <c r="AN167" s="241"/>
      <c r="AO167" s="242"/>
      <c r="AP167" s="241"/>
      <c r="AQ167" s="242"/>
      <c r="AR167" s="241"/>
      <c r="AS167" s="242"/>
      <c r="AT167" s="241"/>
      <c r="AU167" s="241"/>
      <c r="AV167" s="256"/>
      <c r="AW167" s="241"/>
      <c r="AX167" s="256"/>
      <c r="AY167" s="241"/>
      <c r="AZ167" s="256"/>
      <c r="BA167" s="239"/>
      <c r="BB167" s="242"/>
      <c r="BC167" s="239"/>
      <c r="BD167" s="242"/>
      <c r="BE167" s="239"/>
      <c r="BF167" s="241"/>
      <c r="BG167" s="239"/>
      <c r="BH167" s="241"/>
      <c r="BI167" s="260"/>
      <c r="BJ167" s="241"/>
      <c r="BK167" s="260"/>
      <c r="BL167" s="239"/>
      <c r="BM167" s="256"/>
      <c r="BN167" s="241"/>
      <c r="BO167" s="243"/>
      <c r="BP167" s="241"/>
      <c r="BQ167" s="239"/>
      <c r="BR167" s="276"/>
      <c r="BS167" s="256"/>
      <c r="BT167" s="260"/>
      <c r="BU167" s="261"/>
      <c r="BV167" s="260"/>
      <c r="BW167" s="239"/>
      <c r="BX167" s="260"/>
      <c r="BY167" s="260"/>
      <c r="BZ167" s="239"/>
      <c r="CA167" s="260"/>
      <c r="CB167" s="239"/>
      <c r="CC167" s="260"/>
      <c r="CD167" s="539"/>
      <c r="CE167" s="239"/>
      <c r="CF167" s="276"/>
      <c r="CG167" s="256"/>
      <c r="CH167" s="259"/>
      <c r="CI167" s="347"/>
      <c r="CJ167" s="540"/>
      <c r="CK167" s="256"/>
      <c r="CL167" s="244">
        <v>1</v>
      </c>
      <c r="CM167" s="274">
        <f t="shared" si="2"/>
        <v>2015</v>
      </c>
      <c r="CN167" s="244">
        <f>IF('Grille de saisie'!CM167&lt;18,0,IF('Grille de saisie'!CM167&lt;40,1,IF('Grille de saisie'!CM167&lt;65,2,IF('Grille de saisie'!CM167&lt;100,3,4))))</f>
        <v>4</v>
      </c>
      <c r="CO167" s="236">
        <f>IF(AND('Grille de saisie'!C167=1,'Grille de saisie'!BZ167=0),1,IF(AND('Grille de saisie'!C167="",'Grille de saisie'!BZ167=""),3,IF(AND('Grille de saisie'!C167=5),3,2)))</f>
        <v>3</v>
      </c>
      <c r="CP167" s="236">
        <f>IF(AND('Grille de saisie'!C167=1,'Grille de saisie'!BZ167=0),1,IF(AND('Grille de saisie'!C167=1,'Grille de saisie'!BZ167=1),2,IF(AND('Grille de saisie'!C167=2,'Grille de saisie'!BZ167=0),2,IF(AND('Grille de saisie'!C167=3,'Grille de saisie'!BZ167=0),3,IF(AND('Grille de saisie'!C167=2,'Grille de saisie'!BZ167=1),3,IF(AND('Grille de saisie'!C167=1,'Grille de saisie'!BZ167=2),3,IF(AND('Grille de saisie'!C167="",'Grille de saisie'!BZ167=""),5,IF(AND('Grille de saisie'!C167=5),5,4))))))))</f>
        <v>5</v>
      </c>
      <c r="CQ167" s="237">
        <f>IF('Grille de saisie'!BZ167="",3,IF('Grille de saisie'!C167=5,3,IF('Grille de saisie'!BZ167=0,1,2)))</f>
        <v>3</v>
      </c>
    </row>
    <row r="168" spans="1:95" ht="15">
      <c r="A168" s="511">
        <v>166</v>
      </c>
      <c r="B168" s="240"/>
      <c r="C168" s="513"/>
      <c r="D168" s="240"/>
      <c r="E168" s="517"/>
      <c r="F168" s="265"/>
      <c r="G168" s="513"/>
      <c r="H168" s="265"/>
      <c r="I168" s="520"/>
      <c r="J168" s="241"/>
      <c r="K168" s="520"/>
      <c r="L168" s="241"/>
      <c r="M168" s="521"/>
      <c r="N168" s="241"/>
      <c r="O168" s="521"/>
      <c r="P168" s="241"/>
      <c r="Q168" s="520"/>
      <c r="R168" s="241"/>
      <c r="S168" s="520"/>
      <c r="T168" s="241"/>
      <c r="U168" s="520"/>
      <c r="V168" s="241"/>
      <c r="W168" s="242"/>
      <c r="X168" s="241"/>
      <c r="Y168" s="242"/>
      <c r="Z168" s="241"/>
      <c r="AA168" s="241"/>
      <c r="AB168" s="275"/>
      <c r="AC168" s="524"/>
      <c r="AD168" s="241"/>
      <c r="AE168" s="241"/>
      <c r="AF168" s="241"/>
      <c r="AG168" s="241"/>
      <c r="AH168" s="241"/>
      <c r="AI168" s="241"/>
      <c r="AJ168" s="529"/>
      <c r="AK168" s="258"/>
      <c r="AL168" s="241"/>
      <c r="AM168" s="242"/>
      <c r="AN168" s="241"/>
      <c r="AO168" s="242"/>
      <c r="AP168" s="241"/>
      <c r="AQ168" s="242"/>
      <c r="AR168" s="241"/>
      <c r="AS168" s="242"/>
      <c r="AT168" s="241"/>
      <c r="AU168" s="241"/>
      <c r="AV168" s="256"/>
      <c r="AW168" s="241"/>
      <c r="AX168" s="256"/>
      <c r="AY168" s="241"/>
      <c r="AZ168" s="256"/>
      <c r="BA168" s="239"/>
      <c r="BB168" s="242"/>
      <c r="BC168" s="239"/>
      <c r="BD168" s="242"/>
      <c r="BE168" s="239"/>
      <c r="BF168" s="241"/>
      <c r="BG168" s="239"/>
      <c r="BH168" s="241"/>
      <c r="BI168" s="260"/>
      <c r="BJ168" s="241"/>
      <c r="BK168" s="260"/>
      <c r="BL168" s="239"/>
      <c r="BM168" s="256"/>
      <c r="BN168" s="241"/>
      <c r="BO168" s="243"/>
      <c r="BP168" s="241"/>
      <c r="BQ168" s="239"/>
      <c r="BR168" s="276"/>
      <c r="BS168" s="256"/>
      <c r="BT168" s="260"/>
      <c r="BU168" s="261"/>
      <c r="BV168" s="260"/>
      <c r="BW168" s="239"/>
      <c r="BX168" s="260"/>
      <c r="BY168" s="260"/>
      <c r="BZ168" s="239"/>
      <c r="CA168" s="260"/>
      <c r="CB168" s="239"/>
      <c r="CC168" s="260"/>
      <c r="CD168" s="539"/>
      <c r="CE168" s="239"/>
      <c r="CF168" s="276"/>
      <c r="CG168" s="256"/>
      <c r="CH168" s="259"/>
      <c r="CI168" s="347"/>
      <c r="CJ168" s="540"/>
      <c r="CK168" s="256"/>
      <c r="CL168" s="244">
        <v>1</v>
      </c>
      <c r="CM168" s="274">
        <f t="shared" si="2"/>
        <v>2015</v>
      </c>
      <c r="CN168" s="244">
        <f>IF('Grille de saisie'!CM168&lt;18,0,IF('Grille de saisie'!CM168&lt;40,1,IF('Grille de saisie'!CM168&lt;65,2,IF('Grille de saisie'!CM168&lt;100,3,4))))</f>
        <v>4</v>
      </c>
      <c r="CO168" s="236">
        <f>IF(AND('Grille de saisie'!C168=1,'Grille de saisie'!BZ168=0),1,IF(AND('Grille de saisie'!C168="",'Grille de saisie'!BZ168=""),3,IF(AND('Grille de saisie'!C168=5),3,2)))</f>
        <v>3</v>
      </c>
      <c r="CP168" s="236">
        <f>IF(AND('Grille de saisie'!C168=1,'Grille de saisie'!BZ168=0),1,IF(AND('Grille de saisie'!C168=1,'Grille de saisie'!BZ168=1),2,IF(AND('Grille de saisie'!C168=2,'Grille de saisie'!BZ168=0),2,IF(AND('Grille de saisie'!C168=3,'Grille de saisie'!BZ168=0),3,IF(AND('Grille de saisie'!C168=2,'Grille de saisie'!BZ168=1),3,IF(AND('Grille de saisie'!C168=1,'Grille de saisie'!BZ168=2),3,IF(AND('Grille de saisie'!C168="",'Grille de saisie'!BZ168=""),5,IF(AND('Grille de saisie'!C168=5),5,4))))))))</f>
        <v>5</v>
      </c>
      <c r="CQ168" s="237">
        <f>IF('Grille de saisie'!BZ168="",3,IF('Grille de saisie'!C168=5,3,IF('Grille de saisie'!BZ168=0,1,2)))</f>
        <v>3</v>
      </c>
    </row>
    <row r="169" spans="1:95" ht="15">
      <c r="A169" s="510">
        <v>167</v>
      </c>
      <c r="B169" s="240"/>
      <c r="C169" s="513"/>
      <c r="D169" s="240"/>
      <c r="E169" s="517"/>
      <c r="F169" s="265"/>
      <c r="G169" s="513"/>
      <c r="H169" s="265"/>
      <c r="I169" s="520"/>
      <c r="J169" s="241"/>
      <c r="K169" s="520"/>
      <c r="L169" s="241"/>
      <c r="M169" s="521"/>
      <c r="N169" s="241"/>
      <c r="O169" s="521"/>
      <c r="P169" s="241"/>
      <c r="Q169" s="520"/>
      <c r="R169" s="241"/>
      <c r="S169" s="520"/>
      <c r="T169" s="241"/>
      <c r="U169" s="520"/>
      <c r="V169" s="241"/>
      <c r="W169" s="242"/>
      <c r="X169" s="241"/>
      <c r="Y169" s="242"/>
      <c r="Z169" s="241"/>
      <c r="AA169" s="241"/>
      <c r="AB169" s="275"/>
      <c r="AC169" s="524"/>
      <c r="AD169" s="241"/>
      <c r="AE169" s="241"/>
      <c r="AF169" s="241"/>
      <c r="AG169" s="241"/>
      <c r="AH169" s="241"/>
      <c r="AI169" s="241"/>
      <c r="AJ169" s="529"/>
      <c r="AK169" s="258"/>
      <c r="AL169" s="241"/>
      <c r="AM169" s="242"/>
      <c r="AN169" s="241"/>
      <c r="AO169" s="242"/>
      <c r="AP169" s="241"/>
      <c r="AQ169" s="242"/>
      <c r="AR169" s="241"/>
      <c r="AS169" s="242"/>
      <c r="AT169" s="241"/>
      <c r="AU169" s="241"/>
      <c r="AV169" s="256"/>
      <c r="AW169" s="241"/>
      <c r="AX169" s="256"/>
      <c r="AY169" s="241"/>
      <c r="AZ169" s="256"/>
      <c r="BA169" s="239"/>
      <c r="BB169" s="242"/>
      <c r="BC169" s="239"/>
      <c r="BD169" s="242"/>
      <c r="BE169" s="239"/>
      <c r="BF169" s="241"/>
      <c r="BG169" s="239"/>
      <c r="BH169" s="241"/>
      <c r="BI169" s="260"/>
      <c r="BJ169" s="241"/>
      <c r="BK169" s="260"/>
      <c r="BL169" s="239"/>
      <c r="BM169" s="256"/>
      <c r="BN169" s="241"/>
      <c r="BO169" s="243"/>
      <c r="BP169" s="241"/>
      <c r="BQ169" s="239"/>
      <c r="BR169" s="276"/>
      <c r="BS169" s="256"/>
      <c r="BT169" s="260"/>
      <c r="BU169" s="261"/>
      <c r="BV169" s="260"/>
      <c r="BW169" s="239"/>
      <c r="BX169" s="260"/>
      <c r="BY169" s="260"/>
      <c r="BZ169" s="239"/>
      <c r="CA169" s="260"/>
      <c r="CB169" s="239"/>
      <c r="CC169" s="260"/>
      <c r="CD169" s="539"/>
      <c r="CE169" s="239"/>
      <c r="CF169" s="276"/>
      <c r="CG169" s="256"/>
      <c r="CH169" s="259"/>
      <c r="CI169" s="347"/>
      <c r="CJ169" s="540"/>
      <c r="CK169" s="256"/>
      <c r="CL169" s="244">
        <v>1</v>
      </c>
      <c r="CM169" s="274">
        <f t="shared" si="2"/>
        <v>2015</v>
      </c>
      <c r="CN169" s="244">
        <f>IF('Grille de saisie'!CM169&lt;18,0,IF('Grille de saisie'!CM169&lt;40,1,IF('Grille de saisie'!CM169&lt;65,2,IF('Grille de saisie'!CM169&lt;100,3,4))))</f>
        <v>4</v>
      </c>
      <c r="CO169" s="236">
        <f>IF(AND('Grille de saisie'!C169=1,'Grille de saisie'!BZ169=0),1,IF(AND('Grille de saisie'!C169="",'Grille de saisie'!BZ169=""),3,IF(AND('Grille de saisie'!C169=5),3,2)))</f>
        <v>3</v>
      </c>
      <c r="CP169" s="236">
        <f>IF(AND('Grille de saisie'!C169=1,'Grille de saisie'!BZ169=0),1,IF(AND('Grille de saisie'!C169=1,'Grille de saisie'!BZ169=1),2,IF(AND('Grille de saisie'!C169=2,'Grille de saisie'!BZ169=0),2,IF(AND('Grille de saisie'!C169=3,'Grille de saisie'!BZ169=0),3,IF(AND('Grille de saisie'!C169=2,'Grille de saisie'!BZ169=1),3,IF(AND('Grille de saisie'!C169=1,'Grille de saisie'!BZ169=2),3,IF(AND('Grille de saisie'!C169="",'Grille de saisie'!BZ169=""),5,IF(AND('Grille de saisie'!C169=5),5,4))))))))</f>
        <v>5</v>
      </c>
      <c r="CQ169" s="237">
        <f>IF('Grille de saisie'!BZ169="",3,IF('Grille de saisie'!C169=5,3,IF('Grille de saisie'!BZ169=0,1,2)))</f>
        <v>3</v>
      </c>
    </row>
    <row r="170" spans="1:95" ht="15">
      <c r="A170" s="510">
        <v>168</v>
      </c>
      <c r="B170" s="240"/>
      <c r="C170" s="513"/>
      <c r="D170" s="240"/>
      <c r="E170" s="517"/>
      <c r="F170" s="265"/>
      <c r="G170" s="513"/>
      <c r="H170" s="265"/>
      <c r="I170" s="520"/>
      <c r="J170" s="241"/>
      <c r="K170" s="520"/>
      <c r="L170" s="241"/>
      <c r="M170" s="521"/>
      <c r="N170" s="241"/>
      <c r="O170" s="521"/>
      <c r="P170" s="241"/>
      <c r="Q170" s="520"/>
      <c r="R170" s="241"/>
      <c r="S170" s="520"/>
      <c r="T170" s="241"/>
      <c r="U170" s="520"/>
      <c r="V170" s="241"/>
      <c r="W170" s="242"/>
      <c r="X170" s="241"/>
      <c r="Y170" s="242"/>
      <c r="Z170" s="241"/>
      <c r="AA170" s="241"/>
      <c r="AB170" s="275"/>
      <c r="AC170" s="524"/>
      <c r="AD170" s="241"/>
      <c r="AE170" s="241"/>
      <c r="AF170" s="241"/>
      <c r="AG170" s="241"/>
      <c r="AH170" s="241"/>
      <c r="AI170" s="241"/>
      <c r="AJ170" s="529"/>
      <c r="AK170" s="258"/>
      <c r="AL170" s="241"/>
      <c r="AM170" s="242"/>
      <c r="AN170" s="241"/>
      <c r="AO170" s="242"/>
      <c r="AP170" s="241"/>
      <c r="AQ170" s="242"/>
      <c r="AR170" s="241"/>
      <c r="AS170" s="242"/>
      <c r="AT170" s="241"/>
      <c r="AU170" s="241"/>
      <c r="AV170" s="256"/>
      <c r="AW170" s="241"/>
      <c r="AX170" s="256"/>
      <c r="AY170" s="241"/>
      <c r="AZ170" s="256"/>
      <c r="BA170" s="239"/>
      <c r="BB170" s="242"/>
      <c r="BC170" s="239"/>
      <c r="BD170" s="242"/>
      <c r="BE170" s="239"/>
      <c r="BF170" s="241"/>
      <c r="BG170" s="239"/>
      <c r="BH170" s="241"/>
      <c r="BI170" s="260"/>
      <c r="BJ170" s="241"/>
      <c r="BK170" s="260"/>
      <c r="BL170" s="239"/>
      <c r="BM170" s="256"/>
      <c r="BN170" s="241"/>
      <c r="BO170" s="243"/>
      <c r="BP170" s="241"/>
      <c r="BQ170" s="239"/>
      <c r="BR170" s="276"/>
      <c r="BS170" s="256"/>
      <c r="BT170" s="260"/>
      <c r="BU170" s="261"/>
      <c r="BV170" s="260"/>
      <c r="BW170" s="239"/>
      <c r="BX170" s="260"/>
      <c r="BY170" s="260"/>
      <c r="BZ170" s="239"/>
      <c r="CA170" s="260"/>
      <c r="CB170" s="239"/>
      <c r="CC170" s="260"/>
      <c r="CD170" s="539"/>
      <c r="CE170" s="239"/>
      <c r="CF170" s="276"/>
      <c r="CG170" s="256"/>
      <c r="CH170" s="259"/>
      <c r="CI170" s="347"/>
      <c r="CJ170" s="540"/>
      <c r="CK170" s="256"/>
      <c r="CL170" s="244">
        <v>1</v>
      </c>
      <c r="CM170" s="274">
        <f t="shared" si="2"/>
        <v>2015</v>
      </c>
      <c r="CN170" s="244">
        <f>IF('Grille de saisie'!CM170&lt;18,0,IF('Grille de saisie'!CM170&lt;40,1,IF('Grille de saisie'!CM170&lt;65,2,IF('Grille de saisie'!CM170&lt;100,3,4))))</f>
        <v>4</v>
      </c>
      <c r="CO170" s="236">
        <f>IF(AND('Grille de saisie'!C170=1,'Grille de saisie'!BZ170=0),1,IF(AND('Grille de saisie'!C170="",'Grille de saisie'!BZ170=""),3,IF(AND('Grille de saisie'!C170=5),3,2)))</f>
        <v>3</v>
      </c>
      <c r="CP170" s="236">
        <f>IF(AND('Grille de saisie'!C170=1,'Grille de saisie'!BZ170=0),1,IF(AND('Grille de saisie'!C170=1,'Grille de saisie'!BZ170=1),2,IF(AND('Grille de saisie'!C170=2,'Grille de saisie'!BZ170=0),2,IF(AND('Grille de saisie'!C170=3,'Grille de saisie'!BZ170=0),3,IF(AND('Grille de saisie'!C170=2,'Grille de saisie'!BZ170=1),3,IF(AND('Grille de saisie'!C170=1,'Grille de saisie'!BZ170=2),3,IF(AND('Grille de saisie'!C170="",'Grille de saisie'!BZ170=""),5,IF(AND('Grille de saisie'!C170=5),5,4))))))))</f>
        <v>5</v>
      </c>
      <c r="CQ170" s="237">
        <f>IF('Grille de saisie'!BZ170="",3,IF('Grille de saisie'!C170=5,3,IF('Grille de saisie'!BZ170=0,1,2)))</f>
        <v>3</v>
      </c>
    </row>
    <row r="171" spans="1:95" ht="15">
      <c r="A171" s="511">
        <v>169</v>
      </c>
      <c r="B171" s="240"/>
      <c r="C171" s="513"/>
      <c r="D171" s="240"/>
      <c r="E171" s="517"/>
      <c r="F171" s="265"/>
      <c r="G171" s="513"/>
      <c r="H171" s="265"/>
      <c r="I171" s="520"/>
      <c r="J171" s="241"/>
      <c r="K171" s="520"/>
      <c r="L171" s="241"/>
      <c r="M171" s="521"/>
      <c r="N171" s="241"/>
      <c r="O171" s="521"/>
      <c r="P171" s="241"/>
      <c r="Q171" s="520"/>
      <c r="R171" s="241"/>
      <c r="S171" s="520"/>
      <c r="T171" s="241"/>
      <c r="U171" s="520"/>
      <c r="V171" s="241"/>
      <c r="W171" s="242"/>
      <c r="X171" s="241"/>
      <c r="Y171" s="242"/>
      <c r="Z171" s="241"/>
      <c r="AA171" s="241"/>
      <c r="AB171" s="275"/>
      <c r="AC171" s="524"/>
      <c r="AD171" s="241"/>
      <c r="AE171" s="241"/>
      <c r="AF171" s="241"/>
      <c r="AG171" s="241"/>
      <c r="AH171" s="241"/>
      <c r="AI171" s="241"/>
      <c r="AJ171" s="529"/>
      <c r="AK171" s="258"/>
      <c r="AL171" s="241"/>
      <c r="AM171" s="242"/>
      <c r="AN171" s="241"/>
      <c r="AO171" s="242"/>
      <c r="AP171" s="241"/>
      <c r="AQ171" s="242"/>
      <c r="AR171" s="241"/>
      <c r="AS171" s="242"/>
      <c r="AT171" s="241"/>
      <c r="AU171" s="241"/>
      <c r="AV171" s="256"/>
      <c r="AW171" s="241"/>
      <c r="AX171" s="256"/>
      <c r="AY171" s="241"/>
      <c r="AZ171" s="256"/>
      <c r="BA171" s="239"/>
      <c r="BB171" s="242"/>
      <c r="BC171" s="239"/>
      <c r="BD171" s="242"/>
      <c r="BE171" s="239"/>
      <c r="BF171" s="241"/>
      <c r="BG171" s="239"/>
      <c r="BH171" s="241"/>
      <c r="BI171" s="260"/>
      <c r="BJ171" s="241"/>
      <c r="BK171" s="260"/>
      <c r="BL171" s="239"/>
      <c r="BM171" s="256"/>
      <c r="BN171" s="241"/>
      <c r="BO171" s="243"/>
      <c r="BP171" s="241"/>
      <c r="BQ171" s="239"/>
      <c r="BR171" s="276"/>
      <c r="BS171" s="256"/>
      <c r="BT171" s="260"/>
      <c r="BU171" s="261"/>
      <c r="BV171" s="260"/>
      <c r="BW171" s="239"/>
      <c r="BX171" s="260"/>
      <c r="BY171" s="260"/>
      <c r="BZ171" s="239"/>
      <c r="CA171" s="260"/>
      <c r="CB171" s="239"/>
      <c r="CC171" s="260"/>
      <c r="CD171" s="539"/>
      <c r="CE171" s="239"/>
      <c r="CF171" s="276"/>
      <c r="CG171" s="256"/>
      <c r="CH171" s="259"/>
      <c r="CI171" s="347"/>
      <c r="CJ171" s="540"/>
      <c r="CK171" s="256"/>
      <c r="CL171" s="244">
        <v>1</v>
      </c>
      <c r="CM171" s="274">
        <f t="shared" si="2"/>
        <v>2015</v>
      </c>
      <c r="CN171" s="244">
        <f>IF('Grille de saisie'!CM171&lt;18,0,IF('Grille de saisie'!CM171&lt;40,1,IF('Grille de saisie'!CM171&lt;65,2,IF('Grille de saisie'!CM171&lt;100,3,4))))</f>
        <v>4</v>
      </c>
      <c r="CO171" s="236">
        <f>IF(AND('Grille de saisie'!C171=1,'Grille de saisie'!BZ171=0),1,IF(AND('Grille de saisie'!C171="",'Grille de saisie'!BZ171=""),3,IF(AND('Grille de saisie'!C171=5),3,2)))</f>
        <v>3</v>
      </c>
      <c r="CP171" s="236">
        <f>IF(AND('Grille de saisie'!C171=1,'Grille de saisie'!BZ171=0),1,IF(AND('Grille de saisie'!C171=1,'Grille de saisie'!BZ171=1),2,IF(AND('Grille de saisie'!C171=2,'Grille de saisie'!BZ171=0),2,IF(AND('Grille de saisie'!C171=3,'Grille de saisie'!BZ171=0),3,IF(AND('Grille de saisie'!C171=2,'Grille de saisie'!BZ171=1),3,IF(AND('Grille de saisie'!C171=1,'Grille de saisie'!BZ171=2),3,IF(AND('Grille de saisie'!C171="",'Grille de saisie'!BZ171=""),5,IF(AND('Grille de saisie'!C171=5),5,4))))))))</f>
        <v>5</v>
      </c>
      <c r="CQ171" s="237">
        <f>IF('Grille de saisie'!BZ171="",3,IF('Grille de saisie'!C171=5,3,IF('Grille de saisie'!BZ171=0,1,2)))</f>
        <v>3</v>
      </c>
    </row>
    <row r="172" spans="1:95" ht="15">
      <c r="A172" s="510">
        <v>170</v>
      </c>
      <c r="B172" s="240"/>
      <c r="C172" s="513"/>
      <c r="D172" s="240"/>
      <c r="E172" s="517"/>
      <c r="F172" s="265"/>
      <c r="G172" s="513"/>
      <c r="H172" s="265"/>
      <c r="I172" s="520"/>
      <c r="J172" s="241"/>
      <c r="K172" s="520"/>
      <c r="L172" s="241"/>
      <c r="M172" s="521"/>
      <c r="N172" s="241"/>
      <c r="O172" s="521"/>
      <c r="P172" s="241"/>
      <c r="Q172" s="520"/>
      <c r="R172" s="241"/>
      <c r="S172" s="520"/>
      <c r="T172" s="241"/>
      <c r="U172" s="520"/>
      <c r="V172" s="241"/>
      <c r="W172" s="242"/>
      <c r="X172" s="241"/>
      <c r="Y172" s="242"/>
      <c r="Z172" s="241"/>
      <c r="AA172" s="241"/>
      <c r="AB172" s="275"/>
      <c r="AC172" s="524"/>
      <c r="AD172" s="241"/>
      <c r="AE172" s="241"/>
      <c r="AF172" s="241"/>
      <c r="AG172" s="241"/>
      <c r="AH172" s="241"/>
      <c r="AI172" s="241"/>
      <c r="AJ172" s="529"/>
      <c r="AK172" s="258"/>
      <c r="AL172" s="241"/>
      <c r="AM172" s="242"/>
      <c r="AN172" s="241"/>
      <c r="AO172" s="242"/>
      <c r="AP172" s="241"/>
      <c r="AQ172" s="242"/>
      <c r="AR172" s="241"/>
      <c r="AS172" s="242"/>
      <c r="AT172" s="241"/>
      <c r="AU172" s="241"/>
      <c r="AV172" s="256"/>
      <c r="AW172" s="241"/>
      <c r="AX172" s="256"/>
      <c r="AY172" s="241"/>
      <c r="AZ172" s="256"/>
      <c r="BA172" s="239"/>
      <c r="BB172" s="242"/>
      <c r="BC172" s="239"/>
      <c r="BD172" s="242"/>
      <c r="BE172" s="239"/>
      <c r="BF172" s="241"/>
      <c r="BG172" s="239"/>
      <c r="BH172" s="241"/>
      <c r="BI172" s="260"/>
      <c r="BJ172" s="241"/>
      <c r="BK172" s="260"/>
      <c r="BL172" s="239"/>
      <c r="BM172" s="256"/>
      <c r="BN172" s="241"/>
      <c r="BO172" s="243"/>
      <c r="BP172" s="241"/>
      <c r="BQ172" s="239"/>
      <c r="BR172" s="276"/>
      <c r="BS172" s="256"/>
      <c r="BT172" s="260"/>
      <c r="BU172" s="261"/>
      <c r="BV172" s="260"/>
      <c r="BW172" s="239"/>
      <c r="BX172" s="260"/>
      <c r="BY172" s="260"/>
      <c r="BZ172" s="239"/>
      <c r="CA172" s="260"/>
      <c r="CB172" s="239"/>
      <c r="CC172" s="260"/>
      <c r="CD172" s="539"/>
      <c r="CE172" s="239"/>
      <c r="CF172" s="276"/>
      <c r="CG172" s="256"/>
      <c r="CH172" s="259"/>
      <c r="CI172" s="347"/>
      <c r="CJ172" s="540"/>
      <c r="CK172" s="256"/>
      <c r="CL172" s="244">
        <v>1</v>
      </c>
      <c r="CM172" s="274">
        <f t="shared" si="2"/>
        <v>2015</v>
      </c>
      <c r="CN172" s="244">
        <f>IF('Grille de saisie'!CM172&lt;18,0,IF('Grille de saisie'!CM172&lt;40,1,IF('Grille de saisie'!CM172&lt;65,2,IF('Grille de saisie'!CM172&lt;100,3,4))))</f>
        <v>4</v>
      </c>
      <c r="CO172" s="236">
        <f>IF(AND('Grille de saisie'!C172=1,'Grille de saisie'!BZ172=0),1,IF(AND('Grille de saisie'!C172="",'Grille de saisie'!BZ172=""),3,IF(AND('Grille de saisie'!C172=5),3,2)))</f>
        <v>3</v>
      </c>
      <c r="CP172" s="236">
        <f>IF(AND('Grille de saisie'!C172=1,'Grille de saisie'!BZ172=0),1,IF(AND('Grille de saisie'!C172=1,'Grille de saisie'!BZ172=1),2,IF(AND('Grille de saisie'!C172=2,'Grille de saisie'!BZ172=0),2,IF(AND('Grille de saisie'!C172=3,'Grille de saisie'!BZ172=0),3,IF(AND('Grille de saisie'!C172=2,'Grille de saisie'!BZ172=1),3,IF(AND('Grille de saisie'!C172=1,'Grille de saisie'!BZ172=2),3,IF(AND('Grille de saisie'!C172="",'Grille de saisie'!BZ172=""),5,IF(AND('Grille de saisie'!C172=5),5,4))))))))</f>
        <v>5</v>
      </c>
      <c r="CQ172" s="237">
        <f>IF('Grille de saisie'!BZ172="",3,IF('Grille de saisie'!C172=5,3,IF('Grille de saisie'!BZ172=0,1,2)))</f>
        <v>3</v>
      </c>
    </row>
    <row r="173" spans="1:95" ht="15">
      <c r="A173" s="510">
        <v>171</v>
      </c>
      <c r="B173" s="240"/>
      <c r="C173" s="513"/>
      <c r="D173" s="240"/>
      <c r="E173" s="517"/>
      <c r="F173" s="265"/>
      <c r="G173" s="513"/>
      <c r="H173" s="265"/>
      <c r="I173" s="520"/>
      <c r="J173" s="241"/>
      <c r="K173" s="520"/>
      <c r="L173" s="241"/>
      <c r="M173" s="521"/>
      <c r="N173" s="241"/>
      <c r="O173" s="521"/>
      <c r="P173" s="241"/>
      <c r="Q173" s="520"/>
      <c r="R173" s="241"/>
      <c r="S173" s="520"/>
      <c r="T173" s="241"/>
      <c r="U173" s="520"/>
      <c r="V173" s="241"/>
      <c r="W173" s="242"/>
      <c r="X173" s="241"/>
      <c r="Y173" s="242"/>
      <c r="Z173" s="241"/>
      <c r="AA173" s="241"/>
      <c r="AB173" s="275"/>
      <c r="AC173" s="524"/>
      <c r="AD173" s="241"/>
      <c r="AE173" s="241"/>
      <c r="AF173" s="241"/>
      <c r="AG173" s="241"/>
      <c r="AH173" s="241"/>
      <c r="AI173" s="241"/>
      <c r="AJ173" s="529"/>
      <c r="AK173" s="258"/>
      <c r="AL173" s="241"/>
      <c r="AM173" s="242"/>
      <c r="AN173" s="241"/>
      <c r="AO173" s="242"/>
      <c r="AP173" s="241"/>
      <c r="AQ173" s="242"/>
      <c r="AR173" s="241"/>
      <c r="AS173" s="242"/>
      <c r="AT173" s="241"/>
      <c r="AU173" s="241"/>
      <c r="AV173" s="256"/>
      <c r="AW173" s="241"/>
      <c r="AX173" s="256"/>
      <c r="AY173" s="241"/>
      <c r="AZ173" s="256"/>
      <c r="BA173" s="239"/>
      <c r="BB173" s="242"/>
      <c r="BC173" s="239"/>
      <c r="BD173" s="242"/>
      <c r="BE173" s="239"/>
      <c r="BF173" s="241"/>
      <c r="BG173" s="239"/>
      <c r="BH173" s="241"/>
      <c r="BI173" s="260"/>
      <c r="BJ173" s="241"/>
      <c r="BK173" s="260"/>
      <c r="BL173" s="239"/>
      <c r="BM173" s="256"/>
      <c r="BN173" s="241"/>
      <c r="BO173" s="243"/>
      <c r="BP173" s="241"/>
      <c r="BQ173" s="239"/>
      <c r="BR173" s="276"/>
      <c r="BS173" s="256"/>
      <c r="BT173" s="260"/>
      <c r="BU173" s="261"/>
      <c r="BV173" s="260"/>
      <c r="BW173" s="239"/>
      <c r="BX173" s="260"/>
      <c r="BY173" s="260"/>
      <c r="BZ173" s="239"/>
      <c r="CA173" s="260"/>
      <c r="CB173" s="239"/>
      <c r="CC173" s="260"/>
      <c r="CD173" s="539"/>
      <c r="CE173" s="239"/>
      <c r="CF173" s="276"/>
      <c r="CG173" s="256"/>
      <c r="CH173" s="259"/>
      <c r="CI173" s="347"/>
      <c r="CJ173" s="540"/>
      <c r="CK173" s="256"/>
      <c r="CL173" s="244">
        <v>1</v>
      </c>
      <c r="CM173" s="274">
        <f t="shared" si="2"/>
        <v>2015</v>
      </c>
      <c r="CN173" s="244">
        <f>IF('Grille de saisie'!CM173&lt;18,0,IF('Grille de saisie'!CM173&lt;40,1,IF('Grille de saisie'!CM173&lt;65,2,IF('Grille de saisie'!CM173&lt;100,3,4))))</f>
        <v>4</v>
      </c>
      <c r="CO173" s="236">
        <f>IF(AND('Grille de saisie'!C173=1,'Grille de saisie'!BZ173=0),1,IF(AND('Grille de saisie'!C173="",'Grille de saisie'!BZ173=""),3,IF(AND('Grille de saisie'!C173=5),3,2)))</f>
        <v>3</v>
      </c>
      <c r="CP173" s="236">
        <f>IF(AND('Grille de saisie'!C173=1,'Grille de saisie'!BZ173=0),1,IF(AND('Grille de saisie'!C173=1,'Grille de saisie'!BZ173=1),2,IF(AND('Grille de saisie'!C173=2,'Grille de saisie'!BZ173=0),2,IF(AND('Grille de saisie'!C173=3,'Grille de saisie'!BZ173=0),3,IF(AND('Grille de saisie'!C173=2,'Grille de saisie'!BZ173=1),3,IF(AND('Grille de saisie'!C173=1,'Grille de saisie'!BZ173=2),3,IF(AND('Grille de saisie'!C173="",'Grille de saisie'!BZ173=""),5,IF(AND('Grille de saisie'!C173=5),5,4))))))))</f>
        <v>5</v>
      </c>
      <c r="CQ173" s="237">
        <f>IF('Grille de saisie'!BZ173="",3,IF('Grille de saisie'!C173=5,3,IF('Grille de saisie'!BZ173=0,1,2)))</f>
        <v>3</v>
      </c>
    </row>
    <row r="174" spans="1:95" ht="15">
      <c r="A174" s="511">
        <v>172</v>
      </c>
      <c r="B174" s="240"/>
      <c r="C174" s="513"/>
      <c r="D174" s="240"/>
      <c r="E174" s="517"/>
      <c r="F174" s="265"/>
      <c r="G174" s="513"/>
      <c r="H174" s="265"/>
      <c r="I174" s="520"/>
      <c r="J174" s="241"/>
      <c r="K174" s="520"/>
      <c r="L174" s="241"/>
      <c r="M174" s="521"/>
      <c r="N174" s="241"/>
      <c r="O174" s="521"/>
      <c r="P174" s="241"/>
      <c r="Q174" s="520"/>
      <c r="R174" s="241"/>
      <c r="S174" s="520"/>
      <c r="T174" s="241"/>
      <c r="U174" s="520"/>
      <c r="V174" s="241"/>
      <c r="W174" s="242"/>
      <c r="X174" s="241"/>
      <c r="Y174" s="242"/>
      <c r="Z174" s="241"/>
      <c r="AA174" s="241"/>
      <c r="AB174" s="275"/>
      <c r="AC174" s="524"/>
      <c r="AD174" s="241"/>
      <c r="AE174" s="241"/>
      <c r="AF174" s="241"/>
      <c r="AG174" s="241"/>
      <c r="AH174" s="241"/>
      <c r="AI174" s="241"/>
      <c r="AJ174" s="529"/>
      <c r="AK174" s="258"/>
      <c r="AL174" s="241"/>
      <c r="AM174" s="242"/>
      <c r="AN174" s="241"/>
      <c r="AO174" s="242"/>
      <c r="AP174" s="241"/>
      <c r="AQ174" s="242"/>
      <c r="AR174" s="241"/>
      <c r="AS174" s="242"/>
      <c r="AT174" s="241"/>
      <c r="AU174" s="241"/>
      <c r="AV174" s="256"/>
      <c r="AW174" s="241"/>
      <c r="AX174" s="256"/>
      <c r="AY174" s="241"/>
      <c r="AZ174" s="256"/>
      <c r="BA174" s="239"/>
      <c r="BB174" s="242"/>
      <c r="BC174" s="239"/>
      <c r="BD174" s="242"/>
      <c r="BE174" s="239"/>
      <c r="BF174" s="241"/>
      <c r="BG174" s="239"/>
      <c r="BH174" s="241"/>
      <c r="BI174" s="260"/>
      <c r="BJ174" s="241"/>
      <c r="BK174" s="260"/>
      <c r="BL174" s="239"/>
      <c r="BM174" s="256"/>
      <c r="BN174" s="241"/>
      <c r="BO174" s="243"/>
      <c r="BP174" s="241"/>
      <c r="BQ174" s="239"/>
      <c r="BR174" s="276"/>
      <c r="BS174" s="256"/>
      <c r="BT174" s="260"/>
      <c r="BU174" s="261"/>
      <c r="BV174" s="260"/>
      <c r="BW174" s="239"/>
      <c r="BX174" s="260"/>
      <c r="BY174" s="260"/>
      <c r="BZ174" s="239"/>
      <c r="CA174" s="260"/>
      <c r="CB174" s="239"/>
      <c r="CC174" s="260"/>
      <c r="CD174" s="539"/>
      <c r="CE174" s="239"/>
      <c r="CF174" s="276"/>
      <c r="CG174" s="256"/>
      <c r="CH174" s="259"/>
      <c r="CI174" s="347"/>
      <c r="CJ174" s="540"/>
      <c r="CK174" s="256"/>
      <c r="CL174" s="244">
        <v>1</v>
      </c>
      <c r="CM174" s="274">
        <f t="shared" si="2"/>
        <v>2015</v>
      </c>
      <c r="CN174" s="244">
        <f>IF('Grille de saisie'!CM174&lt;18,0,IF('Grille de saisie'!CM174&lt;40,1,IF('Grille de saisie'!CM174&lt;65,2,IF('Grille de saisie'!CM174&lt;100,3,4))))</f>
        <v>4</v>
      </c>
      <c r="CO174" s="236">
        <f>IF(AND('Grille de saisie'!C174=1,'Grille de saisie'!BZ174=0),1,IF(AND('Grille de saisie'!C174="",'Grille de saisie'!BZ174=""),3,IF(AND('Grille de saisie'!C174=5),3,2)))</f>
        <v>3</v>
      </c>
      <c r="CP174" s="236">
        <f>IF(AND('Grille de saisie'!C174=1,'Grille de saisie'!BZ174=0),1,IF(AND('Grille de saisie'!C174=1,'Grille de saisie'!BZ174=1),2,IF(AND('Grille de saisie'!C174=2,'Grille de saisie'!BZ174=0),2,IF(AND('Grille de saisie'!C174=3,'Grille de saisie'!BZ174=0),3,IF(AND('Grille de saisie'!C174=2,'Grille de saisie'!BZ174=1),3,IF(AND('Grille de saisie'!C174=1,'Grille de saisie'!BZ174=2),3,IF(AND('Grille de saisie'!C174="",'Grille de saisie'!BZ174=""),5,IF(AND('Grille de saisie'!C174=5),5,4))))))))</f>
        <v>5</v>
      </c>
      <c r="CQ174" s="237">
        <f>IF('Grille de saisie'!BZ174="",3,IF('Grille de saisie'!C174=5,3,IF('Grille de saisie'!BZ174=0,1,2)))</f>
        <v>3</v>
      </c>
    </row>
    <row r="175" spans="1:95" ht="15">
      <c r="A175" s="510">
        <v>173</v>
      </c>
      <c r="B175" s="240"/>
      <c r="C175" s="513"/>
      <c r="D175" s="240"/>
      <c r="E175" s="517"/>
      <c r="F175" s="265"/>
      <c r="G175" s="513"/>
      <c r="H175" s="265"/>
      <c r="I175" s="520"/>
      <c r="J175" s="241"/>
      <c r="K175" s="520"/>
      <c r="L175" s="241"/>
      <c r="M175" s="521"/>
      <c r="N175" s="241"/>
      <c r="O175" s="521"/>
      <c r="P175" s="241"/>
      <c r="Q175" s="520"/>
      <c r="R175" s="241"/>
      <c r="S175" s="520"/>
      <c r="T175" s="241"/>
      <c r="U175" s="520"/>
      <c r="V175" s="241"/>
      <c r="W175" s="242"/>
      <c r="X175" s="241"/>
      <c r="Y175" s="242"/>
      <c r="Z175" s="241"/>
      <c r="AA175" s="241"/>
      <c r="AB175" s="275"/>
      <c r="AC175" s="524"/>
      <c r="AD175" s="241"/>
      <c r="AE175" s="241"/>
      <c r="AF175" s="241"/>
      <c r="AG175" s="241"/>
      <c r="AH175" s="241"/>
      <c r="AI175" s="241"/>
      <c r="AJ175" s="529"/>
      <c r="AK175" s="258"/>
      <c r="AL175" s="241"/>
      <c r="AM175" s="242"/>
      <c r="AN175" s="241"/>
      <c r="AO175" s="242"/>
      <c r="AP175" s="241"/>
      <c r="AQ175" s="242"/>
      <c r="AR175" s="241"/>
      <c r="AS175" s="242"/>
      <c r="AT175" s="241"/>
      <c r="AU175" s="241"/>
      <c r="AV175" s="256"/>
      <c r="AW175" s="241"/>
      <c r="AX175" s="256"/>
      <c r="AY175" s="241"/>
      <c r="AZ175" s="256"/>
      <c r="BA175" s="239"/>
      <c r="BB175" s="242"/>
      <c r="BC175" s="239"/>
      <c r="BD175" s="242"/>
      <c r="BE175" s="239"/>
      <c r="BF175" s="241"/>
      <c r="BG175" s="239"/>
      <c r="BH175" s="241"/>
      <c r="BI175" s="260"/>
      <c r="BJ175" s="241"/>
      <c r="BK175" s="260"/>
      <c r="BL175" s="239"/>
      <c r="BM175" s="256"/>
      <c r="BN175" s="241"/>
      <c r="BO175" s="243"/>
      <c r="BP175" s="241"/>
      <c r="BQ175" s="239"/>
      <c r="BR175" s="276"/>
      <c r="BS175" s="256"/>
      <c r="BT175" s="260"/>
      <c r="BU175" s="261"/>
      <c r="BV175" s="260"/>
      <c r="BW175" s="239"/>
      <c r="BX175" s="260"/>
      <c r="BY175" s="260"/>
      <c r="BZ175" s="239"/>
      <c r="CA175" s="260"/>
      <c r="CB175" s="239"/>
      <c r="CC175" s="260"/>
      <c r="CD175" s="539"/>
      <c r="CE175" s="239"/>
      <c r="CF175" s="276"/>
      <c r="CG175" s="256"/>
      <c r="CH175" s="259"/>
      <c r="CI175" s="347"/>
      <c r="CJ175" s="540"/>
      <c r="CK175" s="256"/>
      <c r="CL175" s="244">
        <v>1</v>
      </c>
      <c r="CM175" s="274">
        <f t="shared" si="2"/>
        <v>2015</v>
      </c>
      <c r="CN175" s="244">
        <f>IF('Grille de saisie'!CM175&lt;18,0,IF('Grille de saisie'!CM175&lt;40,1,IF('Grille de saisie'!CM175&lt;65,2,IF('Grille de saisie'!CM175&lt;100,3,4))))</f>
        <v>4</v>
      </c>
      <c r="CO175" s="236">
        <f>IF(AND('Grille de saisie'!C175=1,'Grille de saisie'!BZ175=0),1,IF(AND('Grille de saisie'!C175="",'Grille de saisie'!BZ175=""),3,IF(AND('Grille de saisie'!C175=5),3,2)))</f>
        <v>3</v>
      </c>
      <c r="CP175" s="236">
        <f>IF(AND('Grille de saisie'!C175=1,'Grille de saisie'!BZ175=0),1,IF(AND('Grille de saisie'!C175=1,'Grille de saisie'!BZ175=1),2,IF(AND('Grille de saisie'!C175=2,'Grille de saisie'!BZ175=0),2,IF(AND('Grille de saisie'!C175=3,'Grille de saisie'!BZ175=0),3,IF(AND('Grille de saisie'!C175=2,'Grille de saisie'!BZ175=1),3,IF(AND('Grille de saisie'!C175=1,'Grille de saisie'!BZ175=2),3,IF(AND('Grille de saisie'!C175="",'Grille de saisie'!BZ175=""),5,IF(AND('Grille de saisie'!C175=5),5,4))))))))</f>
        <v>5</v>
      </c>
      <c r="CQ175" s="237">
        <f>IF('Grille de saisie'!BZ175="",3,IF('Grille de saisie'!C175=5,3,IF('Grille de saisie'!BZ175=0,1,2)))</f>
        <v>3</v>
      </c>
    </row>
    <row r="176" spans="1:95" ht="15">
      <c r="A176" s="510">
        <v>174</v>
      </c>
      <c r="B176" s="240"/>
      <c r="C176" s="513"/>
      <c r="D176" s="240"/>
      <c r="E176" s="517"/>
      <c r="F176" s="265"/>
      <c r="G176" s="513"/>
      <c r="H176" s="265"/>
      <c r="I176" s="520"/>
      <c r="J176" s="241"/>
      <c r="K176" s="520"/>
      <c r="L176" s="241"/>
      <c r="M176" s="521"/>
      <c r="N176" s="241"/>
      <c r="O176" s="521"/>
      <c r="P176" s="241"/>
      <c r="Q176" s="520"/>
      <c r="R176" s="241"/>
      <c r="S176" s="520"/>
      <c r="T176" s="241"/>
      <c r="U176" s="520"/>
      <c r="V176" s="241"/>
      <c r="W176" s="242"/>
      <c r="X176" s="241"/>
      <c r="Y176" s="242"/>
      <c r="Z176" s="241"/>
      <c r="AA176" s="241"/>
      <c r="AB176" s="275"/>
      <c r="AC176" s="524"/>
      <c r="AD176" s="241"/>
      <c r="AE176" s="241"/>
      <c r="AF176" s="241"/>
      <c r="AG176" s="241"/>
      <c r="AH176" s="241"/>
      <c r="AI176" s="241"/>
      <c r="AJ176" s="529"/>
      <c r="AK176" s="258"/>
      <c r="AL176" s="241"/>
      <c r="AM176" s="242"/>
      <c r="AN176" s="241"/>
      <c r="AO176" s="242"/>
      <c r="AP176" s="241"/>
      <c r="AQ176" s="242"/>
      <c r="AR176" s="241"/>
      <c r="AS176" s="242"/>
      <c r="AT176" s="241"/>
      <c r="AU176" s="241"/>
      <c r="AV176" s="256"/>
      <c r="AW176" s="241"/>
      <c r="AX176" s="256"/>
      <c r="AY176" s="241"/>
      <c r="AZ176" s="256"/>
      <c r="BA176" s="239"/>
      <c r="BB176" s="242"/>
      <c r="BC176" s="239"/>
      <c r="BD176" s="242"/>
      <c r="BE176" s="239"/>
      <c r="BF176" s="241"/>
      <c r="BG176" s="239"/>
      <c r="BH176" s="241"/>
      <c r="BI176" s="260"/>
      <c r="BJ176" s="241"/>
      <c r="BK176" s="260"/>
      <c r="BL176" s="239"/>
      <c r="BM176" s="256"/>
      <c r="BN176" s="241"/>
      <c r="BO176" s="243"/>
      <c r="BP176" s="241"/>
      <c r="BQ176" s="239"/>
      <c r="BR176" s="276"/>
      <c r="BS176" s="256"/>
      <c r="BT176" s="260"/>
      <c r="BU176" s="261"/>
      <c r="BV176" s="260"/>
      <c r="BW176" s="239"/>
      <c r="BX176" s="260"/>
      <c r="BY176" s="260"/>
      <c r="BZ176" s="239"/>
      <c r="CA176" s="260"/>
      <c r="CB176" s="239"/>
      <c r="CC176" s="260"/>
      <c r="CD176" s="539"/>
      <c r="CE176" s="239"/>
      <c r="CF176" s="276"/>
      <c r="CG176" s="256"/>
      <c r="CH176" s="259"/>
      <c r="CI176" s="347"/>
      <c r="CJ176" s="540"/>
      <c r="CK176" s="256"/>
      <c r="CL176" s="244">
        <v>1</v>
      </c>
      <c r="CM176" s="274">
        <f t="shared" si="2"/>
        <v>2015</v>
      </c>
      <c r="CN176" s="244">
        <f>IF('Grille de saisie'!CM176&lt;18,0,IF('Grille de saisie'!CM176&lt;40,1,IF('Grille de saisie'!CM176&lt;65,2,IF('Grille de saisie'!CM176&lt;100,3,4))))</f>
        <v>4</v>
      </c>
      <c r="CO176" s="236">
        <f>IF(AND('Grille de saisie'!C176=1,'Grille de saisie'!BZ176=0),1,IF(AND('Grille de saisie'!C176="",'Grille de saisie'!BZ176=""),3,IF(AND('Grille de saisie'!C176=5),3,2)))</f>
        <v>3</v>
      </c>
      <c r="CP176" s="236">
        <f>IF(AND('Grille de saisie'!C176=1,'Grille de saisie'!BZ176=0),1,IF(AND('Grille de saisie'!C176=1,'Grille de saisie'!BZ176=1),2,IF(AND('Grille de saisie'!C176=2,'Grille de saisie'!BZ176=0),2,IF(AND('Grille de saisie'!C176=3,'Grille de saisie'!BZ176=0),3,IF(AND('Grille de saisie'!C176=2,'Grille de saisie'!BZ176=1),3,IF(AND('Grille de saisie'!C176=1,'Grille de saisie'!BZ176=2),3,IF(AND('Grille de saisie'!C176="",'Grille de saisie'!BZ176=""),5,IF(AND('Grille de saisie'!C176=5),5,4))))))))</f>
        <v>5</v>
      </c>
      <c r="CQ176" s="237">
        <f>IF('Grille de saisie'!BZ176="",3,IF('Grille de saisie'!C176=5,3,IF('Grille de saisie'!BZ176=0,1,2)))</f>
        <v>3</v>
      </c>
    </row>
    <row r="177" spans="1:95" ht="15">
      <c r="A177" s="511">
        <v>175</v>
      </c>
      <c r="B177" s="240"/>
      <c r="C177" s="513"/>
      <c r="D177" s="240"/>
      <c r="E177" s="517"/>
      <c r="F177" s="265"/>
      <c r="G177" s="513"/>
      <c r="H177" s="265"/>
      <c r="I177" s="520"/>
      <c r="J177" s="241"/>
      <c r="K177" s="520"/>
      <c r="L177" s="241"/>
      <c r="M177" s="521"/>
      <c r="N177" s="241"/>
      <c r="O177" s="521"/>
      <c r="P177" s="241"/>
      <c r="Q177" s="520"/>
      <c r="R177" s="241"/>
      <c r="S177" s="520"/>
      <c r="T177" s="241"/>
      <c r="U177" s="520"/>
      <c r="V177" s="241"/>
      <c r="W177" s="242"/>
      <c r="X177" s="241"/>
      <c r="Y177" s="242"/>
      <c r="Z177" s="241"/>
      <c r="AA177" s="241"/>
      <c r="AB177" s="275"/>
      <c r="AC177" s="524"/>
      <c r="AD177" s="241"/>
      <c r="AE177" s="241"/>
      <c r="AF177" s="241"/>
      <c r="AG177" s="241"/>
      <c r="AH177" s="241"/>
      <c r="AI177" s="241"/>
      <c r="AJ177" s="529"/>
      <c r="AK177" s="258"/>
      <c r="AL177" s="241"/>
      <c r="AM177" s="242"/>
      <c r="AN177" s="241"/>
      <c r="AO177" s="242"/>
      <c r="AP177" s="241"/>
      <c r="AQ177" s="242"/>
      <c r="AR177" s="241"/>
      <c r="AS177" s="242"/>
      <c r="AT177" s="241"/>
      <c r="AU177" s="241"/>
      <c r="AV177" s="256"/>
      <c r="AW177" s="241"/>
      <c r="AX177" s="256"/>
      <c r="AY177" s="241"/>
      <c r="AZ177" s="256"/>
      <c r="BA177" s="239"/>
      <c r="BB177" s="242"/>
      <c r="BC177" s="239"/>
      <c r="BD177" s="242"/>
      <c r="BE177" s="239"/>
      <c r="BF177" s="241"/>
      <c r="BG177" s="239"/>
      <c r="BH177" s="241"/>
      <c r="BI177" s="260"/>
      <c r="BJ177" s="241"/>
      <c r="BK177" s="260"/>
      <c r="BL177" s="239"/>
      <c r="BM177" s="256"/>
      <c r="BN177" s="241"/>
      <c r="BO177" s="243"/>
      <c r="BP177" s="241"/>
      <c r="BQ177" s="239"/>
      <c r="BR177" s="276"/>
      <c r="BS177" s="256"/>
      <c r="BT177" s="260"/>
      <c r="BU177" s="261"/>
      <c r="BV177" s="260"/>
      <c r="BW177" s="239"/>
      <c r="BX177" s="260"/>
      <c r="BY177" s="260"/>
      <c r="BZ177" s="239"/>
      <c r="CA177" s="260"/>
      <c r="CB177" s="239"/>
      <c r="CC177" s="260"/>
      <c r="CD177" s="539"/>
      <c r="CE177" s="239"/>
      <c r="CF177" s="276"/>
      <c r="CG177" s="256"/>
      <c r="CH177" s="259"/>
      <c r="CI177" s="347"/>
      <c r="CJ177" s="540"/>
      <c r="CK177" s="256"/>
      <c r="CL177" s="244">
        <v>1</v>
      </c>
      <c r="CM177" s="274">
        <f t="shared" si="2"/>
        <v>2015</v>
      </c>
      <c r="CN177" s="244">
        <f>IF('Grille de saisie'!CM177&lt;18,0,IF('Grille de saisie'!CM177&lt;40,1,IF('Grille de saisie'!CM177&lt;65,2,IF('Grille de saisie'!CM177&lt;100,3,4))))</f>
        <v>4</v>
      </c>
      <c r="CO177" s="236">
        <f>IF(AND('Grille de saisie'!C177=1,'Grille de saisie'!BZ177=0),1,IF(AND('Grille de saisie'!C177="",'Grille de saisie'!BZ177=""),3,IF(AND('Grille de saisie'!C177=5),3,2)))</f>
        <v>3</v>
      </c>
      <c r="CP177" s="236">
        <f>IF(AND('Grille de saisie'!C177=1,'Grille de saisie'!BZ177=0),1,IF(AND('Grille de saisie'!C177=1,'Grille de saisie'!BZ177=1),2,IF(AND('Grille de saisie'!C177=2,'Grille de saisie'!BZ177=0),2,IF(AND('Grille de saisie'!C177=3,'Grille de saisie'!BZ177=0),3,IF(AND('Grille de saisie'!C177=2,'Grille de saisie'!BZ177=1),3,IF(AND('Grille de saisie'!C177=1,'Grille de saisie'!BZ177=2),3,IF(AND('Grille de saisie'!C177="",'Grille de saisie'!BZ177=""),5,IF(AND('Grille de saisie'!C177=5),5,4))))))))</f>
        <v>5</v>
      </c>
      <c r="CQ177" s="237">
        <f>IF('Grille de saisie'!BZ177="",3,IF('Grille de saisie'!C177=5,3,IF('Grille de saisie'!BZ177=0,1,2)))</f>
        <v>3</v>
      </c>
    </row>
    <row r="178" spans="1:95" ht="15">
      <c r="A178" s="510">
        <v>176</v>
      </c>
      <c r="B178" s="240"/>
      <c r="C178" s="513"/>
      <c r="D178" s="240"/>
      <c r="E178" s="517"/>
      <c r="F178" s="265"/>
      <c r="G178" s="513"/>
      <c r="H178" s="265"/>
      <c r="I178" s="520"/>
      <c r="J178" s="241"/>
      <c r="K178" s="520"/>
      <c r="L178" s="241"/>
      <c r="M178" s="521"/>
      <c r="N178" s="241"/>
      <c r="O178" s="521"/>
      <c r="P178" s="241"/>
      <c r="Q178" s="520"/>
      <c r="R178" s="241"/>
      <c r="S178" s="520"/>
      <c r="T178" s="241"/>
      <c r="U178" s="520"/>
      <c r="V178" s="241"/>
      <c r="W178" s="242"/>
      <c r="X178" s="241"/>
      <c r="Y178" s="242"/>
      <c r="Z178" s="241"/>
      <c r="AA178" s="241"/>
      <c r="AB178" s="275"/>
      <c r="AC178" s="524"/>
      <c r="AD178" s="241"/>
      <c r="AE178" s="241"/>
      <c r="AF178" s="241"/>
      <c r="AG178" s="241"/>
      <c r="AH178" s="241"/>
      <c r="AI178" s="241"/>
      <c r="AJ178" s="529"/>
      <c r="AK178" s="258"/>
      <c r="AL178" s="241"/>
      <c r="AM178" s="242"/>
      <c r="AN178" s="241"/>
      <c r="AO178" s="242"/>
      <c r="AP178" s="241"/>
      <c r="AQ178" s="242"/>
      <c r="AR178" s="241"/>
      <c r="AS178" s="242"/>
      <c r="AT178" s="241"/>
      <c r="AU178" s="241"/>
      <c r="AV178" s="256"/>
      <c r="AW178" s="241"/>
      <c r="AX178" s="256"/>
      <c r="AY178" s="241"/>
      <c r="AZ178" s="256"/>
      <c r="BA178" s="239"/>
      <c r="BB178" s="242"/>
      <c r="BC178" s="239"/>
      <c r="BD178" s="242"/>
      <c r="BE178" s="239"/>
      <c r="BF178" s="241"/>
      <c r="BG178" s="239"/>
      <c r="BH178" s="241"/>
      <c r="BI178" s="260"/>
      <c r="BJ178" s="241"/>
      <c r="BK178" s="260"/>
      <c r="BL178" s="239"/>
      <c r="BM178" s="256"/>
      <c r="BN178" s="241"/>
      <c r="BO178" s="243"/>
      <c r="BP178" s="241"/>
      <c r="BQ178" s="239"/>
      <c r="BR178" s="276"/>
      <c r="BS178" s="256"/>
      <c r="BT178" s="260"/>
      <c r="BU178" s="261"/>
      <c r="BV178" s="260"/>
      <c r="BW178" s="239"/>
      <c r="BX178" s="260"/>
      <c r="BY178" s="260"/>
      <c r="BZ178" s="239"/>
      <c r="CA178" s="260"/>
      <c r="CB178" s="239"/>
      <c r="CC178" s="260"/>
      <c r="CD178" s="539"/>
      <c r="CE178" s="239"/>
      <c r="CF178" s="276"/>
      <c r="CG178" s="256"/>
      <c r="CH178" s="259"/>
      <c r="CI178" s="347"/>
      <c r="CJ178" s="540"/>
      <c r="CK178" s="256"/>
      <c r="CL178" s="244">
        <v>1</v>
      </c>
      <c r="CM178" s="274">
        <f t="shared" si="2"/>
        <v>2015</v>
      </c>
      <c r="CN178" s="244">
        <f>IF('Grille de saisie'!CM178&lt;18,0,IF('Grille de saisie'!CM178&lt;40,1,IF('Grille de saisie'!CM178&lt;65,2,IF('Grille de saisie'!CM178&lt;100,3,4))))</f>
        <v>4</v>
      </c>
      <c r="CO178" s="236">
        <f>IF(AND('Grille de saisie'!C178=1,'Grille de saisie'!BZ178=0),1,IF(AND('Grille de saisie'!C178="",'Grille de saisie'!BZ178=""),3,IF(AND('Grille de saisie'!C178=5),3,2)))</f>
        <v>3</v>
      </c>
      <c r="CP178" s="236">
        <f>IF(AND('Grille de saisie'!C178=1,'Grille de saisie'!BZ178=0),1,IF(AND('Grille de saisie'!C178=1,'Grille de saisie'!BZ178=1),2,IF(AND('Grille de saisie'!C178=2,'Grille de saisie'!BZ178=0),2,IF(AND('Grille de saisie'!C178=3,'Grille de saisie'!BZ178=0),3,IF(AND('Grille de saisie'!C178=2,'Grille de saisie'!BZ178=1),3,IF(AND('Grille de saisie'!C178=1,'Grille de saisie'!BZ178=2),3,IF(AND('Grille de saisie'!C178="",'Grille de saisie'!BZ178=""),5,IF(AND('Grille de saisie'!C178=5),5,4))))))))</f>
        <v>5</v>
      </c>
      <c r="CQ178" s="237">
        <f>IF('Grille de saisie'!BZ178="",3,IF('Grille de saisie'!C178=5,3,IF('Grille de saisie'!BZ178=0,1,2)))</f>
        <v>3</v>
      </c>
    </row>
    <row r="179" spans="1:95" ht="15">
      <c r="A179" s="510">
        <v>177</v>
      </c>
      <c r="B179" s="240"/>
      <c r="C179" s="513"/>
      <c r="D179" s="240"/>
      <c r="E179" s="517"/>
      <c r="F179" s="265"/>
      <c r="G179" s="513"/>
      <c r="H179" s="265"/>
      <c r="I179" s="520"/>
      <c r="J179" s="241"/>
      <c r="K179" s="520"/>
      <c r="L179" s="241"/>
      <c r="M179" s="521"/>
      <c r="N179" s="241"/>
      <c r="O179" s="521"/>
      <c r="P179" s="241"/>
      <c r="Q179" s="520"/>
      <c r="R179" s="241"/>
      <c r="S179" s="520"/>
      <c r="T179" s="241"/>
      <c r="U179" s="520"/>
      <c r="V179" s="241"/>
      <c r="W179" s="242"/>
      <c r="X179" s="241"/>
      <c r="Y179" s="242"/>
      <c r="Z179" s="241"/>
      <c r="AA179" s="241"/>
      <c r="AB179" s="275"/>
      <c r="AC179" s="524"/>
      <c r="AD179" s="241"/>
      <c r="AE179" s="241"/>
      <c r="AF179" s="241"/>
      <c r="AG179" s="241"/>
      <c r="AH179" s="241"/>
      <c r="AI179" s="241"/>
      <c r="AJ179" s="529"/>
      <c r="AK179" s="258"/>
      <c r="AL179" s="241"/>
      <c r="AM179" s="242"/>
      <c r="AN179" s="241"/>
      <c r="AO179" s="242"/>
      <c r="AP179" s="241"/>
      <c r="AQ179" s="242"/>
      <c r="AR179" s="241"/>
      <c r="AS179" s="242"/>
      <c r="AT179" s="241"/>
      <c r="AU179" s="241"/>
      <c r="AV179" s="256"/>
      <c r="AW179" s="241"/>
      <c r="AX179" s="256"/>
      <c r="AY179" s="241"/>
      <c r="AZ179" s="256"/>
      <c r="BA179" s="239"/>
      <c r="BB179" s="242"/>
      <c r="BC179" s="239"/>
      <c r="BD179" s="242"/>
      <c r="BE179" s="239"/>
      <c r="BF179" s="241"/>
      <c r="BG179" s="239"/>
      <c r="BH179" s="241"/>
      <c r="BI179" s="260"/>
      <c r="BJ179" s="241"/>
      <c r="BK179" s="260"/>
      <c r="BL179" s="239"/>
      <c r="BM179" s="256"/>
      <c r="BN179" s="241"/>
      <c r="BO179" s="243"/>
      <c r="BP179" s="241"/>
      <c r="BQ179" s="239"/>
      <c r="BR179" s="276"/>
      <c r="BS179" s="256"/>
      <c r="BT179" s="260"/>
      <c r="BU179" s="261"/>
      <c r="BV179" s="260"/>
      <c r="BW179" s="239"/>
      <c r="BX179" s="260"/>
      <c r="BY179" s="260"/>
      <c r="BZ179" s="239"/>
      <c r="CA179" s="260"/>
      <c r="CB179" s="239"/>
      <c r="CC179" s="260"/>
      <c r="CD179" s="539"/>
      <c r="CE179" s="239"/>
      <c r="CF179" s="276"/>
      <c r="CG179" s="256"/>
      <c r="CH179" s="259"/>
      <c r="CI179" s="347"/>
      <c r="CJ179" s="540"/>
      <c r="CK179" s="256"/>
      <c r="CL179" s="244">
        <v>1</v>
      </c>
      <c r="CM179" s="274">
        <f t="shared" si="2"/>
        <v>2015</v>
      </c>
      <c r="CN179" s="244">
        <f>IF('Grille de saisie'!CM179&lt;18,0,IF('Grille de saisie'!CM179&lt;40,1,IF('Grille de saisie'!CM179&lt;65,2,IF('Grille de saisie'!CM179&lt;100,3,4))))</f>
        <v>4</v>
      </c>
      <c r="CO179" s="236">
        <f>IF(AND('Grille de saisie'!C179=1,'Grille de saisie'!BZ179=0),1,IF(AND('Grille de saisie'!C179="",'Grille de saisie'!BZ179=""),3,IF(AND('Grille de saisie'!C179=5),3,2)))</f>
        <v>3</v>
      </c>
      <c r="CP179" s="236">
        <f>IF(AND('Grille de saisie'!C179=1,'Grille de saisie'!BZ179=0),1,IF(AND('Grille de saisie'!C179=1,'Grille de saisie'!BZ179=1),2,IF(AND('Grille de saisie'!C179=2,'Grille de saisie'!BZ179=0),2,IF(AND('Grille de saisie'!C179=3,'Grille de saisie'!BZ179=0),3,IF(AND('Grille de saisie'!C179=2,'Grille de saisie'!BZ179=1),3,IF(AND('Grille de saisie'!C179=1,'Grille de saisie'!BZ179=2),3,IF(AND('Grille de saisie'!C179="",'Grille de saisie'!BZ179=""),5,IF(AND('Grille de saisie'!C179=5),5,4))))))))</f>
        <v>5</v>
      </c>
      <c r="CQ179" s="237">
        <f>IF('Grille de saisie'!BZ179="",3,IF('Grille de saisie'!C179=5,3,IF('Grille de saisie'!BZ179=0,1,2)))</f>
        <v>3</v>
      </c>
    </row>
    <row r="180" spans="1:95" ht="15">
      <c r="A180" s="511">
        <v>178</v>
      </c>
      <c r="B180" s="240"/>
      <c r="C180" s="513"/>
      <c r="D180" s="240"/>
      <c r="E180" s="517"/>
      <c r="F180" s="265"/>
      <c r="G180" s="513"/>
      <c r="H180" s="265"/>
      <c r="I180" s="520"/>
      <c r="J180" s="241"/>
      <c r="K180" s="520"/>
      <c r="L180" s="241"/>
      <c r="M180" s="521"/>
      <c r="N180" s="241"/>
      <c r="O180" s="521"/>
      <c r="P180" s="241"/>
      <c r="Q180" s="520"/>
      <c r="R180" s="241"/>
      <c r="S180" s="520"/>
      <c r="T180" s="241"/>
      <c r="U180" s="520"/>
      <c r="V180" s="241"/>
      <c r="W180" s="242"/>
      <c r="X180" s="241"/>
      <c r="Y180" s="242"/>
      <c r="Z180" s="241"/>
      <c r="AA180" s="241"/>
      <c r="AB180" s="275"/>
      <c r="AC180" s="524"/>
      <c r="AD180" s="241"/>
      <c r="AE180" s="241"/>
      <c r="AF180" s="241"/>
      <c r="AG180" s="241"/>
      <c r="AH180" s="241"/>
      <c r="AI180" s="241"/>
      <c r="AJ180" s="529"/>
      <c r="AK180" s="258"/>
      <c r="AL180" s="241"/>
      <c r="AM180" s="242"/>
      <c r="AN180" s="241"/>
      <c r="AO180" s="242"/>
      <c r="AP180" s="241"/>
      <c r="AQ180" s="242"/>
      <c r="AR180" s="241"/>
      <c r="AS180" s="242"/>
      <c r="AT180" s="241"/>
      <c r="AU180" s="241"/>
      <c r="AV180" s="256"/>
      <c r="AW180" s="241"/>
      <c r="AX180" s="256"/>
      <c r="AY180" s="241"/>
      <c r="AZ180" s="256"/>
      <c r="BA180" s="239"/>
      <c r="BB180" s="242"/>
      <c r="BC180" s="239"/>
      <c r="BD180" s="242"/>
      <c r="BE180" s="239"/>
      <c r="BF180" s="241"/>
      <c r="BG180" s="239"/>
      <c r="BH180" s="241"/>
      <c r="BI180" s="260"/>
      <c r="BJ180" s="241"/>
      <c r="BK180" s="260"/>
      <c r="BL180" s="239"/>
      <c r="BM180" s="256"/>
      <c r="BN180" s="241"/>
      <c r="BO180" s="243"/>
      <c r="BP180" s="241"/>
      <c r="BQ180" s="239"/>
      <c r="BR180" s="276"/>
      <c r="BS180" s="256"/>
      <c r="BT180" s="260"/>
      <c r="BU180" s="261"/>
      <c r="BV180" s="260"/>
      <c r="BW180" s="239"/>
      <c r="BX180" s="260"/>
      <c r="BY180" s="260"/>
      <c r="BZ180" s="239"/>
      <c r="CA180" s="260"/>
      <c r="CB180" s="239"/>
      <c r="CC180" s="260"/>
      <c r="CD180" s="539"/>
      <c r="CE180" s="239"/>
      <c r="CF180" s="276"/>
      <c r="CG180" s="256"/>
      <c r="CH180" s="259"/>
      <c r="CI180" s="347"/>
      <c r="CJ180" s="540"/>
      <c r="CK180" s="256"/>
      <c r="CL180" s="244">
        <v>1</v>
      </c>
      <c r="CM180" s="274">
        <f t="shared" si="2"/>
        <v>2015</v>
      </c>
      <c r="CN180" s="244">
        <f>IF('Grille de saisie'!CM180&lt;18,0,IF('Grille de saisie'!CM180&lt;40,1,IF('Grille de saisie'!CM180&lt;65,2,IF('Grille de saisie'!CM180&lt;100,3,4))))</f>
        <v>4</v>
      </c>
      <c r="CO180" s="236">
        <f>IF(AND('Grille de saisie'!C180=1,'Grille de saisie'!BZ180=0),1,IF(AND('Grille de saisie'!C180="",'Grille de saisie'!BZ180=""),3,IF(AND('Grille de saisie'!C180=5),3,2)))</f>
        <v>3</v>
      </c>
      <c r="CP180" s="236">
        <f>IF(AND('Grille de saisie'!C180=1,'Grille de saisie'!BZ180=0),1,IF(AND('Grille de saisie'!C180=1,'Grille de saisie'!BZ180=1),2,IF(AND('Grille de saisie'!C180=2,'Grille de saisie'!BZ180=0),2,IF(AND('Grille de saisie'!C180=3,'Grille de saisie'!BZ180=0),3,IF(AND('Grille de saisie'!C180=2,'Grille de saisie'!BZ180=1),3,IF(AND('Grille de saisie'!C180=1,'Grille de saisie'!BZ180=2),3,IF(AND('Grille de saisie'!C180="",'Grille de saisie'!BZ180=""),5,IF(AND('Grille de saisie'!C180=5),5,4))))))))</f>
        <v>5</v>
      </c>
      <c r="CQ180" s="237">
        <f>IF('Grille de saisie'!BZ180="",3,IF('Grille de saisie'!C180=5,3,IF('Grille de saisie'!BZ180=0,1,2)))</f>
        <v>3</v>
      </c>
    </row>
    <row r="181" spans="1:95" ht="15">
      <c r="A181" s="510">
        <v>179</v>
      </c>
      <c r="B181" s="240"/>
      <c r="C181" s="513"/>
      <c r="D181" s="240"/>
      <c r="E181" s="517"/>
      <c r="F181" s="265"/>
      <c r="G181" s="513"/>
      <c r="H181" s="265"/>
      <c r="I181" s="520"/>
      <c r="J181" s="241"/>
      <c r="K181" s="520"/>
      <c r="L181" s="241"/>
      <c r="M181" s="521"/>
      <c r="N181" s="241"/>
      <c r="O181" s="521"/>
      <c r="P181" s="241"/>
      <c r="Q181" s="520"/>
      <c r="R181" s="241"/>
      <c r="S181" s="520"/>
      <c r="T181" s="241"/>
      <c r="U181" s="520"/>
      <c r="V181" s="241"/>
      <c r="W181" s="242"/>
      <c r="X181" s="241"/>
      <c r="Y181" s="242"/>
      <c r="Z181" s="241"/>
      <c r="AA181" s="241"/>
      <c r="AB181" s="275"/>
      <c r="AC181" s="524"/>
      <c r="AD181" s="241"/>
      <c r="AE181" s="241"/>
      <c r="AF181" s="241"/>
      <c r="AG181" s="241"/>
      <c r="AH181" s="241"/>
      <c r="AI181" s="241"/>
      <c r="AJ181" s="529"/>
      <c r="AK181" s="258"/>
      <c r="AL181" s="241"/>
      <c r="AM181" s="242"/>
      <c r="AN181" s="241"/>
      <c r="AO181" s="242"/>
      <c r="AP181" s="241"/>
      <c r="AQ181" s="242"/>
      <c r="AR181" s="241"/>
      <c r="AS181" s="242"/>
      <c r="AT181" s="241"/>
      <c r="AU181" s="241"/>
      <c r="AV181" s="256"/>
      <c r="AW181" s="241"/>
      <c r="AX181" s="256"/>
      <c r="AY181" s="241"/>
      <c r="AZ181" s="256"/>
      <c r="BA181" s="239"/>
      <c r="BB181" s="242"/>
      <c r="BC181" s="239"/>
      <c r="BD181" s="242"/>
      <c r="BE181" s="239"/>
      <c r="BF181" s="241"/>
      <c r="BG181" s="239"/>
      <c r="BH181" s="241"/>
      <c r="BI181" s="260"/>
      <c r="BJ181" s="241"/>
      <c r="BK181" s="260"/>
      <c r="BL181" s="239"/>
      <c r="BM181" s="256"/>
      <c r="BN181" s="241"/>
      <c r="BO181" s="243"/>
      <c r="BP181" s="241"/>
      <c r="BQ181" s="239"/>
      <c r="BR181" s="276"/>
      <c r="BS181" s="256"/>
      <c r="BT181" s="260"/>
      <c r="BU181" s="261"/>
      <c r="BV181" s="260"/>
      <c r="BW181" s="239"/>
      <c r="BX181" s="260"/>
      <c r="BY181" s="260"/>
      <c r="BZ181" s="239"/>
      <c r="CA181" s="260"/>
      <c r="CB181" s="239"/>
      <c r="CC181" s="260"/>
      <c r="CD181" s="539"/>
      <c r="CE181" s="239"/>
      <c r="CF181" s="276"/>
      <c r="CG181" s="256"/>
      <c r="CH181" s="259"/>
      <c r="CI181" s="347"/>
      <c r="CJ181" s="540"/>
      <c r="CK181" s="256"/>
      <c r="CL181" s="244">
        <v>1</v>
      </c>
      <c r="CM181" s="274">
        <f t="shared" si="2"/>
        <v>2015</v>
      </c>
      <c r="CN181" s="244">
        <f>IF('Grille de saisie'!CM181&lt;18,0,IF('Grille de saisie'!CM181&lt;40,1,IF('Grille de saisie'!CM181&lt;65,2,IF('Grille de saisie'!CM181&lt;100,3,4))))</f>
        <v>4</v>
      </c>
      <c r="CO181" s="236">
        <f>IF(AND('Grille de saisie'!C181=1,'Grille de saisie'!BZ181=0),1,IF(AND('Grille de saisie'!C181="",'Grille de saisie'!BZ181=""),3,IF(AND('Grille de saisie'!C181=5),3,2)))</f>
        <v>3</v>
      </c>
      <c r="CP181" s="236">
        <f>IF(AND('Grille de saisie'!C181=1,'Grille de saisie'!BZ181=0),1,IF(AND('Grille de saisie'!C181=1,'Grille de saisie'!BZ181=1),2,IF(AND('Grille de saisie'!C181=2,'Grille de saisie'!BZ181=0),2,IF(AND('Grille de saisie'!C181=3,'Grille de saisie'!BZ181=0),3,IF(AND('Grille de saisie'!C181=2,'Grille de saisie'!BZ181=1),3,IF(AND('Grille de saisie'!C181=1,'Grille de saisie'!BZ181=2),3,IF(AND('Grille de saisie'!C181="",'Grille de saisie'!BZ181=""),5,IF(AND('Grille de saisie'!C181=5),5,4))))))))</f>
        <v>5</v>
      </c>
      <c r="CQ181" s="237">
        <f>IF('Grille de saisie'!BZ181="",3,IF('Grille de saisie'!C181=5,3,IF('Grille de saisie'!BZ181=0,1,2)))</f>
        <v>3</v>
      </c>
    </row>
    <row r="182" spans="1:95" ht="15">
      <c r="A182" s="510">
        <v>180</v>
      </c>
      <c r="B182" s="240"/>
      <c r="C182" s="513"/>
      <c r="D182" s="240"/>
      <c r="E182" s="517"/>
      <c r="F182" s="265"/>
      <c r="G182" s="513"/>
      <c r="H182" s="265"/>
      <c r="I182" s="520"/>
      <c r="J182" s="241"/>
      <c r="K182" s="520"/>
      <c r="L182" s="241"/>
      <c r="M182" s="521"/>
      <c r="N182" s="241"/>
      <c r="O182" s="521"/>
      <c r="P182" s="241"/>
      <c r="Q182" s="520"/>
      <c r="R182" s="241"/>
      <c r="S182" s="520"/>
      <c r="T182" s="241"/>
      <c r="U182" s="520"/>
      <c r="V182" s="241"/>
      <c r="W182" s="242"/>
      <c r="X182" s="241"/>
      <c r="Y182" s="242"/>
      <c r="Z182" s="241"/>
      <c r="AA182" s="241"/>
      <c r="AB182" s="275"/>
      <c r="AC182" s="524"/>
      <c r="AD182" s="241"/>
      <c r="AE182" s="241"/>
      <c r="AF182" s="241"/>
      <c r="AG182" s="241"/>
      <c r="AH182" s="241"/>
      <c r="AI182" s="241"/>
      <c r="AJ182" s="529"/>
      <c r="AK182" s="258"/>
      <c r="AL182" s="241"/>
      <c r="AM182" s="242"/>
      <c r="AN182" s="241"/>
      <c r="AO182" s="242"/>
      <c r="AP182" s="241"/>
      <c r="AQ182" s="242"/>
      <c r="AR182" s="241"/>
      <c r="AS182" s="242"/>
      <c r="AT182" s="241"/>
      <c r="AU182" s="241"/>
      <c r="AV182" s="256"/>
      <c r="AW182" s="241"/>
      <c r="AX182" s="256"/>
      <c r="AY182" s="241"/>
      <c r="AZ182" s="256"/>
      <c r="BA182" s="239"/>
      <c r="BB182" s="242"/>
      <c r="BC182" s="239"/>
      <c r="BD182" s="242"/>
      <c r="BE182" s="239"/>
      <c r="BF182" s="241"/>
      <c r="BG182" s="239"/>
      <c r="BH182" s="241"/>
      <c r="BI182" s="260"/>
      <c r="BJ182" s="241"/>
      <c r="BK182" s="260"/>
      <c r="BL182" s="239"/>
      <c r="BM182" s="256"/>
      <c r="BN182" s="241"/>
      <c r="BO182" s="243"/>
      <c r="BP182" s="241"/>
      <c r="BQ182" s="239"/>
      <c r="BR182" s="276"/>
      <c r="BS182" s="256"/>
      <c r="BT182" s="260"/>
      <c r="BU182" s="261"/>
      <c r="BV182" s="260"/>
      <c r="BW182" s="239"/>
      <c r="BX182" s="260"/>
      <c r="BY182" s="260"/>
      <c r="BZ182" s="239"/>
      <c r="CA182" s="260"/>
      <c r="CB182" s="239"/>
      <c r="CC182" s="260"/>
      <c r="CD182" s="539"/>
      <c r="CE182" s="239"/>
      <c r="CF182" s="276"/>
      <c r="CG182" s="256"/>
      <c r="CH182" s="259"/>
      <c r="CI182" s="347"/>
      <c r="CJ182" s="540"/>
      <c r="CK182" s="256"/>
      <c r="CL182" s="244">
        <v>1</v>
      </c>
      <c r="CM182" s="274">
        <f t="shared" si="2"/>
        <v>2015</v>
      </c>
      <c r="CN182" s="244">
        <f>IF('Grille de saisie'!CM182&lt;18,0,IF('Grille de saisie'!CM182&lt;40,1,IF('Grille de saisie'!CM182&lt;65,2,IF('Grille de saisie'!CM182&lt;100,3,4))))</f>
        <v>4</v>
      </c>
      <c r="CO182" s="236">
        <f>IF(AND('Grille de saisie'!C182=1,'Grille de saisie'!BZ182=0),1,IF(AND('Grille de saisie'!C182="",'Grille de saisie'!BZ182=""),3,IF(AND('Grille de saisie'!C182=5),3,2)))</f>
        <v>3</v>
      </c>
      <c r="CP182" s="236">
        <f>IF(AND('Grille de saisie'!C182=1,'Grille de saisie'!BZ182=0),1,IF(AND('Grille de saisie'!C182=1,'Grille de saisie'!BZ182=1),2,IF(AND('Grille de saisie'!C182=2,'Grille de saisie'!BZ182=0),2,IF(AND('Grille de saisie'!C182=3,'Grille de saisie'!BZ182=0),3,IF(AND('Grille de saisie'!C182=2,'Grille de saisie'!BZ182=1),3,IF(AND('Grille de saisie'!C182=1,'Grille de saisie'!BZ182=2),3,IF(AND('Grille de saisie'!C182="",'Grille de saisie'!BZ182=""),5,IF(AND('Grille de saisie'!C182=5),5,4))))))))</f>
        <v>5</v>
      </c>
      <c r="CQ182" s="237">
        <f>IF('Grille de saisie'!BZ182="",3,IF('Grille de saisie'!C182=5,3,IF('Grille de saisie'!BZ182=0,1,2)))</f>
        <v>3</v>
      </c>
    </row>
    <row r="183" spans="1:95" ht="15">
      <c r="A183" s="511">
        <v>181</v>
      </c>
      <c r="B183" s="240"/>
      <c r="C183" s="513"/>
      <c r="D183" s="240"/>
      <c r="E183" s="517"/>
      <c r="F183" s="265"/>
      <c r="G183" s="513"/>
      <c r="H183" s="265"/>
      <c r="I183" s="520"/>
      <c r="J183" s="241"/>
      <c r="K183" s="520"/>
      <c r="L183" s="241"/>
      <c r="M183" s="521"/>
      <c r="N183" s="241"/>
      <c r="O183" s="521"/>
      <c r="P183" s="241"/>
      <c r="Q183" s="520"/>
      <c r="R183" s="241"/>
      <c r="S183" s="520"/>
      <c r="T183" s="241"/>
      <c r="U183" s="520"/>
      <c r="V183" s="241"/>
      <c r="W183" s="242"/>
      <c r="X183" s="241"/>
      <c r="Y183" s="242"/>
      <c r="Z183" s="241"/>
      <c r="AA183" s="241"/>
      <c r="AB183" s="275"/>
      <c r="AC183" s="524"/>
      <c r="AD183" s="241"/>
      <c r="AE183" s="241"/>
      <c r="AF183" s="241"/>
      <c r="AG183" s="241"/>
      <c r="AH183" s="241"/>
      <c r="AI183" s="241"/>
      <c r="AJ183" s="529"/>
      <c r="AK183" s="258"/>
      <c r="AL183" s="241"/>
      <c r="AM183" s="242"/>
      <c r="AN183" s="241"/>
      <c r="AO183" s="242"/>
      <c r="AP183" s="241"/>
      <c r="AQ183" s="242"/>
      <c r="AR183" s="241"/>
      <c r="AS183" s="242"/>
      <c r="AT183" s="241"/>
      <c r="AU183" s="241"/>
      <c r="AV183" s="256"/>
      <c r="AW183" s="241"/>
      <c r="AX183" s="256"/>
      <c r="AY183" s="241"/>
      <c r="AZ183" s="256"/>
      <c r="BA183" s="239"/>
      <c r="BB183" s="242"/>
      <c r="BC183" s="239"/>
      <c r="BD183" s="242"/>
      <c r="BE183" s="239"/>
      <c r="BF183" s="241"/>
      <c r="BG183" s="239"/>
      <c r="BH183" s="241"/>
      <c r="BI183" s="260"/>
      <c r="BJ183" s="241"/>
      <c r="BK183" s="260"/>
      <c r="BL183" s="239"/>
      <c r="BM183" s="256"/>
      <c r="BN183" s="241"/>
      <c r="BO183" s="243"/>
      <c r="BP183" s="241"/>
      <c r="BQ183" s="239"/>
      <c r="BR183" s="276"/>
      <c r="BS183" s="256"/>
      <c r="BT183" s="260"/>
      <c r="BU183" s="261"/>
      <c r="BV183" s="260"/>
      <c r="BW183" s="239"/>
      <c r="BX183" s="260"/>
      <c r="BY183" s="260"/>
      <c r="BZ183" s="239"/>
      <c r="CA183" s="260"/>
      <c r="CB183" s="239"/>
      <c r="CC183" s="260"/>
      <c r="CD183" s="539"/>
      <c r="CE183" s="239"/>
      <c r="CF183" s="276"/>
      <c r="CG183" s="256"/>
      <c r="CH183" s="259"/>
      <c r="CI183" s="347"/>
      <c r="CJ183" s="540"/>
      <c r="CK183" s="256"/>
      <c r="CL183" s="244">
        <v>1</v>
      </c>
      <c r="CM183" s="274">
        <f t="shared" si="2"/>
        <v>2015</v>
      </c>
      <c r="CN183" s="244">
        <f>IF('Grille de saisie'!CM183&lt;18,0,IF('Grille de saisie'!CM183&lt;40,1,IF('Grille de saisie'!CM183&lt;65,2,IF('Grille de saisie'!CM183&lt;100,3,4))))</f>
        <v>4</v>
      </c>
      <c r="CO183" s="236">
        <f>IF(AND('Grille de saisie'!C183=1,'Grille de saisie'!BZ183=0),1,IF(AND('Grille de saisie'!C183="",'Grille de saisie'!BZ183=""),3,IF(AND('Grille de saisie'!C183=5),3,2)))</f>
        <v>3</v>
      </c>
      <c r="CP183" s="236">
        <f>IF(AND('Grille de saisie'!C183=1,'Grille de saisie'!BZ183=0),1,IF(AND('Grille de saisie'!C183=1,'Grille de saisie'!BZ183=1),2,IF(AND('Grille de saisie'!C183=2,'Grille de saisie'!BZ183=0),2,IF(AND('Grille de saisie'!C183=3,'Grille de saisie'!BZ183=0),3,IF(AND('Grille de saisie'!C183=2,'Grille de saisie'!BZ183=1),3,IF(AND('Grille de saisie'!C183=1,'Grille de saisie'!BZ183=2),3,IF(AND('Grille de saisie'!C183="",'Grille de saisie'!BZ183=""),5,IF(AND('Grille de saisie'!C183=5),5,4))))))))</f>
        <v>5</v>
      </c>
      <c r="CQ183" s="237">
        <f>IF('Grille de saisie'!BZ183="",3,IF('Grille de saisie'!C183=5,3,IF('Grille de saisie'!BZ183=0,1,2)))</f>
        <v>3</v>
      </c>
    </row>
    <row r="184" spans="1:95" ht="15">
      <c r="A184" s="510">
        <v>182</v>
      </c>
      <c r="B184" s="240"/>
      <c r="C184" s="513"/>
      <c r="D184" s="240"/>
      <c r="E184" s="517"/>
      <c r="F184" s="265"/>
      <c r="G184" s="513"/>
      <c r="H184" s="265"/>
      <c r="I184" s="520"/>
      <c r="J184" s="241"/>
      <c r="K184" s="520"/>
      <c r="L184" s="241"/>
      <c r="M184" s="521"/>
      <c r="N184" s="241"/>
      <c r="O184" s="521"/>
      <c r="P184" s="241"/>
      <c r="Q184" s="520"/>
      <c r="R184" s="241"/>
      <c r="S184" s="520"/>
      <c r="T184" s="241"/>
      <c r="U184" s="520"/>
      <c r="V184" s="241"/>
      <c r="W184" s="242"/>
      <c r="X184" s="241"/>
      <c r="Y184" s="242"/>
      <c r="Z184" s="241"/>
      <c r="AA184" s="241"/>
      <c r="AB184" s="275"/>
      <c r="AC184" s="524"/>
      <c r="AD184" s="241"/>
      <c r="AE184" s="241"/>
      <c r="AF184" s="241"/>
      <c r="AG184" s="241"/>
      <c r="AH184" s="241"/>
      <c r="AI184" s="241"/>
      <c r="AJ184" s="529"/>
      <c r="AK184" s="258"/>
      <c r="AL184" s="241"/>
      <c r="AM184" s="242"/>
      <c r="AN184" s="241"/>
      <c r="AO184" s="242"/>
      <c r="AP184" s="241"/>
      <c r="AQ184" s="242"/>
      <c r="AR184" s="241"/>
      <c r="AS184" s="242"/>
      <c r="AT184" s="241"/>
      <c r="AU184" s="241"/>
      <c r="AV184" s="256"/>
      <c r="AW184" s="241"/>
      <c r="AX184" s="256"/>
      <c r="AY184" s="241"/>
      <c r="AZ184" s="256"/>
      <c r="BA184" s="239"/>
      <c r="BB184" s="242"/>
      <c r="BC184" s="239"/>
      <c r="BD184" s="242"/>
      <c r="BE184" s="239"/>
      <c r="BF184" s="241"/>
      <c r="BG184" s="239"/>
      <c r="BH184" s="241"/>
      <c r="BI184" s="260"/>
      <c r="BJ184" s="241"/>
      <c r="BK184" s="260"/>
      <c r="BL184" s="239"/>
      <c r="BM184" s="256"/>
      <c r="BN184" s="241"/>
      <c r="BO184" s="243"/>
      <c r="BP184" s="241"/>
      <c r="BQ184" s="239"/>
      <c r="BR184" s="276"/>
      <c r="BS184" s="256"/>
      <c r="BT184" s="260"/>
      <c r="BU184" s="261"/>
      <c r="BV184" s="260"/>
      <c r="BW184" s="239"/>
      <c r="BX184" s="260"/>
      <c r="BY184" s="260"/>
      <c r="BZ184" s="239"/>
      <c r="CA184" s="260"/>
      <c r="CB184" s="239"/>
      <c r="CC184" s="260"/>
      <c r="CD184" s="539"/>
      <c r="CE184" s="239"/>
      <c r="CF184" s="276"/>
      <c r="CG184" s="256"/>
      <c r="CH184" s="259"/>
      <c r="CI184" s="347"/>
      <c r="CJ184" s="540"/>
      <c r="CK184" s="256"/>
      <c r="CL184" s="244">
        <v>1</v>
      </c>
      <c r="CM184" s="274">
        <f t="shared" si="2"/>
        <v>2015</v>
      </c>
      <c r="CN184" s="244">
        <f>IF('Grille de saisie'!CM184&lt;18,0,IF('Grille de saisie'!CM184&lt;40,1,IF('Grille de saisie'!CM184&lt;65,2,IF('Grille de saisie'!CM184&lt;100,3,4))))</f>
        <v>4</v>
      </c>
      <c r="CO184" s="236">
        <f>IF(AND('Grille de saisie'!C184=1,'Grille de saisie'!BZ184=0),1,IF(AND('Grille de saisie'!C184="",'Grille de saisie'!BZ184=""),3,IF(AND('Grille de saisie'!C184=5),3,2)))</f>
        <v>3</v>
      </c>
      <c r="CP184" s="236">
        <f>IF(AND('Grille de saisie'!C184=1,'Grille de saisie'!BZ184=0),1,IF(AND('Grille de saisie'!C184=1,'Grille de saisie'!BZ184=1),2,IF(AND('Grille de saisie'!C184=2,'Grille de saisie'!BZ184=0),2,IF(AND('Grille de saisie'!C184=3,'Grille de saisie'!BZ184=0),3,IF(AND('Grille de saisie'!C184=2,'Grille de saisie'!BZ184=1),3,IF(AND('Grille de saisie'!C184=1,'Grille de saisie'!BZ184=2),3,IF(AND('Grille de saisie'!C184="",'Grille de saisie'!BZ184=""),5,IF(AND('Grille de saisie'!C184=5),5,4))))))))</f>
        <v>5</v>
      </c>
      <c r="CQ184" s="237">
        <f>IF('Grille de saisie'!BZ184="",3,IF('Grille de saisie'!C184=5,3,IF('Grille de saisie'!BZ184=0,1,2)))</f>
        <v>3</v>
      </c>
    </row>
    <row r="185" spans="1:95" ht="15">
      <c r="A185" s="510">
        <v>183</v>
      </c>
      <c r="B185" s="240"/>
      <c r="C185" s="513"/>
      <c r="D185" s="240"/>
      <c r="E185" s="517"/>
      <c r="F185" s="265"/>
      <c r="G185" s="513"/>
      <c r="H185" s="265"/>
      <c r="I185" s="520"/>
      <c r="J185" s="241"/>
      <c r="K185" s="520"/>
      <c r="L185" s="241"/>
      <c r="M185" s="521"/>
      <c r="N185" s="241"/>
      <c r="O185" s="521"/>
      <c r="P185" s="241"/>
      <c r="Q185" s="520"/>
      <c r="R185" s="241"/>
      <c r="S185" s="520"/>
      <c r="T185" s="241"/>
      <c r="U185" s="520"/>
      <c r="V185" s="241"/>
      <c r="W185" s="242"/>
      <c r="X185" s="241"/>
      <c r="Y185" s="242"/>
      <c r="Z185" s="241"/>
      <c r="AA185" s="241"/>
      <c r="AB185" s="275"/>
      <c r="AC185" s="524"/>
      <c r="AD185" s="241"/>
      <c r="AE185" s="241"/>
      <c r="AF185" s="241"/>
      <c r="AG185" s="241"/>
      <c r="AH185" s="241"/>
      <c r="AI185" s="241"/>
      <c r="AJ185" s="529"/>
      <c r="AK185" s="258"/>
      <c r="AL185" s="241"/>
      <c r="AM185" s="242"/>
      <c r="AN185" s="241"/>
      <c r="AO185" s="242"/>
      <c r="AP185" s="241"/>
      <c r="AQ185" s="242"/>
      <c r="AR185" s="241"/>
      <c r="AS185" s="242"/>
      <c r="AT185" s="241"/>
      <c r="AU185" s="241"/>
      <c r="AV185" s="256"/>
      <c r="AW185" s="241"/>
      <c r="AX185" s="256"/>
      <c r="AY185" s="241"/>
      <c r="AZ185" s="256"/>
      <c r="BA185" s="239"/>
      <c r="BB185" s="242"/>
      <c r="BC185" s="239"/>
      <c r="BD185" s="242"/>
      <c r="BE185" s="239"/>
      <c r="BF185" s="241"/>
      <c r="BG185" s="239"/>
      <c r="BH185" s="241"/>
      <c r="BI185" s="260"/>
      <c r="BJ185" s="241"/>
      <c r="BK185" s="260"/>
      <c r="BL185" s="239"/>
      <c r="BM185" s="256"/>
      <c r="BN185" s="241"/>
      <c r="BO185" s="243"/>
      <c r="BP185" s="241"/>
      <c r="BQ185" s="239"/>
      <c r="BR185" s="276"/>
      <c r="BS185" s="256"/>
      <c r="BT185" s="260"/>
      <c r="BU185" s="261"/>
      <c r="BV185" s="260"/>
      <c r="BW185" s="239"/>
      <c r="BX185" s="260"/>
      <c r="BY185" s="260"/>
      <c r="BZ185" s="239"/>
      <c r="CA185" s="260"/>
      <c r="CB185" s="239"/>
      <c r="CC185" s="260"/>
      <c r="CD185" s="539"/>
      <c r="CE185" s="239"/>
      <c r="CF185" s="276"/>
      <c r="CG185" s="256"/>
      <c r="CH185" s="259"/>
      <c r="CI185" s="347"/>
      <c r="CJ185" s="540"/>
      <c r="CK185" s="256"/>
      <c r="CL185" s="244">
        <v>1</v>
      </c>
      <c r="CM185" s="274">
        <f t="shared" si="2"/>
        <v>2015</v>
      </c>
      <c r="CN185" s="244">
        <f>IF('Grille de saisie'!CM185&lt;18,0,IF('Grille de saisie'!CM185&lt;40,1,IF('Grille de saisie'!CM185&lt;65,2,IF('Grille de saisie'!CM185&lt;100,3,4))))</f>
        <v>4</v>
      </c>
      <c r="CO185" s="236">
        <f>IF(AND('Grille de saisie'!C185=1,'Grille de saisie'!BZ185=0),1,IF(AND('Grille de saisie'!C185="",'Grille de saisie'!BZ185=""),3,IF(AND('Grille de saisie'!C185=5),3,2)))</f>
        <v>3</v>
      </c>
      <c r="CP185" s="236">
        <f>IF(AND('Grille de saisie'!C185=1,'Grille de saisie'!BZ185=0),1,IF(AND('Grille de saisie'!C185=1,'Grille de saisie'!BZ185=1),2,IF(AND('Grille de saisie'!C185=2,'Grille de saisie'!BZ185=0),2,IF(AND('Grille de saisie'!C185=3,'Grille de saisie'!BZ185=0),3,IF(AND('Grille de saisie'!C185=2,'Grille de saisie'!BZ185=1),3,IF(AND('Grille de saisie'!C185=1,'Grille de saisie'!BZ185=2),3,IF(AND('Grille de saisie'!C185="",'Grille de saisie'!BZ185=""),5,IF(AND('Grille de saisie'!C185=5),5,4))))))))</f>
        <v>5</v>
      </c>
      <c r="CQ185" s="237">
        <f>IF('Grille de saisie'!BZ185="",3,IF('Grille de saisie'!C185=5,3,IF('Grille de saisie'!BZ185=0,1,2)))</f>
        <v>3</v>
      </c>
    </row>
    <row r="186" spans="1:95" ht="15">
      <c r="A186" s="511">
        <v>184</v>
      </c>
      <c r="B186" s="240"/>
      <c r="C186" s="513"/>
      <c r="D186" s="240"/>
      <c r="E186" s="517"/>
      <c r="F186" s="265"/>
      <c r="G186" s="513"/>
      <c r="H186" s="265"/>
      <c r="I186" s="520"/>
      <c r="J186" s="241"/>
      <c r="K186" s="520"/>
      <c r="L186" s="241"/>
      <c r="M186" s="521"/>
      <c r="N186" s="241"/>
      <c r="O186" s="521"/>
      <c r="P186" s="241"/>
      <c r="Q186" s="520"/>
      <c r="R186" s="241"/>
      <c r="S186" s="520"/>
      <c r="T186" s="241"/>
      <c r="U186" s="520"/>
      <c r="V186" s="241"/>
      <c r="W186" s="242"/>
      <c r="X186" s="241"/>
      <c r="Y186" s="242"/>
      <c r="Z186" s="241"/>
      <c r="AA186" s="241"/>
      <c r="AB186" s="275"/>
      <c r="AC186" s="524"/>
      <c r="AD186" s="241"/>
      <c r="AE186" s="241"/>
      <c r="AF186" s="241"/>
      <c r="AG186" s="241"/>
      <c r="AH186" s="241"/>
      <c r="AI186" s="241"/>
      <c r="AJ186" s="529"/>
      <c r="AK186" s="258"/>
      <c r="AL186" s="241"/>
      <c r="AM186" s="242"/>
      <c r="AN186" s="241"/>
      <c r="AO186" s="242"/>
      <c r="AP186" s="241"/>
      <c r="AQ186" s="242"/>
      <c r="AR186" s="241"/>
      <c r="AS186" s="242"/>
      <c r="AT186" s="241"/>
      <c r="AU186" s="241"/>
      <c r="AV186" s="256"/>
      <c r="AW186" s="241"/>
      <c r="AX186" s="256"/>
      <c r="AY186" s="241"/>
      <c r="AZ186" s="256"/>
      <c r="BA186" s="239"/>
      <c r="BB186" s="242"/>
      <c r="BC186" s="239"/>
      <c r="BD186" s="242"/>
      <c r="BE186" s="239"/>
      <c r="BF186" s="241"/>
      <c r="BG186" s="239"/>
      <c r="BH186" s="241"/>
      <c r="BI186" s="260"/>
      <c r="BJ186" s="241"/>
      <c r="BK186" s="260"/>
      <c r="BL186" s="239"/>
      <c r="BM186" s="256"/>
      <c r="BN186" s="241"/>
      <c r="BO186" s="243"/>
      <c r="BP186" s="241"/>
      <c r="BQ186" s="239"/>
      <c r="BR186" s="276"/>
      <c r="BS186" s="256"/>
      <c r="BT186" s="260"/>
      <c r="BU186" s="261"/>
      <c r="BV186" s="260"/>
      <c r="BW186" s="239"/>
      <c r="BX186" s="260"/>
      <c r="BY186" s="260"/>
      <c r="BZ186" s="239"/>
      <c r="CA186" s="260"/>
      <c r="CB186" s="239"/>
      <c r="CC186" s="260"/>
      <c r="CD186" s="539"/>
      <c r="CE186" s="239"/>
      <c r="CF186" s="276"/>
      <c r="CG186" s="256"/>
      <c r="CH186" s="259"/>
      <c r="CI186" s="347"/>
      <c r="CJ186" s="540"/>
      <c r="CK186" s="256"/>
      <c r="CL186" s="244">
        <v>1</v>
      </c>
      <c r="CM186" s="274">
        <f t="shared" si="2"/>
        <v>2015</v>
      </c>
      <c r="CN186" s="244">
        <f>IF('Grille de saisie'!CM186&lt;18,0,IF('Grille de saisie'!CM186&lt;40,1,IF('Grille de saisie'!CM186&lt;65,2,IF('Grille de saisie'!CM186&lt;100,3,4))))</f>
        <v>4</v>
      </c>
      <c r="CO186" s="236">
        <f>IF(AND('Grille de saisie'!C186=1,'Grille de saisie'!BZ186=0),1,IF(AND('Grille de saisie'!C186="",'Grille de saisie'!BZ186=""),3,IF(AND('Grille de saisie'!C186=5),3,2)))</f>
        <v>3</v>
      </c>
      <c r="CP186" s="236">
        <f>IF(AND('Grille de saisie'!C186=1,'Grille de saisie'!BZ186=0),1,IF(AND('Grille de saisie'!C186=1,'Grille de saisie'!BZ186=1),2,IF(AND('Grille de saisie'!C186=2,'Grille de saisie'!BZ186=0),2,IF(AND('Grille de saisie'!C186=3,'Grille de saisie'!BZ186=0),3,IF(AND('Grille de saisie'!C186=2,'Grille de saisie'!BZ186=1),3,IF(AND('Grille de saisie'!C186=1,'Grille de saisie'!BZ186=2),3,IF(AND('Grille de saisie'!C186="",'Grille de saisie'!BZ186=""),5,IF(AND('Grille de saisie'!C186=5),5,4))))))))</f>
        <v>5</v>
      </c>
      <c r="CQ186" s="237">
        <f>IF('Grille de saisie'!BZ186="",3,IF('Grille de saisie'!C186=5,3,IF('Grille de saisie'!BZ186=0,1,2)))</f>
        <v>3</v>
      </c>
    </row>
    <row r="187" spans="1:95" ht="15">
      <c r="A187" s="510">
        <v>185</v>
      </c>
      <c r="B187" s="240"/>
      <c r="C187" s="513"/>
      <c r="D187" s="240"/>
      <c r="E187" s="517"/>
      <c r="F187" s="265"/>
      <c r="G187" s="513"/>
      <c r="H187" s="265"/>
      <c r="I187" s="520"/>
      <c r="J187" s="241"/>
      <c r="K187" s="520"/>
      <c r="L187" s="241"/>
      <c r="M187" s="521"/>
      <c r="N187" s="241"/>
      <c r="O187" s="521"/>
      <c r="P187" s="241"/>
      <c r="Q187" s="520"/>
      <c r="R187" s="241"/>
      <c r="S187" s="520"/>
      <c r="T187" s="241"/>
      <c r="U187" s="520"/>
      <c r="V187" s="241"/>
      <c r="W187" s="242"/>
      <c r="X187" s="241"/>
      <c r="Y187" s="242"/>
      <c r="Z187" s="241"/>
      <c r="AA187" s="241"/>
      <c r="AB187" s="275"/>
      <c r="AC187" s="524"/>
      <c r="AD187" s="241"/>
      <c r="AE187" s="241"/>
      <c r="AF187" s="241"/>
      <c r="AG187" s="241"/>
      <c r="AH187" s="241"/>
      <c r="AI187" s="241"/>
      <c r="AJ187" s="529"/>
      <c r="AK187" s="258"/>
      <c r="AL187" s="241"/>
      <c r="AM187" s="242"/>
      <c r="AN187" s="241"/>
      <c r="AO187" s="242"/>
      <c r="AP187" s="241"/>
      <c r="AQ187" s="242"/>
      <c r="AR187" s="241"/>
      <c r="AS187" s="242"/>
      <c r="AT187" s="241"/>
      <c r="AU187" s="241"/>
      <c r="AV187" s="256"/>
      <c r="AW187" s="241"/>
      <c r="AX187" s="256"/>
      <c r="AY187" s="241"/>
      <c r="AZ187" s="256"/>
      <c r="BA187" s="239"/>
      <c r="BB187" s="242"/>
      <c r="BC187" s="239"/>
      <c r="BD187" s="242"/>
      <c r="BE187" s="239"/>
      <c r="BF187" s="241"/>
      <c r="BG187" s="239"/>
      <c r="BH187" s="241"/>
      <c r="BI187" s="260"/>
      <c r="BJ187" s="241"/>
      <c r="BK187" s="260"/>
      <c r="BL187" s="239"/>
      <c r="BM187" s="256"/>
      <c r="BN187" s="241"/>
      <c r="BO187" s="243"/>
      <c r="BP187" s="241"/>
      <c r="BQ187" s="239"/>
      <c r="BR187" s="276"/>
      <c r="BS187" s="256"/>
      <c r="BT187" s="260"/>
      <c r="BU187" s="261"/>
      <c r="BV187" s="260"/>
      <c r="BW187" s="239"/>
      <c r="BX187" s="260"/>
      <c r="BY187" s="260"/>
      <c r="BZ187" s="239"/>
      <c r="CA187" s="260"/>
      <c r="CB187" s="239"/>
      <c r="CC187" s="260"/>
      <c r="CD187" s="539"/>
      <c r="CE187" s="239"/>
      <c r="CF187" s="276"/>
      <c r="CG187" s="256"/>
      <c r="CH187" s="259"/>
      <c r="CI187" s="347"/>
      <c r="CJ187" s="540"/>
      <c r="CK187" s="256"/>
      <c r="CL187" s="244">
        <v>1</v>
      </c>
      <c r="CM187" s="274">
        <f t="shared" si="2"/>
        <v>2015</v>
      </c>
      <c r="CN187" s="244">
        <f>IF('Grille de saisie'!CM187&lt;18,0,IF('Grille de saisie'!CM187&lt;40,1,IF('Grille de saisie'!CM187&lt;65,2,IF('Grille de saisie'!CM187&lt;100,3,4))))</f>
        <v>4</v>
      </c>
      <c r="CO187" s="236">
        <f>IF(AND('Grille de saisie'!C187=1,'Grille de saisie'!BZ187=0),1,IF(AND('Grille de saisie'!C187="",'Grille de saisie'!BZ187=""),3,IF(AND('Grille de saisie'!C187=5),3,2)))</f>
        <v>3</v>
      </c>
      <c r="CP187" s="236">
        <f>IF(AND('Grille de saisie'!C187=1,'Grille de saisie'!BZ187=0),1,IF(AND('Grille de saisie'!C187=1,'Grille de saisie'!BZ187=1),2,IF(AND('Grille de saisie'!C187=2,'Grille de saisie'!BZ187=0),2,IF(AND('Grille de saisie'!C187=3,'Grille de saisie'!BZ187=0),3,IF(AND('Grille de saisie'!C187=2,'Grille de saisie'!BZ187=1),3,IF(AND('Grille de saisie'!C187=1,'Grille de saisie'!BZ187=2),3,IF(AND('Grille de saisie'!C187="",'Grille de saisie'!BZ187=""),5,IF(AND('Grille de saisie'!C187=5),5,4))))))))</f>
        <v>5</v>
      </c>
      <c r="CQ187" s="237">
        <f>IF('Grille de saisie'!BZ187="",3,IF('Grille de saisie'!C187=5,3,IF('Grille de saisie'!BZ187=0,1,2)))</f>
        <v>3</v>
      </c>
    </row>
    <row r="188" spans="1:95" ht="15">
      <c r="A188" s="510">
        <v>186</v>
      </c>
      <c r="B188" s="240"/>
      <c r="C188" s="513"/>
      <c r="D188" s="240"/>
      <c r="E188" s="517"/>
      <c r="F188" s="265"/>
      <c r="G188" s="513"/>
      <c r="H188" s="265"/>
      <c r="I188" s="520"/>
      <c r="J188" s="241"/>
      <c r="K188" s="520"/>
      <c r="L188" s="241"/>
      <c r="M188" s="521"/>
      <c r="N188" s="241"/>
      <c r="O188" s="521"/>
      <c r="P188" s="241"/>
      <c r="Q188" s="520"/>
      <c r="R188" s="241"/>
      <c r="S188" s="520"/>
      <c r="T188" s="241"/>
      <c r="U188" s="520"/>
      <c r="V188" s="241"/>
      <c r="W188" s="242"/>
      <c r="X188" s="241"/>
      <c r="Y188" s="242"/>
      <c r="Z188" s="241"/>
      <c r="AA188" s="241"/>
      <c r="AB188" s="275"/>
      <c r="AC188" s="524"/>
      <c r="AD188" s="241"/>
      <c r="AE188" s="241"/>
      <c r="AF188" s="241"/>
      <c r="AG188" s="241"/>
      <c r="AH188" s="241"/>
      <c r="AI188" s="241"/>
      <c r="AJ188" s="529"/>
      <c r="AK188" s="258"/>
      <c r="AL188" s="241"/>
      <c r="AM188" s="242"/>
      <c r="AN188" s="241"/>
      <c r="AO188" s="242"/>
      <c r="AP188" s="241"/>
      <c r="AQ188" s="242"/>
      <c r="AR188" s="241"/>
      <c r="AS188" s="242"/>
      <c r="AT188" s="241"/>
      <c r="AU188" s="241"/>
      <c r="AV188" s="256"/>
      <c r="AW188" s="241"/>
      <c r="AX188" s="256"/>
      <c r="AY188" s="241"/>
      <c r="AZ188" s="256"/>
      <c r="BA188" s="239"/>
      <c r="BB188" s="242"/>
      <c r="BC188" s="239"/>
      <c r="BD188" s="242"/>
      <c r="BE188" s="239"/>
      <c r="BF188" s="241"/>
      <c r="BG188" s="239"/>
      <c r="BH188" s="241"/>
      <c r="BI188" s="260"/>
      <c r="BJ188" s="241"/>
      <c r="BK188" s="260"/>
      <c r="BL188" s="239"/>
      <c r="BM188" s="256"/>
      <c r="BN188" s="241"/>
      <c r="BO188" s="243"/>
      <c r="BP188" s="241"/>
      <c r="BQ188" s="239"/>
      <c r="BR188" s="276"/>
      <c r="BS188" s="256"/>
      <c r="BT188" s="260"/>
      <c r="BU188" s="261"/>
      <c r="BV188" s="260"/>
      <c r="BW188" s="239"/>
      <c r="BX188" s="260"/>
      <c r="BY188" s="260"/>
      <c r="BZ188" s="239"/>
      <c r="CA188" s="260"/>
      <c r="CB188" s="239"/>
      <c r="CC188" s="260"/>
      <c r="CD188" s="539"/>
      <c r="CE188" s="239"/>
      <c r="CF188" s="276"/>
      <c r="CG188" s="256"/>
      <c r="CH188" s="259"/>
      <c r="CI188" s="347"/>
      <c r="CJ188" s="540"/>
      <c r="CK188" s="256"/>
      <c r="CL188" s="244">
        <v>1</v>
      </c>
      <c r="CM188" s="274">
        <f t="shared" si="2"/>
        <v>2015</v>
      </c>
      <c r="CN188" s="244">
        <f>IF('Grille de saisie'!CM188&lt;18,0,IF('Grille de saisie'!CM188&lt;40,1,IF('Grille de saisie'!CM188&lt;65,2,IF('Grille de saisie'!CM188&lt;100,3,4))))</f>
        <v>4</v>
      </c>
      <c r="CO188" s="236">
        <f>IF(AND('Grille de saisie'!C188=1,'Grille de saisie'!BZ188=0),1,IF(AND('Grille de saisie'!C188="",'Grille de saisie'!BZ188=""),3,IF(AND('Grille de saisie'!C188=5),3,2)))</f>
        <v>3</v>
      </c>
      <c r="CP188" s="236">
        <f>IF(AND('Grille de saisie'!C188=1,'Grille de saisie'!BZ188=0),1,IF(AND('Grille de saisie'!C188=1,'Grille de saisie'!BZ188=1),2,IF(AND('Grille de saisie'!C188=2,'Grille de saisie'!BZ188=0),2,IF(AND('Grille de saisie'!C188=3,'Grille de saisie'!BZ188=0),3,IF(AND('Grille de saisie'!C188=2,'Grille de saisie'!BZ188=1),3,IF(AND('Grille de saisie'!C188=1,'Grille de saisie'!BZ188=2),3,IF(AND('Grille de saisie'!C188="",'Grille de saisie'!BZ188=""),5,IF(AND('Grille de saisie'!C188=5),5,4))))))))</f>
        <v>5</v>
      </c>
      <c r="CQ188" s="237">
        <f>IF('Grille de saisie'!BZ188="",3,IF('Grille de saisie'!C188=5,3,IF('Grille de saisie'!BZ188=0,1,2)))</f>
        <v>3</v>
      </c>
    </row>
    <row r="189" spans="1:95" ht="15">
      <c r="A189" s="511">
        <v>187</v>
      </c>
      <c r="B189" s="240"/>
      <c r="C189" s="513"/>
      <c r="D189" s="240"/>
      <c r="E189" s="517"/>
      <c r="F189" s="265"/>
      <c r="G189" s="513"/>
      <c r="H189" s="265"/>
      <c r="I189" s="520"/>
      <c r="J189" s="241"/>
      <c r="K189" s="520"/>
      <c r="L189" s="241"/>
      <c r="M189" s="521"/>
      <c r="N189" s="241"/>
      <c r="O189" s="521"/>
      <c r="P189" s="241"/>
      <c r="Q189" s="520"/>
      <c r="R189" s="241"/>
      <c r="S189" s="520"/>
      <c r="T189" s="241"/>
      <c r="U189" s="520"/>
      <c r="V189" s="241"/>
      <c r="W189" s="242"/>
      <c r="X189" s="241"/>
      <c r="Y189" s="242"/>
      <c r="Z189" s="241"/>
      <c r="AA189" s="241"/>
      <c r="AB189" s="275"/>
      <c r="AC189" s="524"/>
      <c r="AD189" s="241"/>
      <c r="AE189" s="241"/>
      <c r="AF189" s="241"/>
      <c r="AG189" s="241"/>
      <c r="AH189" s="241"/>
      <c r="AI189" s="241"/>
      <c r="AJ189" s="529"/>
      <c r="AK189" s="258"/>
      <c r="AL189" s="241"/>
      <c r="AM189" s="242"/>
      <c r="AN189" s="241"/>
      <c r="AO189" s="242"/>
      <c r="AP189" s="241"/>
      <c r="AQ189" s="242"/>
      <c r="AR189" s="241"/>
      <c r="AS189" s="242"/>
      <c r="AT189" s="241"/>
      <c r="AU189" s="241"/>
      <c r="AV189" s="256"/>
      <c r="AW189" s="241"/>
      <c r="AX189" s="256"/>
      <c r="AY189" s="241"/>
      <c r="AZ189" s="256"/>
      <c r="BA189" s="239"/>
      <c r="BB189" s="242"/>
      <c r="BC189" s="239"/>
      <c r="BD189" s="242"/>
      <c r="BE189" s="239"/>
      <c r="BF189" s="241"/>
      <c r="BG189" s="239"/>
      <c r="BH189" s="241"/>
      <c r="BI189" s="260"/>
      <c r="BJ189" s="241"/>
      <c r="BK189" s="260"/>
      <c r="BL189" s="239"/>
      <c r="BM189" s="256"/>
      <c r="BN189" s="241"/>
      <c r="BO189" s="243"/>
      <c r="BP189" s="241"/>
      <c r="BQ189" s="239"/>
      <c r="BR189" s="276"/>
      <c r="BS189" s="256"/>
      <c r="BT189" s="260"/>
      <c r="BU189" s="261"/>
      <c r="BV189" s="260"/>
      <c r="BW189" s="239"/>
      <c r="BX189" s="260"/>
      <c r="BY189" s="260"/>
      <c r="BZ189" s="239"/>
      <c r="CA189" s="260"/>
      <c r="CB189" s="239"/>
      <c r="CC189" s="260"/>
      <c r="CD189" s="539"/>
      <c r="CE189" s="239"/>
      <c r="CF189" s="276"/>
      <c r="CG189" s="256"/>
      <c r="CH189" s="259"/>
      <c r="CI189" s="347"/>
      <c r="CJ189" s="540"/>
      <c r="CK189" s="256"/>
      <c r="CL189" s="244">
        <v>1</v>
      </c>
      <c r="CM189" s="274">
        <f t="shared" si="2"/>
        <v>2015</v>
      </c>
      <c r="CN189" s="244">
        <f>IF('Grille de saisie'!CM189&lt;18,0,IF('Grille de saisie'!CM189&lt;40,1,IF('Grille de saisie'!CM189&lt;65,2,IF('Grille de saisie'!CM189&lt;100,3,4))))</f>
        <v>4</v>
      </c>
      <c r="CO189" s="236">
        <f>IF(AND('Grille de saisie'!C189=1,'Grille de saisie'!BZ189=0),1,IF(AND('Grille de saisie'!C189="",'Grille de saisie'!BZ189=""),3,IF(AND('Grille de saisie'!C189=5),3,2)))</f>
        <v>3</v>
      </c>
      <c r="CP189" s="236">
        <f>IF(AND('Grille de saisie'!C189=1,'Grille de saisie'!BZ189=0),1,IF(AND('Grille de saisie'!C189=1,'Grille de saisie'!BZ189=1),2,IF(AND('Grille de saisie'!C189=2,'Grille de saisie'!BZ189=0),2,IF(AND('Grille de saisie'!C189=3,'Grille de saisie'!BZ189=0),3,IF(AND('Grille de saisie'!C189=2,'Grille de saisie'!BZ189=1),3,IF(AND('Grille de saisie'!C189=1,'Grille de saisie'!BZ189=2),3,IF(AND('Grille de saisie'!C189="",'Grille de saisie'!BZ189=""),5,IF(AND('Grille de saisie'!C189=5),5,4))))))))</f>
        <v>5</v>
      </c>
      <c r="CQ189" s="237">
        <f>IF('Grille de saisie'!BZ189="",3,IF('Grille de saisie'!C189=5,3,IF('Grille de saisie'!BZ189=0,1,2)))</f>
        <v>3</v>
      </c>
    </row>
    <row r="190" spans="1:95" ht="15">
      <c r="A190" s="510">
        <v>188</v>
      </c>
      <c r="B190" s="240"/>
      <c r="C190" s="513"/>
      <c r="D190" s="240"/>
      <c r="E190" s="517"/>
      <c r="F190" s="265"/>
      <c r="G190" s="513"/>
      <c r="H190" s="265"/>
      <c r="I190" s="520"/>
      <c r="J190" s="241"/>
      <c r="K190" s="520"/>
      <c r="L190" s="241"/>
      <c r="M190" s="521"/>
      <c r="N190" s="241"/>
      <c r="O190" s="521"/>
      <c r="P190" s="241"/>
      <c r="Q190" s="520"/>
      <c r="R190" s="241"/>
      <c r="S190" s="520"/>
      <c r="T190" s="241"/>
      <c r="U190" s="520"/>
      <c r="V190" s="241"/>
      <c r="W190" s="242"/>
      <c r="X190" s="241"/>
      <c r="Y190" s="242"/>
      <c r="Z190" s="241"/>
      <c r="AA190" s="241"/>
      <c r="AB190" s="275"/>
      <c r="AC190" s="524"/>
      <c r="AD190" s="241"/>
      <c r="AE190" s="241"/>
      <c r="AF190" s="241"/>
      <c r="AG190" s="241"/>
      <c r="AH190" s="241"/>
      <c r="AI190" s="241"/>
      <c r="AJ190" s="529"/>
      <c r="AK190" s="258"/>
      <c r="AL190" s="241"/>
      <c r="AM190" s="242"/>
      <c r="AN190" s="241"/>
      <c r="AO190" s="242"/>
      <c r="AP190" s="241"/>
      <c r="AQ190" s="242"/>
      <c r="AR190" s="241"/>
      <c r="AS190" s="242"/>
      <c r="AT190" s="241"/>
      <c r="AU190" s="241"/>
      <c r="AV190" s="256"/>
      <c r="AW190" s="241"/>
      <c r="AX190" s="256"/>
      <c r="AY190" s="241"/>
      <c r="AZ190" s="256"/>
      <c r="BA190" s="239"/>
      <c r="BB190" s="242"/>
      <c r="BC190" s="239"/>
      <c r="BD190" s="242"/>
      <c r="BE190" s="239"/>
      <c r="BF190" s="241"/>
      <c r="BG190" s="239"/>
      <c r="BH190" s="241"/>
      <c r="BI190" s="260"/>
      <c r="BJ190" s="241"/>
      <c r="BK190" s="260"/>
      <c r="BL190" s="239"/>
      <c r="BM190" s="256"/>
      <c r="BN190" s="241"/>
      <c r="BO190" s="243"/>
      <c r="BP190" s="241"/>
      <c r="BQ190" s="239"/>
      <c r="BR190" s="276"/>
      <c r="BS190" s="256"/>
      <c r="BT190" s="260"/>
      <c r="BU190" s="261"/>
      <c r="BV190" s="260"/>
      <c r="BW190" s="239"/>
      <c r="BX190" s="260"/>
      <c r="BY190" s="260"/>
      <c r="BZ190" s="239"/>
      <c r="CA190" s="260"/>
      <c r="CB190" s="239"/>
      <c r="CC190" s="260"/>
      <c r="CD190" s="539"/>
      <c r="CE190" s="239"/>
      <c r="CF190" s="276"/>
      <c r="CG190" s="256"/>
      <c r="CH190" s="259"/>
      <c r="CI190" s="347"/>
      <c r="CJ190" s="540"/>
      <c r="CK190" s="256"/>
      <c r="CL190" s="244">
        <v>1</v>
      </c>
      <c r="CM190" s="274">
        <f t="shared" si="2"/>
        <v>2015</v>
      </c>
      <c r="CN190" s="244">
        <f>IF('Grille de saisie'!CM190&lt;18,0,IF('Grille de saisie'!CM190&lt;40,1,IF('Grille de saisie'!CM190&lt;65,2,IF('Grille de saisie'!CM190&lt;100,3,4))))</f>
        <v>4</v>
      </c>
      <c r="CO190" s="236">
        <f>IF(AND('Grille de saisie'!C190=1,'Grille de saisie'!BZ190=0),1,IF(AND('Grille de saisie'!C190="",'Grille de saisie'!BZ190=""),3,IF(AND('Grille de saisie'!C190=5),3,2)))</f>
        <v>3</v>
      </c>
      <c r="CP190" s="236">
        <f>IF(AND('Grille de saisie'!C190=1,'Grille de saisie'!BZ190=0),1,IF(AND('Grille de saisie'!C190=1,'Grille de saisie'!BZ190=1),2,IF(AND('Grille de saisie'!C190=2,'Grille de saisie'!BZ190=0),2,IF(AND('Grille de saisie'!C190=3,'Grille de saisie'!BZ190=0),3,IF(AND('Grille de saisie'!C190=2,'Grille de saisie'!BZ190=1),3,IF(AND('Grille de saisie'!C190=1,'Grille de saisie'!BZ190=2),3,IF(AND('Grille de saisie'!C190="",'Grille de saisie'!BZ190=""),5,IF(AND('Grille de saisie'!C190=5),5,4))))))))</f>
        <v>5</v>
      </c>
      <c r="CQ190" s="237">
        <f>IF('Grille de saisie'!BZ190="",3,IF('Grille de saisie'!C190=5,3,IF('Grille de saisie'!BZ190=0,1,2)))</f>
        <v>3</v>
      </c>
    </row>
    <row r="191" spans="1:95" ht="15">
      <c r="A191" s="510">
        <v>189</v>
      </c>
      <c r="B191" s="240"/>
      <c r="C191" s="513"/>
      <c r="D191" s="240"/>
      <c r="E191" s="517"/>
      <c r="F191" s="265"/>
      <c r="G191" s="513"/>
      <c r="H191" s="265"/>
      <c r="I191" s="520"/>
      <c r="J191" s="241"/>
      <c r="K191" s="520"/>
      <c r="L191" s="241"/>
      <c r="M191" s="521"/>
      <c r="N191" s="241"/>
      <c r="O191" s="521"/>
      <c r="P191" s="241"/>
      <c r="Q191" s="520"/>
      <c r="R191" s="241"/>
      <c r="S191" s="520"/>
      <c r="T191" s="241"/>
      <c r="U191" s="520"/>
      <c r="V191" s="241"/>
      <c r="W191" s="242"/>
      <c r="X191" s="241"/>
      <c r="Y191" s="242"/>
      <c r="Z191" s="241"/>
      <c r="AA191" s="241"/>
      <c r="AB191" s="275"/>
      <c r="AC191" s="524"/>
      <c r="AD191" s="241"/>
      <c r="AE191" s="241"/>
      <c r="AF191" s="241"/>
      <c r="AG191" s="241"/>
      <c r="AH191" s="241"/>
      <c r="AI191" s="241"/>
      <c r="AJ191" s="529"/>
      <c r="AK191" s="258"/>
      <c r="AL191" s="241"/>
      <c r="AM191" s="242"/>
      <c r="AN191" s="241"/>
      <c r="AO191" s="242"/>
      <c r="AP191" s="241"/>
      <c r="AQ191" s="242"/>
      <c r="AR191" s="241"/>
      <c r="AS191" s="242"/>
      <c r="AT191" s="241"/>
      <c r="AU191" s="241"/>
      <c r="AV191" s="256"/>
      <c r="AW191" s="241"/>
      <c r="AX191" s="256"/>
      <c r="AY191" s="241"/>
      <c r="AZ191" s="256"/>
      <c r="BA191" s="239"/>
      <c r="BB191" s="242"/>
      <c r="BC191" s="239"/>
      <c r="BD191" s="242"/>
      <c r="BE191" s="239"/>
      <c r="BF191" s="241"/>
      <c r="BG191" s="239"/>
      <c r="BH191" s="241"/>
      <c r="BI191" s="260"/>
      <c r="BJ191" s="241"/>
      <c r="BK191" s="260"/>
      <c r="BL191" s="239"/>
      <c r="BM191" s="256"/>
      <c r="BN191" s="241"/>
      <c r="BO191" s="243"/>
      <c r="BP191" s="241"/>
      <c r="BQ191" s="239"/>
      <c r="BR191" s="276"/>
      <c r="BS191" s="256"/>
      <c r="BT191" s="260"/>
      <c r="BU191" s="261"/>
      <c r="BV191" s="260"/>
      <c r="BW191" s="239"/>
      <c r="BX191" s="260"/>
      <c r="BY191" s="260"/>
      <c r="BZ191" s="239"/>
      <c r="CA191" s="260"/>
      <c r="CB191" s="239"/>
      <c r="CC191" s="260"/>
      <c r="CD191" s="539"/>
      <c r="CE191" s="239"/>
      <c r="CF191" s="276"/>
      <c r="CG191" s="256"/>
      <c r="CH191" s="259"/>
      <c r="CI191" s="347"/>
      <c r="CJ191" s="540"/>
      <c r="CK191" s="256"/>
      <c r="CL191" s="244">
        <v>1</v>
      </c>
      <c r="CM191" s="274">
        <f t="shared" si="2"/>
        <v>2015</v>
      </c>
      <c r="CN191" s="244">
        <f>IF('Grille de saisie'!CM191&lt;18,0,IF('Grille de saisie'!CM191&lt;40,1,IF('Grille de saisie'!CM191&lt;65,2,IF('Grille de saisie'!CM191&lt;100,3,4))))</f>
        <v>4</v>
      </c>
      <c r="CO191" s="236">
        <f>IF(AND('Grille de saisie'!C191=1,'Grille de saisie'!BZ191=0),1,IF(AND('Grille de saisie'!C191="",'Grille de saisie'!BZ191=""),3,IF(AND('Grille de saisie'!C191=5),3,2)))</f>
        <v>3</v>
      </c>
      <c r="CP191" s="236">
        <f>IF(AND('Grille de saisie'!C191=1,'Grille de saisie'!BZ191=0),1,IF(AND('Grille de saisie'!C191=1,'Grille de saisie'!BZ191=1),2,IF(AND('Grille de saisie'!C191=2,'Grille de saisie'!BZ191=0),2,IF(AND('Grille de saisie'!C191=3,'Grille de saisie'!BZ191=0),3,IF(AND('Grille de saisie'!C191=2,'Grille de saisie'!BZ191=1),3,IF(AND('Grille de saisie'!C191=1,'Grille de saisie'!BZ191=2),3,IF(AND('Grille de saisie'!C191="",'Grille de saisie'!BZ191=""),5,IF(AND('Grille de saisie'!C191=5),5,4))))))))</f>
        <v>5</v>
      </c>
      <c r="CQ191" s="237">
        <f>IF('Grille de saisie'!BZ191="",3,IF('Grille de saisie'!C191=5,3,IF('Grille de saisie'!BZ191=0,1,2)))</f>
        <v>3</v>
      </c>
    </row>
    <row r="192" spans="1:95" ht="15">
      <c r="A192" s="511">
        <v>190</v>
      </c>
      <c r="B192" s="240"/>
      <c r="C192" s="513"/>
      <c r="D192" s="240"/>
      <c r="E192" s="517"/>
      <c r="F192" s="265"/>
      <c r="G192" s="513"/>
      <c r="H192" s="265"/>
      <c r="I192" s="520"/>
      <c r="J192" s="241"/>
      <c r="K192" s="520"/>
      <c r="L192" s="241"/>
      <c r="M192" s="521"/>
      <c r="N192" s="241"/>
      <c r="O192" s="521"/>
      <c r="P192" s="241"/>
      <c r="Q192" s="520"/>
      <c r="R192" s="241"/>
      <c r="S192" s="520"/>
      <c r="T192" s="241"/>
      <c r="U192" s="520"/>
      <c r="V192" s="241"/>
      <c r="W192" s="242"/>
      <c r="X192" s="241"/>
      <c r="Y192" s="242"/>
      <c r="Z192" s="241"/>
      <c r="AA192" s="241"/>
      <c r="AB192" s="275"/>
      <c r="AC192" s="524"/>
      <c r="AD192" s="241"/>
      <c r="AE192" s="241"/>
      <c r="AF192" s="241"/>
      <c r="AG192" s="241"/>
      <c r="AH192" s="241"/>
      <c r="AI192" s="241"/>
      <c r="AJ192" s="529"/>
      <c r="AK192" s="258"/>
      <c r="AL192" s="241"/>
      <c r="AM192" s="242"/>
      <c r="AN192" s="241"/>
      <c r="AO192" s="242"/>
      <c r="AP192" s="241"/>
      <c r="AQ192" s="242"/>
      <c r="AR192" s="241"/>
      <c r="AS192" s="242"/>
      <c r="AT192" s="241"/>
      <c r="AU192" s="241"/>
      <c r="AV192" s="256"/>
      <c r="AW192" s="241"/>
      <c r="AX192" s="256"/>
      <c r="AY192" s="241"/>
      <c r="AZ192" s="256"/>
      <c r="BA192" s="239"/>
      <c r="BB192" s="242"/>
      <c r="BC192" s="239"/>
      <c r="BD192" s="242"/>
      <c r="BE192" s="239"/>
      <c r="BF192" s="241"/>
      <c r="BG192" s="239"/>
      <c r="BH192" s="241"/>
      <c r="BI192" s="260"/>
      <c r="BJ192" s="241"/>
      <c r="BK192" s="260"/>
      <c r="BL192" s="239"/>
      <c r="BM192" s="256"/>
      <c r="BN192" s="241"/>
      <c r="BO192" s="243"/>
      <c r="BP192" s="241"/>
      <c r="BQ192" s="239"/>
      <c r="BR192" s="276"/>
      <c r="BS192" s="256"/>
      <c r="BT192" s="260"/>
      <c r="BU192" s="261"/>
      <c r="BV192" s="260"/>
      <c r="BW192" s="239"/>
      <c r="BX192" s="260"/>
      <c r="BY192" s="260"/>
      <c r="BZ192" s="239"/>
      <c r="CA192" s="260"/>
      <c r="CB192" s="239"/>
      <c r="CC192" s="260"/>
      <c r="CD192" s="539"/>
      <c r="CE192" s="239"/>
      <c r="CF192" s="276"/>
      <c r="CG192" s="256"/>
      <c r="CH192" s="259"/>
      <c r="CI192" s="347"/>
      <c r="CJ192" s="540"/>
      <c r="CK192" s="256"/>
      <c r="CL192" s="244">
        <v>1</v>
      </c>
      <c r="CM192" s="274">
        <f t="shared" si="2"/>
        <v>2015</v>
      </c>
      <c r="CN192" s="244">
        <f>IF('Grille de saisie'!CM192&lt;18,0,IF('Grille de saisie'!CM192&lt;40,1,IF('Grille de saisie'!CM192&lt;65,2,IF('Grille de saisie'!CM192&lt;100,3,4))))</f>
        <v>4</v>
      </c>
      <c r="CO192" s="236">
        <f>IF(AND('Grille de saisie'!C192=1,'Grille de saisie'!BZ192=0),1,IF(AND('Grille de saisie'!C192="",'Grille de saisie'!BZ192=""),3,IF(AND('Grille de saisie'!C192=5),3,2)))</f>
        <v>3</v>
      </c>
      <c r="CP192" s="236">
        <f>IF(AND('Grille de saisie'!C192=1,'Grille de saisie'!BZ192=0),1,IF(AND('Grille de saisie'!C192=1,'Grille de saisie'!BZ192=1),2,IF(AND('Grille de saisie'!C192=2,'Grille de saisie'!BZ192=0),2,IF(AND('Grille de saisie'!C192=3,'Grille de saisie'!BZ192=0),3,IF(AND('Grille de saisie'!C192=2,'Grille de saisie'!BZ192=1),3,IF(AND('Grille de saisie'!C192=1,'Grille de saisie'!BZ192=2),3,IF(AND('Grille de saisie'!C192="",'Grille de saisie'!BZ192=""),5,IF(AND('Grille de saisie'!C192=5),5,4))))))))</f>
        <v>5</v>
      </c>
      <c r="CQ192" s="237">
        <f>IF('Grille de saisie'!BZ192="",3,IF('Grille de saisie'!C192=5,3,IF('Grille de saisie'!BZ192=0,1,2)))</f>
        <v>3</v>
      </c>
    </row>
    <row r="193" spans="1:95" ht="15">
      <c r="A193" s="510">
        <v>191</v>
      </c>
      <c r="B193" s="240"/>
      <c r="C193" s="513"/>
      <c r="D193" s="240"/>
      <c r="E193" s="517"/>
      <c r="F193" s="265"/>
      <c r="G193" s="513"/>
      <c r="H193" s="265"/>
      <c r="I193" s="520"/>
      <c r="J193" s="241"/>
      <c r="K193" s="520"/>
      <c r="L193" s="241"/>
      <c r="M193" s="521"/>
      <c r="N193" s="241"/>
      <c r="O193" s="521"/>
      <c r="P193" s="241"/>
      <c r="Q193" s="520"/>
      <c r="R193" s="241"/>
      <c r="S193" s="520"/>
      <c r="T193" s="241"/>
      <c r="U193" s="520"/>
      <c r="V193" s="241"/>
      <c r="W193" s="242"/>
      <c r="X193" s="241"/>
      <c r="Y193" s="242"/>
      <c r="Z193" s="241"/>
      <c r="AA193" s="241"/>
      <c r="AB193" s="275"/>
      <c r="AC193" s="524"/>
      <c r="AD193" s="241"/>
      <c r="AE193" s="241"/>
      <c r="AF193" s="241"/>
      <c r="AG193" s="241"/>
      <c r="AH193" s="241"/>
      <c r="AI193" s="241"/>
      <c r="AJ193" s="529"/>
      <c r="AK193" s="258"/>
      <c r="AL193" s="241"/>
      <c r="AM193" s="242"/>
      <c r="AN193" s="241"/>
      <c r="AO193" s="242"/>
      <c r="AP193" s="241"/>
      <c r="AQ193" s="242"/>
      <c r="AR193" s="241"/>
      <c r="AS193" s="242"/>
      <c r="AT193" s="241"/>
      <c r="AU193" s="241"/>
      <c r="AV193" s="256"/>
      <c r="AW193" s="241"/>
      <c r="AX193" s="256"/>
      <c r="AY193" s="241"/>
      <c r="AZ193" s="256"/>
      <c r="BA193" s="239"/>
      <c r="BB193" s="242"/>
      <c r="BC193" s="239"/>
      <c r="BD193" s="242"/>
      <c r="BE193" s="239"/>
      <c r="BF193" s="241"/>
      <c r="BG193" s="239"/>
      <c r="BH193" s="241"/>
      <c r="BI193" s="260"/>
      <c r="BJ193" s="241"/>
      <c r="BK193" s="260"/>
      <c r="BL193" s="239"/>
      <c r="BM193" s="256"/>
      <c r="BN193" s="241"/>
      <c r="BO193" s="243"/>
      <c r="BP193" s="241"/>
      <c r="BQ193" s="239"/>
      <c r="BR193" s="276"/>
      <c r="BS193" s="256"/>
      <c r="BT193" s="260"/>
      <c r="BU193" s="261"/>
      <c r="BV193" s="260"/>
      <c r="BW193" s="239"/>
      <c r="BX193" s="260"/>
      <c r="BY193" s="260"/>
      <c r="BZ193" s="239"/>
      <c r="CA193" s="260"/>
      <c r="CB193" s="239"/>
      <c r="CC193" s="260"/>
      <c r="CD193" s="539"/>
      <c r="CE193" s="239"/>
      <c r="CF193" s="276"/>
      <c r="CG193" s="256"/>
      <c r="CH193" s="259"/>
      <c r="CI193" s="347"/>
      <c r="CJ193" s="540"/>
      <c r="CK193" s="256"/>
      <c r="CL193" s="244">
        <v>1</v>
      </c>
      <c r="CM193" s="274">
        <f t="shared" si="2"/>
        <v>2015</v>
      </c>
      <c r="CN193" s="244">
        <f>IF('Grille de saisie'!CM193&lt;18,0,IF('Grille de saisie'!CM193&lt;40,1,IF('Grille de saisie'!CM193&lt;65,2,IF('Grille de saisie'!CM193&lt;100,3,4))))</f>
        <v>4</v>
      </c>
      <c r="CO193" s="236">
        <f>IF(AND('Grille de saisie'!C193=1,'Grille de saisie'!BZ193=0),1,IF(AND('Grille de saisie'!C193="",'Grille de saisie'!BZ193=""),3,IF(AND('Grille de saisie'!C193=5),3,2)))</f>
        <v>3</v>
      </c>
      <c r="CP193" s="236">
        <f>IF(AND('Grille de saisie'!C193=1,'Grille de saisie'!BZ193=0),1,IF(AND('Grille de saisie'!C193=1,'Grille de saisie'!BZ193=1),2,IF(AND('Grille de saisie'!C193=2,'Grille de saisie'!BZ193=0),2,IF(AND('Grille de saisie'!C193=3,'Grille de saisie'!BZ193=0),3,IF(AND('Grille de saisie'!C193=2,'Grille de saisie'!BZ193=1),3,IF(AND('Grille de saisie'!C193=1,'Grille de saisie'!BZ193=2),3,IF(AND('Grille de saisie'!C193="",'Grille de saisie'!BZ193=""),5,IF(AND('Grille de saisie'!C193=5),5,4))))))))</f>
        <v>5</v>
      </c>
      <c r="CQ193" s="237">
        <f>IF('Grille de saisie'!BZ193="",3,IF('Grille de saisie'!C193=5,3,IF('Grille de saisie'!BZ193=0,1,2)))</f>
        <v>3</v>
      </c>
    </row>
    <row r="194" spans="1:95" ht="15">
      <c r="A194" s="510">
        <v>192</v>
      </c>
      <c r="B194" s="240"/>
      <c r="C194" s="513"/>
      <c r="D194" s="240"/>
      <c r="E194" s="517"/>
      <c r="F194" s="265"/>
      <c r="G194" s="513"/>
      <c r="H194" s="265"/>
      <c r="I194" s="520"/>
      <c r="J194" s="241"/>
      <c r="K194" s="520"/>
      <c r="L194" s="241"/>
      <c r="M194" s="521"/>
      <c r="N194" s="241"/>
      <c r="O194" s="521"/>
      <c r="P194" s="241"/>
      <c r="Q194" s="520"/>
      <c r="R194" s="241"/>
      <c r="S194" s="520"/>
      <c r="T194" s="241"/>
      <c r="U194" s="520"/>
      <c r="V194" s="241"/>
      <c r="W194" s="242"/>
      <c r="X194" s="241"/>
      <c r="Y194" s="242"/>
      <c r="Z194" s="241"/>
      <c r="AA194" s="241"/>
      <c r="AB194" s="275"/>
      <c r="AC194" s="524"/>
      <c r="AD194" s="241"/>
      <c r="AE194" s="241"/>
      <c r="AF194" s="241"/>
      <c r="AG194" s="241"/>
      <c r="AH194" s="241"/>
      <c r="AI194" s="241"/>
      <c r="AJ194" s="529"/>
      <c r="AK194" s="258"/>
      <c r="AL194" s="241"/>
      <c r="AM194" s="242"/>
      <c r="AN194" s="241"/>
      <c r="AO194" s="242"/>
      <c r="AP194" s="241"/>
      <c r="AQ194" s="242"/>
      <c r="AR194" s="241"/>
      <c r="AS194" s="242"/>
      <c r="AT194" s="241"/>
      <c r="AU194" s="241"/>
      <c r="AV194" s="256"/>
      <c r="AW194" s="241"/>
      <c r="AX194" s="256"/>
      <c r="AY194" s="241"/>
      <c r="AZ194" s="256"/>
      <c r="BA194" s="239"/>
      <c r="BB194" s="242"/>
      <c r="BC194" s="239"/>
      <c r="BD194" s="242"/>
      <c r="BE194" s="239"/>
      <c r="BF194" s="241"/>
      <c r="BG194" s="239"/>
      <c r="BH194" s="241"/>
      <c r="BI194" s="260"/>
      <c r="BJ194" s="241"/>
      <c r="BK194" s="260"/>
      <c r="BL194" s="239"/>
      <c r="BM194" s="256"/>
      <c r="BN194" s="241"/>
      <c r="BO194" s="243"/>
      <c r="BP194" s="241"/>
      <c r="BQ194" s="239"/>
      <c r="BR194" s="276"/>
      <c r="BS194" s="256"/>
      <c r="BT194" s="260"/>
      <c r="BU194" s="261"/>
      <c r="BV194" s="260"/>
      <c r="BW194" s="239"/>
      <c r="BX194" s="260"/>
      <c r="BY194" s="260"/>
      <c r="BZ194" s="239"/>
      <c r="CA194" s="260"/>
      <c r="CB194" s="239"/>
      <c r="CC194" s="260"/>
      <c r="CD194" s="539"/>
      <c r="CE194" s="239"/>
      <c r="CF194" s="276"/>
      <c r="CG194" s="256"/>
      <c r="CH194" s="259"/>
      <c r="CI194" s="347"/>
      <c r="CJ194" s="540"/>
      <c r="CK194" s="256"/>
      <c r="CL194" s="244">
        <v>1</v>
      </c>
      <c r="CM194" s="274">
        <f t="shared" si="2"/>
        <v>2015</v>
      </c>
      <c r="CN194" s="244">
        <f>IF('Grille de saisie'!CM194&lt;18,0,IF('Grille de saisie'!CM194&lt;40,1,IF('Grille de saisie'!CM194&lt;65,2,IF('Grille de saisie'!CM194&lt;100,3,4))))</f>
        <v>4</v>
      </c>
      <c r="CO194" s="236">
        <f>IF(AND('Grille de saisie'!C194=1,'Grille de saisie'!BZ194=0),1,IF(AND('Grille de saisie'!C194="",'Grille de saisie'!BZ194=""),3,IF(AND('Grille de saisie'!C194=5),3,2)))</f>
        <v>3</v>
      </c>
      <c r="CP194" s="236">
        <f>IF(AND('Grille de saisie'!C194=1,'Grille de saisie'!BZ194=0),1,IF(AND('Grille de saisie'!C194=1,'Grille de saisie'!BZ194=1),2,IF(AND('Grille de saisie'!C194=2,'Grille de saisie'!BZ194=0),2,IF(AND('Grille de saisie'!C194=3,'Grille de saisie'!BZ194=0),3,IF(AND('Grille de saisie'!C194=2,'Grille de saisie'!BZ194=1),3,IF(AND('Grille de saisie'!C194=1,'Grille de saisie'!BZ194=2),3,IF(AND('Grille de saisie'!C194="",'Grille de saisie'!BZ194=""),5,IF(AND('Grille de saisie'!C194=5),5,4))))))))</f>
        <v>5</v>
      </c>
      <c r="CQ194" s="237">
        <f>IF('Grille de saisie'!BZ194="",3,IF('Grille de saisie'!C194=5,3,IF('Grille de saisie'!BZ194=0,1,2)))</f>
        <v>3</v>
      </c>
    </row>
    <row r="195" spans="1:95" ht="15">
      <c r="A195" s="511">
        <v>193</v>
      </c>
      <c r="B195" s="240"/>
      <c r="C195" s="513"/>
      <c r="D195" s="240"/>
      <c r="E195" s="517"/>
      <c r="F195" s="265"/>
      <c r="G195" s="513"/>
      <c r="H195" s="265"/>
      <c r="I195" s="520"/>
      <c r="J195" s="241"/>
      <c r="K195" s="520"/>
      <c r="L195" s="241"/>
      <c r="M195" s="521"/>
      <c r="N195" s="241"/>
      <c r="O195" s="521"/>
      <c r="P195" s="241"/>
      <c r="Q195" s="520"/>
      <c r="R195" s="241"/>
      <c r="S195" s="520"/>
      <c r="T195" s="241"/>
      <c r="U195" s="520"/>
      <c r="V195" s="241"/>
      <c r="W195" s="242"/>
      <c r="X195" s="241"/>
      <c r="Y195" s="242"/>
      <c r="Z195" s="241"/>
      <c r="AA195" s="241"/>
      <c r="AB195" s="275"/>
      <c r="AC195" s="524"/>
      <c r="AD195" s="241"/>
      <c r="AE195" s="241"/>
      <c r="AF195" s="241"/>
      <c r="AG195" s="241"/>
      <c r="AH195" s="241"/>
      <c r="AI195" s="241"/>
      <c r="AJ195" s="529"/>
      <c r="AK195" s="258"/>
      <c r="AL195" s="241"/>
      <c r="AM195" s="242"/>
      <c r="AN195" s="241"/>
      <c r="AO195" s="242"/>
      <c r="AP195" s="241"/>
      <c r="AQ195" s="242"/>
      <c r="AR195" s="241"/>
      <c r="AS195" s="242"/>
      <c r="AT195" s="241"/>
      <c r="AU195" s="241"/>
      <c r="AV195" s="256"/>
      <c r="AW195" s="241"/>
      <c r="AX195" s="256"/>
      <c r="AY195" s="241"/>
      <c r="AZ195" s="256"/>
      <c r="BA195" s="239"/>
      <c r="BB195" s="242"/>
      <c r="BC195" s="239"/>
      <c r="BD195" s="242"/>
      <c r="BE195" s="239"/>
      <c r="BF195" s="241"/>
      <c r="BG195" s="239"/>
      <c r="BH195" s="241"/>
      <c r="BI195" s="260"/>
      <c r="BJ195" s="241"/>
      <c r="BK195" s="260"/>
      <c r="BL195" s="239"/>
      <c r="BM195" s="256"/>
      <c r="BN195" s="241"/>
      <c r="BO195" s="243"/>
      <c r="BP195" s="241"/>
      <c r="BQ195" s="239"/>
      <c r="BR195" s="276"/>
      <c r="BS195" s="256"/>
      <c r="BT195" s="260"/>
      <c r="BU195" s="261"/>
      <c r="BV195" s="260"/>
      <c r="BW195" s="239"/>
      <c r="BX195" s="260"/>
      <c r="BY195" s="260"/>
      <c r="BZ195" s="239"/>
      <c r="CA195" s="260"/>
      <c r="CB195" s="239"/>
      <c r="CC195" s="260"/>
      <c r="CD195" s="539"/>
      <c r="CE195" s="239"/>
      <c r="CF195" s="276"/>
      <c r="CG195" s="256"/>
      <c r="CH195" s="259"/>
      <c r="CI195" s="347"/>
      <c r="CJ195" s="540"/>
      <c r="CK195" s="256"/>
      <c r="CL195" s="244">
        <v>1</v>
      </c>
      <c r="CM195" s="274">
        <f t="shared" si="2"/>
        <v>2015</v>
      </c>
      <c r="CN195" s="244">
        <f>IF('Grille de saisie'!CM195&lt;18,0,IF('Grille de saisie'!CM195&lt;40,1,IF('Grille de saisie'!CM195&lt;65,2,IF('Grille de saisie'!CM195&lt;100,3,4))))</f>
        <v>4</v>
      </c>
      <c r="CO195" s="236">
        <f>IF(AND('Grille de saisie'!C195=1,'Grille de saisie'!BZ195=0),1,IF(AND('Grille de saisie'!C195="",'Grille de saisie'!BZ195=""),3,IF(AND('Grille de saisie'!C195=5),3,2)))</f>
        <v>3</v>
      </c>
      <c r="CP195" s="236">
        <f>IF(AND('Grille de saisie'!C195=1,'Grille de saisie'!BZ195=0),1,IF(AND('Grille de saisie'!C195=1,'Grille de saisie'!BZ195=1),2,IF(AND('Grille de saisie'!C195=2,'Grille de saisie'!BZ195=0),2,IF(AND('Grille de saisie'!C195=3,'Grille de saisie'!BZ195=0),3,IF(AND('Grille de saisie'!C195=2,'Grille de saisie'!BZ195=1),3,IF(AND('Grille de saisie'!C195=1,'Grille de saisie'!BZ195=2),3,IF(AND('Grille de saisie'!C195="",'Grille de saisie'!BZ195=""),5,IF(AND('Grille de saisie'!C195=5),5,4))))))))</f>
        <v>5</v>
      </c>
      <c r="CQ195" s="237">
        <f>IF('Grille de saisie'!BZ195="",3,IF('Grille de saisie'!C195=5,3,IF('Grille de saisie'!BZ195=0,1,2)))</f>
        <v>3</v>
      </c>
    </row>
    <row r="196" spans="1:95" ht="15">
      <c r="A196" s="510">
        <v>194</v>
      </c>
      <c r="B196" s="240"/>
      <c r="C196" s="513"/>
      <c r="D196" s="240"/>
      <c r="E196" s="517"/>
      <c r="F196" s="265"/>
      <c r="G196" s="513"/>
      <c r="H196" s="265"/>
      <c r="I196" s="520"/>
      <c r="J196" s="241"/>
      <c r="K196" s="520"/>
      <c r="L196" s="241"/>
      <c r="M196" s="521"/>
      <c r="N196" s="241"/>
      <c r="O196" s="521"/>
      <c r="P196" s="241"/>
      <c r="Q196" s="520"/>
      <c r="R196" s="241"/>
      <c r="S196" s="520"/>
      <c r="T196" s="241"/>
      <c r="U196" s="520"/>
      <c r="V196" s="241"/>
      <c r="W196" s="242"/>
      <c r="X196" s="241"/>
      <c r="Y196" s="242"/>
      <c r="Z196" s="241"/>
      <c r="AA196" s="241"/>
      <c r="AB196" s="275"/>
      <c r="AC196" s="524"/>
      <c r="AD196" s="241"/>
      <c r="AE196" s="241"/>
      <c r="AF196" s="241"/>
      <c r="AG196" s="241"/>
      <c r="AH196" s="241"/>
      <c r="AI196" s="241"/>
      <c r="AJ196" s="529"/>
      <c r="AK196" s="258"/>
      <c r="AL196" s="241"/>
      <c r="AM196" s="242"/>
      <c r="AN196" s="241"/>
      <c r="AO196" s="242"/>
      <c r="AP196" s="241"/>
      <c r="AQ196" s="242"/>
      <c r="AR196" s="241"/>
      <c r="AS196" s="242"/>
      <c r="AT196" s="241"/>
      <c r="AU196" s="241"/>
      <c r="AV196" s="256"/>
      <c r="AW196" s="241"/>
      <c r="AX196" s="256"/>
      <c r="AY196" s="241"/>
      <c r="AZ196" s="256"/>
      <c r="BA196" s="239"/>
      <c r="BB196" s="242"/>
      <c r="BC196" s="239"/>
      <c r="BD196" s="242"/>
      <c r="BE196" s="239"/>
      <c r="BF196" s="241"/>
      <c r="BG196" s="239"/>
      <c r="BH196" s="241"/>
      <c r="BI196" s="260"/>
      <c r="BJ196" s="241"/>
      <c r="BK196" s="260"/>
      <c r="BL196" s="239"/>
      <c r="BM196" s="256"/>
      <c r="BN196" s="241"/>
      <c r="BO196" s="243"/>
      <c r="BP196" s="241"/>
      <c r="BQ196" s="239"/>
      <c r="BR196" s="276"/>
      <c r="BS196" s="256"/>
      <c r="BT196" s="260"/>
      <c r="BU196" s="261"/>
      <c r="BV196" s="260"/>
      <c r="BW196" s="239"/>
      <c r="BX196" s="260"/>
      <c r="BY196" s="260"/>
      <c r="BZ196" s="239"/>
      <c r="CA196" s="260"/>
      <c r="CB196" s="239"/>
      <c r="CC196" s="260"/>
      <c r="CD196" s="539"/>
      <c r="CE196" s="239"/>
      <c r="CF196" s="276"/>
      <c r="CG196" s="256"/>
      <c r="CH196" s="259"/>
      <c r="CI196" s="347"/>
      <c r="CJ196" s="540"/>
      <c r="CK196" s="256"/>
      <c r="CL196" s="244">
        <v>1</v>
      </c>
      <c r="CM196" s="274">
        <f t="shared" ref="CM196:CM259" si="3">$A$1-CB196</f>
        <v>2015</v>
      </c>
      <c r="CN196" s="244">
        <f>IF('Grille de saisie'!CM196&lt;18,0,IF('Grille de saisie'!CM196&lt;40,1,IF('Grille de saisie'!CM196&lt;65,2,IF('Grille de saisie'!CM196&lt;100,3,4))))</f>
        <v>4</v>
      </c>
      <c r="CO196" s="236">
        <f>IF(AND('Grille de saisie'!C196=1,'Grille de saisie'!BZ196=0),1,IF(AND('Grille de saisie'!C196="",'Grille de saisie'!BZ196=""),3,IF(AND('Grille de saisie'!C196=5),3,2)))</f>
        <v>3</v>
      </c>
      <c r="CP196" s="236">
        <f>IF(AND('Grille de saisie'!C196=1,'Grille de saisie'!BZ196=0),1,IF(AND('Grille de saisie'!C196=1,'Grille de saisie'!BZ196=1),2,IF(AND('Grille de saisie'!C196=2,'Grille de saisie'!BZ196=0),2,IF(AND('Grille de saisie'!C196=3,'Grille de saisie'!BZ196=0),3,IF(AND('Grille de saisie'!C196=2,'Grille de saisie'!BZ196=1),3,IF(AND('Grille de saisie'!C196=1,'Grille de saisie'!BZ196=2),3,IF(AND('Grille de saisie'!C196="",'Grille de saisie'!BZ196=""),5,IF(AND('Grille de saisie'!C196=5),5,4))))))))</f>
        <v>5</v>
      </c>
      <c r="CQ196" s="237">
        <f>IF('Grille de saisie'!BZ196="",3,IF('Grille de saisie'!C196=5,3,IF('Grille de saisie'!BZ196=0,1,2)))</f>
        <v>3</v>
      </c>
    </row>
    <row r="197" spans="1:95" ht="15">
      <c r="A197" s="510">
        <v>195</v>
      </c>
      <c r="B197" s="240"/>
      <c r="C197" s="513"/>
      <c r="D197" s="240"/>
      <c r="E197" s="517"/>
      <c r="F197" s="265"/>
      <c r="G197" s="513"/>
      <c r="H197" s="265"/>
      <c r="I197" s="520"/>
      <c r="J197" s="241"/>
      <c r="K197" s="520"/>
      <c r="L197" s="241"/>
      <c r="M197" s="521"/>
      <c r="N197" s="241"/>
      <c r="O197" s="521"/>
      <c r="P197" s="241"/>
      <c r="Q197" s="520"/>
      <c r="R197" s="241"/>
      <c r="S197" s="520"/>
      <c r="T197" s="241"/>
      <c r="U197" s="520"/>
      <c r="V197" s="241"/>
      <c r="W197" s="242"/>
      <c r="X197" s="241"/>
      <c r="Y197" s="242"/>
      <c r="Z197" s="241"/>
      <c r="AA197" s="241"/>
      <c r="AB197" s="275"/>
      <c r="AC197" s="524"/>
      <c r="AD197" s="241"/>
      <c r="AE197" s="241"/>
      <c r="AF197" s="241"/>
      <c r="AG197" s="241"/>
      <c r="AH197" s="241"/>
      <c r="AI197" s="241"/>
      <c r="AJ197" s="529"/>
      <c r="AK197" s="258"/>
      <c r="AL197" s="241"/>
      <c r="AM197" s="242"/>
      <c r="AN197" s="241"/>
      <c r="AO197" s="242"/>
      <c r="AP197" s="241"/>
      <c r="AQ197" s="242"/>
      <c r="AR197" s="241"/>
      <c r="AS197" s="242"/>
      <c r="AT197" s="241"/>
      <c r="AU197" s="241"/>
      <c r="AV197" s="256"/>
      <c r="AW197" s="241"/>
      <c r="AX197" s="256"/>
      <c r="AY197" s="241"/>
      <c r="AZ197" s="256"/>
      <c r="BA197" s="239"/>
      <c r="BB197" s="242"/>
      <c r="BC197" s="239"/>
      <c r="BD197" s="242"/>
      <c r="BE197" s="239"/>
      <c r="BF197" s="241"/>
      <c r="BG197" s="239"/>
      <c r="BH197" s="241"/>
      <c r="BI197" s="260"/>
      <c r="BJ197" s="241"/>
      <c r="BK197" s="260"/>
      <c r="BL197" s="239"/>
      <c r="BM197" s="256"/>
      <c r="BN197" s="241"/>
      <c r="BO197" s="243"/>
      <c r="BP197" s="241"/>
      <c r="BQ197" s="239"/>
      <c r="BR197" s="276"/>
      <c r="BS197" s="256"/>
      <c r="BT197" s="260"/>
      <c r="BU197" s="261"/>
      <c r="BV197" s="260"/>
      <c r="BW197" s="239"/>
      <c r="BX197" s="260"/>
      <c r="BY197" s="260"/>
      <c r="BZ197" s="239"/>
      <c r="CA197" s="260"/>
      <c r="CB197" s="239"/>
      <c r="CC197" s="260"/>
      <c r="CD197" s="539"/>
      <c r="CE197" s="239"/>
      <c r="CF197" s="276"/>
      <c r="CG197" s="256"/>
      <c r="CH197" s="259"/>
      <c r="CI197" s="347"/>
      <c r="CJ197" s="540"/>
      <c r="CK197" s="256"/>
      <c r="CL197" s="244">
        <v>1</v>
      </c>
      <c r="CM197" s="274">
        <f t="shared" si="3"/>
        <v>2015</v>
      </c>
      <c r="CN197" s="244">
        <f>IF('Grille de saisie'!CM197&lt;18,0,IF('Grille de saisie'!CM197&lt;40,1,IF('Grille de saisie'!CM197&lt;65,2,IF('Grille de saisie'!CM197&lt;100,3,4))))</f>
        <v>4</v>
      </c>
      <c r="CO197" s="236">
        <f>IF(AND('Grille de saisie'!C197=1,'Grille de saisie'!BZ197=0),1,IF(AND('Grille de saisie'!C197="",'Grille de saisie'!BZ197=""),3,IF(AND('Grille de saisie'!C197=5),3,2)))</f>
        <v>3</v>
      </c>
      <c r="CP197" s="236">
        <f>IF(AND('Grille de saisie'!C197=1,'Grille de saisie'!BZ197=0),1,IF(AND('Grille de saisie'!C197=1,'Grille de saisie'!BZ197=1),2,IF(AND('Grille de saisie'!C197=2,'Grille de saisie'!BZ197=0),2,IF(AND('Grille de saisie'!C197=3,'Grille de saisie'!BZ197=0),3,IF(AND('Grille de saisie'!C197=2,'Grille de saisie'!BZ197=1),3,IF(AND('Grille de saisie'!C197=1,'Grille de saisie'!BZ197=2),3,IF(AND('Grille de saisie'!C197="",'Grille de saisie'!BZ197=""),5,IF(AND('Grille de saisie'!C197=5),5,4))))))))</f>
        <v>5</v>
      </c>
      <c r="CQ197" s="237">
        <f>IF('Grille de saisie'!BZ197="",3,IF('Grille de saisie'!C197=5,3,IF('Grille de saisie'!BZ197=0,1,2)))</f>
        <v>3</v>
      </c>
    </row>
    <row r="198" spans="1:95" ht="15">
      <c r="A198" s="511">
        <v>196</v>
      </c>
      <c r="B198" s="240"/>
      <c r="C198" s="513"/>
      <c r="D198" s="240"/>
      <c r="E198" s="517"/>
      <c r="F198" s="265"/>
      <c r="G198" s="513"/>
      <c r="H198" s="265"/>
      <c r="I198" s="520"/>
      <c r="J198" s="241"/>
      <c r="K198" s="520"/>
      <c r="L198" s="241"/>
      <c r="M198" s="521"/>
      <c r="N198" s="241"/>
      <c r="O198" s="521"/>
      <c r="P198" s="241"/>
      <c r="Q198" s="520"/>
      <c r="R198" s="241"/>
      <c r="S198" s="520"/>
      <c r="T198" s="241"/>
      <c r="U198" s="520"/>
      <c r="V198" s="241"/>
      <c r="W198" s="242"/>
      <c r="X198" s="241"/>
      <c r="Y198" s="242"/>
      <c r="Z198" s="241"/>
      <c r="AA198" s="241"/>
      <c r="AB198" s="275"/>
      <c r="AC198" s="524"/>
      <c r="AD198" s="241"/>
      <c r="AE198" s="241"/>
      <c r="AF198" s="241"/>
      <c r="AG198" s="241"/>
      <c r="AH198" s="241"/>
      <c r="AI198" s="241"/>
      <c r="AJ198" s="529"/>
      <c r="AK198" s="258"/>
      <c r="AL198" s="241"/>
      <c r="AM198" s="242"/>
      <c r="AN198" s="241"/>
      <c r="AO198" s="242"/>
      <c r="AP198" s="241"/>
      <c r="AQ198" s="242"/>
      <c r="AR198" s="241"/>
      <c r="AS198" s="242"/>
      <c r="AT198" s="241"/>
      <c r="AU198" s="241"/>
      <c r="AV198" s="256"/>
      <c r="AW198" s="241"/>
      <c r="AX198" s="256"/>
      <c r="AY198" s="241"/>
      <c r="AZ198" s="256"/>
      <c r="BA198" s="239"/>
      <c r="BB198" s="242"/>
      <c r="BC198" s="239"/>
      <c r="BD198" s="242"/>
      <c r="BE198" s="239"/>
      <c r="BF198" s="241"/>
      <c r="BG198" s="239"/>
      <c r="BH198" s="241"/>
      <c r="BI198" s="260"/>
      <c r="BJ198" s="241"/>
      <c r="BK198" s="260"/>
      <c r="BL198" s="239"/>
      <c r="BM198" s="256"/>
      <c r="BN198" s="241"/>
      <c r="BO198" s="243"/>
      <c r="BP198" s="241"/>
      <c r="BQ198" s="239"/>
      <c r="BR198" s="276"/>
      <c r="BS198" s="256"/>
      <c r="BT198" s="260"/>
      <c r="BU198" s="261"/>
      <c r="BV198" s="260"/>
      <c r="BW198" s="239"/>
      <c r="BX198" s="260"/>
      <c r="BY198" s="260"/>
      <c r="BZ198" s="239"/>
      <c r="CA198" s="260"/>
      <c r="CB198" s="239"/>
      <c r="CC198" s="260"/>
      <c r="CD198" s="539"/>
      <c r="CE198" s="239"/>
      <c r="CF198" s="276"/>
      <c r="CG198" s="256"/>
      <c r="CH198" s="259"/>
      <c r="CI198" s="347"/>
      <c r="CJ198" s="540"/>
      <c r="CK198" s="256"/>
      <c r="CL198" s="244">
        <v>1</v>
      </c>
      <c r="CM198" s="274">
        <f t="shared" si="3"/>
        <v>2015</v>
      </c>
      <c r="CN198" s="244">
        <f>IF('Grille de saisie'!CM198&lt;18,0,IF('Grille de saisie'!CM198&lt;40,1,IF('Grille de saisie'!CM198&lt;65,2,IF('Grille de saisie'!CM198&lt;100,3,4))))</f>
        <v>4</v>
      </c>
      <c r="CO198" s="236">
        <f>IF(AND('Grille de saisie'!C198=1,'Grille de saisie'!BZ198=0),1,IF(AND('Grille de saisie'!C198="",'Grille de saisie'!BZ198=""),3,IF(AND('Grille de saisie'!C198=5),3,2)))</f>
        <v>3</v>
      </c>
      <c r="CP198" s="236">
        <f>IF(AND('Grille de saisie'!C198=1,'Grille de saisie'!BZ198=0),1,IF(AND('Grille de saisie'!C198=1,'Grille de saisie'!BZ198=1),2,IF(AND('Grille de saisie'!C198=2,'Grille de saisie'!BZ198=0),2,IF(AND('Grille de saisie'!C198=3,'Grille de saisie'!BZ198=0),3,IF(AND('Grille de saisie'!C198=2,'Grille de saisie'!BZ198=1),3,IF(AND('Grille de saisie'!C198=1,'Grille de saisie'!BZ198=2),3,IF(AND('Grille de saisie'!C198="",'Grille de saisie'!BZ198=""),5,IF(AND('Grille de saisie'!C198=5),5,4))))))))</f>
        <v>5</v>
      </c>
      <c r="CQ198" s="237">
        <f>IF('Grille de saisie'!BZ198="",3,IF('Grille de saisie'!C198=5,3,IF('Grille de saisie'!BZ198=0,1,2)))</f>
        <v>3</v>
      </c>
    </row>
    <row r="199" spans="1:95" ht="15">
      <c r="A199" s="510">
        <v>197</v>
      </c>
      <c r="B199" s="240"/>
      <c r="C199" s="513"/>
      <c r="D199" s="240"/>
      <c r="E199" s="517"/>
      <c r="F199" s="265"/>
      <c r="G199" s="513"/>
      <c r="H199" s="265"/>
      <c r="I199" s="520"/>
      <c r="J199" s="241"/>
      <c r="K199" s="520"/>
      <c r="L199" s="241"/>
      <c r="M199" s="521"/>
      <c r="N199" s="241"/>
      <c r="O199" s="521"/>
      <c r="P199" s="241"/>
      <c r="Q199" s="520"/>
      <c r="R199" s="241"/>
      <c r="S199" s="520"/>
      <c r="T199" s="241"/>
      <c r="U199" s="520"/>
      <c r="V199" s="241"/>
      <c r="W199" s="242"/>
      <c r="X199" s="241"/>
      <c r="Y199" s="242"/>
      <c r="Z199" s="241"/>
      <c r="AA199" s="241"/>
      <c r="AB199" s="275"/>
      <c r="AC199" s="524"/>
      <c r="AD199" s="241"/>
      <c r="AE199" s="241"/>
      <c r="AF199" s="241"/>
      <c r="AG199" s="241"/>
      <c r="AH199" s="241"/>
      <c r="AI199" s="241"/>
      <c r="AJ199" s="529"/>
      <c r="AK199" s="258"/>
      <c r="AL199" s="241"/>
      <c r="AM199" s="242"/>
      <c r="AN199" s="241"/>
      <c r="AO199" s="242"/>
      <c r="AP199" s="241"/>
      <c r="AQ199" s="242"/>
      <c r="AR199" s="241"/>
      <c r="AS199" s="242"/>
      <c r="AT199" s="241"/>
      <c r="AU199" s="241"/>
      <c r="AV199" s="256"/>
      <c r="AW199" s="241"/>
      <c r="AX199" s="256"/>
      <c r="AY199" s="241"/>
      <c r="AZ199" s="256"/>
      <c r="BA199" s="239"/>
      <c r="BB199" s="242"/>
      <c r="BC199" s="239"/>
      <c r="BD199" s="242"/>
      <c r="BE199" s="239"/>
      <c r="BF199" s="241"/>
      <c r="BG199" s="239"/>
      <c r="BH199" s="241"/>
      <c r="BI199" s="260"/>
      <c r="BJ199" s="241"/>
      <c r="BK199" s="260"/>
      <c r="BL199" s="239"/>
      <c r="BM199" s="256"/>
      <c r="BN199" s="241"/>
      <c r="BO199" s="243"/>
      <c r="BP199" s="241"/>
      <c r="BQ199" s="239"/>
      <c r="BR199" s="276"/>
      <c r="BS199" s="256"/>
      <c r="BT199" s="260"/>
      <c r="BU199" s="261"/>
      <c r="BV199" s="260"/>
      <c r="BW199" s="239"/>
      <c r="BX199" s="260"/>
      <c r="BY199" s="260"/>
      <c r="BZ199" s="239"/>
      <c r="CA199" s="260"/>
      <c r="CB199" s="239"/>
      <c r="CC199" s="260"/>
      <c r="CD199" s="539"/>
      <c r="CE199" s="239"/>
      <c r="CF199" s="276"/>
      <c r="CG199" s="256"/>
      <c r="CH199" s="259"/>
      <c r="CI199" s="347"/>
      <c r="CJ199" s="540"/>
      <c r="CK199" s="256"/>
      <c r="CL199" s="244">
        <v>1</v>
      </c>
      <c r="CM199" s="274">
        <f t="shared" si="3"/>
        <v>2015</v>
      </c>
      <c r="CN199" s="244">
        <f>IF('Grille de saisie'!CM199&lt;18,0,IF('Grille de saisie'!CM199&lt;40,1,IF('Grille de saisie'!CM199&lt;65,2,IF('Grille de saisie'!CM199&lt;100,3,4))))</f>
        <v>4</v>
      </c>
      <c r="CO199" s="236">
        <f>IF(AND('Grille de saisie'!C199=1,'Grille de saisie'!BZ199=0),1,IF(AND('Grille de saisie'!C199="",'Grille de saisie'!BZ199=""),3,IF(AND('Grille de saisie'!C199=5),3,2)))</f>
        <v>3</v>
      </c>
      <c r="CP199" s="236">
        <f>IF(AND('Grille de saisie'!C199=1,'Grille de saisie'!BZ199=0),1,IF(AND('Grille de saisie'!C199=1,'Grille de saisie'!BZ199=1),2,IF(AND('Grille de saisie'!C199=2,'Grille de saisie'!BZ199=0),2,IF(AND('Grille de saisie'!C199=3,'Grille de saisie'!BZ199=0),3,IF(AND('Grille de saisie'!C199=2,'Grille de saisie'!BZ199=1),3,IF(AND('Grille de saisie'!C199=1,'Grille de saisie'!BZ199=2),3,IF(AND('Grille de saisie'!C199="",'Grille de saisie'!BZ199=""),5,IF(AND('Grille de saisie'!C199=5),5,4))))))))</f>
        <v>5</v>
      </c>
      <c r="CQ199" s="237">
        <f>IF('Grille de saisie'!BZ199="",3,IF('Grille de saisie'!C199=5,3,IF('Grille de saisie'!BZ199=0,1,2)))</f>
        <v>3</v>
      </c>
    </row>
    <row r="200" spans="1:95" ht="15">
      <c r="A200" s="510">
        <v>198</v>
      </c>
      <c r="B200" s="240"/>
      <c r="C200" s="513"/>
      <c r="D200" s="240"/>
      <c r="E200" s="517"/>
      <c r="F200" s="265"/>
      <c r="G200" s="513"/>
      <c r="H200" s="265"/>
      <c r="I200" s="520"/>
      <c r="J200" s="241"/>
      <c r="K200" s="520"/>
      <c r="L200" s="241"/>
      <c r="M200" s="521"/>
      <c r="N200" s="241"/>
      <c r="O200" s="521"/>
      <c r="P200" s="241"/>
      <c r="Q200" s="520"/>
      <c r="R200" s="241"/>
      <c r="S200" s="520"/>
      <c r="T200" s="241"/>
      <c r="U200" s="520"/>
      <c r="V200" s="241"/>
      <c r="W200" s="242"/>
      <c r="X200" s="241"/>
      <c r="Y200" s="242"/>
      <c r="Z200" s="241"/>
      <c r="AA200" s="241"/>
      <c r="AB200" s="275"/>
      <c r="AC200" s="524"/>
      <c r="AD200" s="241"/>
      <c r="AE200" s="241"/>
      <c r="AF200" s="241"/>
      <c r="AG200" s="241"/>
      <c r="AH200" s="241"/>
      <c r="AI200" s="241"/>
      <c r="AJ200" s="529"/>
      <c r="AK200" s="258"/>
      <c r="AL200" s="241"/>
      <c r="AM200" s="242"/>
      <c r="AN200" s="241"/>
      <c r="AO200" s="242"/>
      <c r="AP200" s="241"/>
      <c r="AQ200" s="242"/>
      <c r="AR200" s="241"/>
      <c r="AS200" s="242"/>
      <c r="AT200" s="241"/>
      <c r="AU200" s="241"/>
      <c r="AV200" s="256"/>
      <c r="AW200" s="241"/>
      <c r="AX200" s="256"/>
      <c r="AY200" s="241"/>
      <c r="AZ200" s="256"/>
      <c r="BA200" s="239"/>
      <c r="BB200" s="242"/>
      <c r="BC200" s="239"/>
      <c r="BD200" s="242"/>
      <c r="BE200" s="239"/>
      <c r="BF200" s="241"/>
      <c r="BG200" s="239"/>
      <c r="BH200" s="241"/>
      <c r="BI200" s="260"/>
      <c r="BJ200" s="241"/>
      <c r="BK200" s="260"/>
      <c r="BL200" s="239"/>
      <c r="BM200" s="256"/>
      <c r="BN200" s="241"/>
      <c r="BO200" s="243"/>
      <c r="BP200" s="241"/>
      <c r="BQ200" s="239"/>
      <c r="BR200" s="276"/>
      <c r="BS200" s="256"/>
      <c r="BT200" s="260"/>
      <c r="BU200" s="261"/>
      <c r="BV200" s="260"/>
      <c r="BW200" s="239"/>
      <c r="BX200" s="260"/>
      <c r="BY200" s="260"/>
      <c r="BZ200" s="239"/>
      <c r="CA200" s="260"/>
      <c r="CB200" s="239"/>
      <c r="CC200" s="260"/>
      <c r="CD200" s="539"/>
      <c r="CE200" s="239"/>
      <c r="CF200" s="276"/>
      <c r="CG200" s="256"/>
      <c r="CH200" s="259"/>
      <c r="CI200" s="347"/>
      <c r="CJ200" s="540"/>
      <c r="CK200" s="256"/>
      <c r="CL200" s="244">
        <v>1</v>
      </c>
      <c r="CM200" s="274">
        <f t="shared" si="3"/>
        <v>2015</v>
      </c>
      <c r="CN200" s="244">
        <f>IF('Grille de saisie'!CM200&lt;18,0,IF('Grille de saisie'!CM200&lt;40,1,IF('Grille de saisie'!CM200&lt;65,2,IF('Grille de saisie'!CM200&lt;100,3,4))))</f>
        <v>4</v>
      </c>
      <c r="CO200" s="236">
        <f>IF(AND('Grille de saisie'!C200=1,'Grille de saisie'!BZ200=0),1,IF(AND('Grille de saisie'!C200="",'Grille de saisie'!BZ200=""),3,IF(AND('Grille de saisie'!C200=5),3,2)))</f>
        <v>3</v>
      </c>
      <c r="CP200" s="236">
        <f>IF(AND('Grille de saisie'!C200=1,'Grille de saisie'!BZ200=0),1,IF(AND('Grille de saisie'!C200=1,'Grille de saisie'!BZ200=1),2,IF(AND('Grille de saisie'!C200=2,'Grille de saisie'!BZ200=0),2,IF(AND('Grille de saisie'!C200=3,'Grille de saisie'!BZ200=0),3,IF(AND('Grille de saisie'!C200=2,'Grille de saisie'!BZ200=1),3,IF(AND('Grille de saisie'!C200=1,'Grille de saisie'!BZ200=2),3,IF(AND('Grille de saisie'!C200="",'Grille de saisie'!BZ200=""),5,IF(AND('Grille de saisie'!C200=5),5,4))))))))</f>
        <v>5</v>
      </c>
      <c r="CQ200" s="237">
        <f>IF('Grille de saisie'!BZ200="",3,IF('Grille de saisie'!C200=5,3,IF('Grille de saisie'!BZ200=0,1,2)))</f>
        <v>3</v>
      </c>
    </row>
    <row r="201" spans="1:95" ht="15">
      <c r="A201" s="511">
        <v>199</v>
      </c>
      <c r="B201" s="240"/>
      <c r="C201" s="513"/>
      <c r="D201" s="240"/>
      <c r="E201" s="517"/>
      <c r="F201" s="265"/>
      <c r="G201" s="513"/>
      <c r="H201" s="265"/>
      <c r="I201" s="520"/>
      <c r="J201" s="241"/>
      <c r="K201" s="520"/>
      <c r="L201" s="241"/>
      <c r="M201" s="521"/>
      <c r="N201" s="241"/>
      <c r="O201" s="521"/>
      <c r="P201" s="241"/>
      <c r="Q201" s="520"/>
      <c r="R201" s="241"/>
      <c r="S201" s="520"/>
      <c r="T201" s="241"/>
      <c r="U201" s="520"/>
      <c r="V201" s="241"/>
      <c r="W201" s="242"/>
      <c r="X201" s="241"/>
      <c r="Y201" s="242"/>
      <c r="Z201" s="241"/>
      <c r="AA201" s="241"/>
      <c r="AB201" s="275"/>
      <c r="AC201" s="524"/>
      <c r="AD201" s="241"/>
      <c r="AE201" s="241"/>
      <c r="AF201" s="241"/>
      <c r="AG201" s="241"/>
      <c r="AH201" s="241"/>
      <c r="AI201" s="241"/>
      <c r="AJ201" s="529"/>
      <c r="AK201" s="258"/>
      <c r="AL201" s="241"/>
      <c r="AM201" s="242"/>
      <c r="AN201" s="241"/>
      <c r="AO201" s="242"/>
      <c r="AP201" s="241"/>
      <c r="AQ201" s="242"/>
      <c r="AR201" s="241"/>
      <c r="AS201" s="242"/>
      <c r="AT201" s="241"/>
      <c r="AU201" s="241"/>
      <c r="AV201" s="256"/>
      <c r="AW201" s="241"/>
      <c r="AX201" s="256"/>
      <c r="AY201" s="241"/>
      <c r="AZ201" s="256"/>
      <c r="BA201" s="239"/>
      <c r="BB201" s="242"/>
      <c r="BC201" s="239"/>
      <c r="BD201" s="242"/>
      <c r="BE201" s="239"/>
      <c r="BF201" s="241"/>
      <c r="BG201" s="239"/>
      <c r="BH201" s="241"/>
      <c r="BI201" s="260"/>
      <c r="BJ201" s="241"/>
      <c r="BK201" s="260"/>
      <c r="BL201" s="239"/>
      <c r="BM201" s="256"/>
      <c r="BN201" s="241"/>
      <c r="BO201" s="243"/>
      <c r="BP201" s="241"/>
      <c r="BQ201" s="239"/>
      <c r="BR201" s="276"/>
      <c r="BS201" s="256"/>
      <c r="BT201" s="260"/>
      <c r="BU201" s="261"/>
      <c r="BV201" s="260"/>
      <c r="BW201" s="239"/>
      <c r="BX201" s="260"/>
      <c r="BY201" s="260"/>
      <c r="BZ201" s="239"/>
      <c r="CA201" s="260"/>
      <c r="CB201" s="239"/>
      <c r="CC201" s="260"/>
      <c r="CD201" s="539"/>
      <c r="CE201" s="239"/>
      <c r="CF201" s="276"/>
      <c r="CG201" s="256"/>
      <c r="CH201" s="259"/>
      <c r="CI201" s="347"/>
      <c r="CJ201" s="540"/>
      <c r="CK201" s="256"/>
      <c r="CL201" s="244">
        <v>1</v>
      </c>
      <c r="CM201" s="274">
        <f t="shared" si="3"/>
        <v>2015</v>
      </c>
      <c r="CN201" s="244">
        <f>IF('Grille de saisie'!CM201&lt;18,0,IF('Grille de saisie'!CM201&lt;40,1,IF('Grille de saisie'!CM201&lt;65,2,IF('Grille de saisie'!CM201&lt;100,3,4))))</f>
        <v>4</v>
      </c>
      <c r="CO201" s="236">
        <f>IF(AND('Grille de saisie'!C201=1,'Grille de saisie'!BZ201=0),1,IF(AND('Grille de saisie'!C201="",'Grille de saisie'!BZ201=""),3,IF(AND('Grille de saisie'!C201=5),3,2)))</f>
        <v>3</v>
      </c>
      <c r="CP201" s="236">
        <f>IF(AND('Grille de saisie'!C201=1,'Grille de saisie'!BZ201=0),1,IF(AND('Grille de saisie'!C201=1,'Grille de saisie'!BZ201=1),2,IF(AND('Grille de saisie'!C201=2,'Grille de saisie'!BZ201=0),2,IF(AND('Grille de saisie'!C201=3,'Grille de saisie'!BZ201=0),3,IF(AND('Grille de saisie'!C201=2,'Grille de saisie'!BZ201=1),3,IF(AND('Grille de saisie'!C201=1,'Grille de saisie'!BZ201=2),3,IF(AND('Grille de saisie'!C201="",'Grille de saisie'!BZ201=""),5,IF(AND('Grille de saisie'!C201=5),5,4))))))))</f>
        <v>5</v>
      </c>
      <c r="CQ201" s="237">
        <f>IF('Grille de saisie'!BZ201="",3,IF('Grille de saisie'!C201=5,3,IF('Grille de saisie'!BZ201=0,1,2)))</f>
        <v>3</v>
      </c>
    </row>
    <row r="202" spans="1:95" ht="15">
      <c r="A202" s="510">
        <v>200</v>
      </c>
      <c r="B202" s="240"/>
      <c r="C202" s="513"/>
      <c r="D202" s="240"/>
      <c r="E202" s="517"/>
      <c r="F202" s="265"/>
      <c r="G202" s="513"/>
      <c r="H202" s="265"/>
      <c r="I202" s="520"/>
      <c r="J202" s="241"/>
      <c r="K202" s="520"/>
      <c r="L202" s="241"/>
      <c r="M202" s="521"/>
      <c r="N202" s="241"/>
      <c r="O202" s="521"/>
      <c r="P202" s="241"/>
      <c r="Q202" s="520"/>
      <c r="R202" s="241"/>
      <c r="S202" s="520"/>
      <c r="T202" s="241"/>
      <c r="U202" s="520"/>
      <c r="V202" s="241"/>
      <c r="W202" s="242"/>
      <c r="X202" s="241"/>
      <c r="Y202" s="242"/>
      <c r="Z202" s="241"/>
      <c r="AA202" s="241"/>
      <c r="AB202" s="275"/>
      <c r="AC202" s="524"/>
      <c r="AD202" s="241"/>
      <c r="AE202" s="241"/>
      <c r="AF202" s="241"/>
      <c r="AG202" s="241"/>
      <c r="AH202" s="241"/>
      <c r="AI202" s="241"/>
      <c r="AJ202" s="529"/>
      <c r="AK202" s="258"/>
      <c r="AL202" s="241"/>
      <c r="AM202" s="242"/>
      <c r="AN202" s="241"/>
      <c r="AO202" s="242"/>
      <c r="AP202" s="241"/>
      <c r="AQ202" s="242"/>
      <c r="AR202" s="241"/>
      <c r="AS202" s="242"/>
      <c r="AT202" s="241"/>
      <c r="AU202" s="241"/>
      <c r="AV202" s="256"/>
      <c r="AW202" s="241"/>
      <c r="AX202" s="256"/>
      <c r="AY202" s="241"/>
      <c r="AZ202" s="256"/>
      <c r="BA202" s="239"/>
      <c r="BB202" s="242"/>
      <c r="BC202" s="239"/>
      <c r="BD202" s="242"/>
      <c r="BE202" s="239"/>
      <c r="BF202" s="241"/>
      <c r="BG202" s="239"/>
      <c r="BH202" s="241"/>
      <c r="BI202" s="260"/>
      <c r="BJ202" s="241"/>
      <c r="BK202" s="260"/>
      <c r="BL202" s="239"/>
      <c r="BM202" s="256"/>
      <c r="BN202" s="241"/>
      <c r="BO202" s="243"/>
      <c r="BP202" s="241"/>
      <c r="BQ202" s="239"/>
      <c r="BR202" s="276"/>
      <c r="BS202" s="256"/>
      <c r="BT202" s="260"/>
      <c r="BU202" s="261"/>
      <c r="BV202" s="260"/>
      <c r="BW202" s="239"/>
      <c r="BX202" s="260"/>
      <c r="BY202" s="260"/>
      <c r="BZ202" s="239"/>
      <c r="CA202" s="260"/>
      <c r="CB202" s="239"/>
      <c r="CC202" s="260"/>
      <c r="CD202" s="539"/>
      <c r="CE202" s="239"/>
      <c r="CF202" s="276"/>
      <c r="CG202" s="256"/>
      <c r="CH202" s="259"/>
      <c r="CI202" s="347"/>
      <c r="CJ202" s="540"/>
      <c r="CK202" s="256"/>
      <c r="CL202" s="244">
        <v>1</v>
      </c>
      <c r="CM202" s="274">
        <f t="shared" si="3"/>
        <v>2015</v>
      </c>
      <c r="CN202" s="244">
        <f>IF('Grille de saisie'!CM202&lt;18,0,IF('Grille de saisie'!CM202&lt;40,1,IF('Grille de saisie'!CM202&lt;65,2,IF('Grille de saisie'!CM202&lt;100,3,4))))</f>
        <v>4</v>
      </c>
      <c r="CO202" s="236">
        <f>IF(AND('Grille de saisie'!C202=1,'Grille de saisie'!BZ202=0),1,IF(AND('Grille de saisie'!C202="",'Grille de saisie'!BZ202=""),3,IF(AND('Grille de saisie'!C202=5),3,2)))</f>
        <v>3</v>
      </c>
      <c r="CP202" s="236">
        <f>IF(AND('Grille de saisie'!C202=1,'Grille de saisie'!BZ202=0),1,IF(AND('Grille de saisie'!C202=1,'Grille de saisie'!BZ202=1),2,IF(AND('Grille de saisie'!C202=2,'Grille de saisie'!BZ202=0),2,IF(AND('Grille de saisie'!C202=3,'Grille de saisie'!BZ202=0),3,IF(AND('Grille de saisie'!C202=2,'Grille de saisie'!BZ202=1),3,IF(AND('Grille de saisie'!C202=1,'Grille de saisie'!BZ202=2),3,IF(AND('Grille de saisie'!C202="",'Grille de saisie'!BZ202=""),5,IF(AND('Grille de saisie'!C202=5),5,4))))))))</f>
        <v>5</v>
      </c>
      <c r="CQ202" s="237">
        <f>IF('Grille de saisie'!BZ202="",3,IF('Grille de saisie'!C202=5,3,IF('Grille de saisie'!BZ202=0,1,2)))</f>
        <v>3</v>
      </c>
    </row>
    <row r="203" spans="1:95" ht="15">
      <c r="A203" s="510">
        <v>201</v>
      </c>
      <c r="B203" s="240"/>
      <c r="C203" s="513"/>
      <c r="D203" s="240"/>
      <c r="E203" s="517"/>
      <c r="F203" s="265"/>
      <c r="G203" s="513"/>
      <c r="H203" s="265"/>
      <c r="I203" s="520"/>
      <c r="J203" s="241"/>
      <c r="K203" s="520"/>
      <c r="L203" s="241"/>
      <c r="M203" s="521"/>
      <c r="N203" s="241"/>
      <c r="O203" s="521"/>
      <c r="P203" s="241"/>
      <c r="Q203" s="520"/>
      <c r="R203" s="241"/>
      <c r="S203" s="520"/>
      <c r="T203" s="241"/>
      <c r="U203" s="520"/>
      <c r="V203" s="241"/>
      <c r="W203" s="242"/>
      <c r="X203" s="241"/>
      <c r="Y203" s="242"/>
      <c r="Z203" s="241"/>
      <c r="AA203" s="241"/>
      <c r="AB203" s="275"/>
      <c r="AC203" s="524"/>
      <c r="AD203" s="241"/>
      <c r="AE203" s="241"/>
      <c r="AF203" s="241"/>
      <c r="AG203" s="241"/>
      <c r="AH203" s="241"/>
      <c r="AI203" s="241"/>
      <c r="AJ203" s="529"/>
      <c r="AK203" s="258"/>
      <c r="AL203" s="241"/>
      <c r="AM203" s="242"/>
      <c r="AN203" s="241"/>
      <c r="AO203" s="242"/>
      <c r="AP203" s="241"/>
      <c r="AQ203" s="242"/>
      <c r="AR203" s="241"/>
      <c r="AS203" s="242"/>
      <c r="AT203" s="241"/>
      <c r="AU203" s="241"/>
      <c r="AV203" s="256"/>
      <c r="AW203" s="241"/>
      <c r="AX203" s="256"/>
      <c r="AY203" s="241"/>
      <c r="AZ203" s="256"/>
      <c r="BA203" s="239"/>
      <c r="BB203" s="242"/>
      <c r="BC203" s="239"/>
      <c r="BD203" s="242"/>
      <c r="BE203" s="239"/>
      <c r="BF203" s="241"/>
      <c r="BG203" s="239"/>
      <c r="BH203" s="241"/>
      <c r="BI203" s="260"/>
      <c r="BJ203" s="241"/>
      <c r="BK203" s="260"/>
      <c r="BL203" s="239"/>
      <c r="BM203" s="256"/>
      <c r="BN203" s="241"/>
      <c r="BO203" s="243"/>
      <c r="BP203" s="241"/>
      <c r="BQ203" s="239"/>
      <c r="BR203" s="276"/>
      <c r="BS203" s="256"/>
      <c r="BT203" s="260"/>
      <c r="BU203" s="261"/>
      <c r="BV203" s="260"/>
      <c r="BW203" s="239"/>
      <c r="BX203" s="260"/>
      <c r="BY203" s="260"/>
      <c r="BZ203" s="239"/>
      <c r="CA203" s="260"/>
      <c r="CB203" s="239"/>
      <c r="CC203" s="260"/>
      <c r="CD203" s="539"/>
      <c r="CE203" s="239"/>
      <c r="CF203" s="276"/>
      <c r="CG203" s="256"/>
      <c r="CH203" s="259"/>
      <c r="CI203" s="347"/>
      <c r="CJ203" s="540"/>
      <c r="CK203" s="256"/>
      <c r="CL203" s="244">
        <v>1</v>
      </c>
      <c r="CM203" s="274">
        <f t="shared" si="3"/>
        <v>2015</v>
      </c>
      <c r="CN203" s="244">
        <f>IF('Grille de saisie'!CM203&lt;18,0,IF('Grille de saisie'!CM203&lt;40,1,IF('Grille de saisie'!CM203&lt;65,2,IF('Grille de saisie'!CM203&lt;100,3,4))))</f>
        <v>4</v>
      </c>
      <c r="CO203" s="236">
        <f>IF(AND('Grille de saisie'!C203=1,'Grille de saisie'!BZ203=0),1,IF(AND('Grille de saisie'!C203="",'Grille de saisie'!BZ203=""),3,IF(AND('Grille de saisie'!C203=5),3,2)))</f>
        <v>3</v>
      </c>
      <c r="CP203" s="236">
        <f>IF(AND('Grille de saisie'!C203=1,'Grille de saisie'!BZ203=0),1,IF(AND('Grille de saisie'!C203=1,'Grille de saisie'!BZ203=1),2,IF(AND('Grille de saisie'!C203=2,'Grille de saisie'!BZ203=0),2,IF(AND('Grille de saisie'!C203=3,'Grille de saisie'!BZ203=0),3,IF(AND('Grille de saisie'!C203=2,'Grille de saisie'!BZ203=1),3,IF(AND('Grille de saisie'!C203=1,'Grille de saisie'!BZ203=2),3,IF(AND('Grille de saisie'!C203="",'Grille de saisie'!BZ203=""),5,IF(AND('Grille de saisie'!C203=5),5,4))))))))</f>
        <v>5</v>
      </c>
      <c r="CQ203" s="237">
        <f>IF('Grille de saisie'!BZ203="",3,IF('Grille de saisie'!C203=5,3,IF('Grille de saisie'!BZ203=0,1,2)))</f>
        <v>3</v>
      </c>
    </row>
    <row r="204" spans="1:95" ht="15">
      <c r="A204" s="511">
        <v>202</v>
      </c>
      <c r="B204" s="240"/>
      <c r="C204" s="513"/>
      <c r="D204" s="240"/>
      <c r="E204" s="517"/>
      <c r="F204" s="265"/>
      <c r="G204" s="513"/>
      <c r="H204" s="265"/>
      <c r="I204" s="520"/>
      <c r="J204" s="241"/>
      <c r="K204" s="520"/>
      <c r="L204" s="241"/>
      <c r="M204" s="521"/>
      <c r="N204" s="241"/>
      <c r="O204" s="521"/>
      <c r="P204" s="241"/>
      <c r="Q204" s="520"/>
      <c r="R204" s="241"/>
      <c r="S204" s="520"/>
      <c r="T204" s="241"/>
      <c r="U204" s="520"/>
      <c r="V204" s="241"/>
      <c r="W204" s="242"/>
      <c r="X204" s="241"/>
      <c r="Y204" s="242"/>
      <c r="Z204" s="241"/>
      <c r="AA204" s="241"/>
      <c r="AB204" s="275"/>
      <c r="AC204" s="524"/>
      <c r="AD204" s="241"/>
      <c r="AE204" s="241"/>
      <c r="AF204" s="241"/>
      <c r="AG204" s="241"/>
      <c r="AH204" s="241"/>
      <c r="AI204" s="241"/>
      <c r="AJ204" s="529"/>
      <c r="AK204" s="258"/>
      <c r="AL204" s="241"/>
      <c r="AM204" s="242"/>
      <c r="AN204" s="241"/>
      <c r="AO204" s="242"/>
      <c r="AP204" s="241"/>
      <c r="AQ204" s="242"/>
      <c r="AR204" s="241"/>
      <c r="AS204" s="242"/>
      <c r="AT204" s="241"/>
      <c r="AU204" s="241"/>
      <c r="AV204" s="256"/>
      <c r="AW204" s="241"/>
      <c r="AX204" s="256"/>
      <c r="AY204" s="241"/>
      <c r="AZ204" s="256"/>
      <c r="BA204" s="239"/>
      <c r="BB204" s="242"/>
      <c r="BC204" s="239"/>
      <c r="BD204" s="242"/>
      <c r="BE204" s="239"/>
      <c r="BF204" s="241"/>
      <c r="BG204" s="239"/>
      <c r="BH204" s="241"/>
      <c r="BI204" s="260"/>
      <c r="BJ204" s="241"/>
      <c r="BK204" s="260"/>
      <c r="BL204" s="239"/>
      <c r="BM204" s="256"/>
      <c r="BN204" s="241"/>
      <c r="BO204" s="243"/>
      <c r="BP204" s="241"/>
      <c r="BQ204" s="239"/>
      <c r="BR204" s="276"/>
      <c r="BS204" s="256"/>
      <c r="BT204" s="260"/>
      <c r="BU204" s="261"/>
      <c r="BV204" s="260"/>
      <c r="BW204" s="239"/>
      <c r="BX204" s="260"/>
      <c r="BY204" s="260"/>
      <c r="BZ204" s="239"/>
      <c r="CA204" s="260"/>
      <c r="CB204" s="239"/>
      <c r="CC204" s="260"/>
      <c r="CD204" s="539"/>
      <c r="CE204" s="239"/>
      <c r="CF204" s="276"/>
      <c r="CG204" s="256"/>
      <c r="CH204" s="259"/>
      <c r="CI204" s="347"/>
      <c r="CJ204" s="540"/>
      <c r="CK204" s="256"/>
      <c r="CL204" s="244">
        <v>1</v>
      </c>
      <c r="CM204" s="274">
        <f t="shared" si="3"/>
        <v>2015</v>
      </c>
      <c r="CN204" s="244">
        <f>IF('Grille de saisie'!CM204&lt;18,0,IF('Grille de saisie'!CM204&lt;40,1,IF('Grille de saisie'!CM204&lt;65,2,IF('Grille de saisie'!CM204&lt;100,3,4))))</f>
        <v>4</v>
      </c>
      <c r="CO204" s="236">
        <f>IF(AND('Grille de saisie'!C204=1,'Grille de saisie'!BZ204=0),1,IF(AND('Grille de saisie'!C204="",'Grille de saisie'!BZ204=""),3,IF(AND('Grille de saisie'!C204=5),3,2)))</f>
        <v>3</v>
      </c>
      <c r="CP204" s="236">
        <f>IF(AND('Grille de saisie'!C204=1,'Grille de saisie'!BZ204=0),1,IF(AND('Grille de saisie'!C204=1,'Grille de saisie'!BZ204=1),2,IF(AND('Grille de saisie'!C204=2,'Grille de saisie'!BZ204=0),2,IF(AND('Grille de saisie'!C204=3,'Grille de saisie'!BZ204=0),3,IF(AND('Grille de saisie'!C204=2,'Grille de saisie'!BZ204=1),3,IF(AND('Grille de saisie'!C204=1,'Grille de saisie'!BZ204=2),3,IF(AND('Grille de saisie'!C204="",'Grille de saisie'!BZ204=""),5,IF(AND('Grille de saisie'!C204=5),5,4))))))))</f>
        <v>5</v>
      </c>
      <c r="CQ204" s="237">
        <f>IF('Grille de saisie'!BZ204="",3,IF('Grille de saisie'!C204=5,3,IF('Grille de saisie'!BZ204=0,1,2)))</f>
        <v>3</v>
      </c>
    </row>
    <row r="205" spans="1:95" ht="15">
      <c r="A205" s="510">
        <v>203</v>
      </c>
      <c r="B205" s="240"/>
      <c r="C205" s="513"/>
      <c r="D205" s="240"/>
      <c r="E205" s="517"/>
      <c r="F205" s="265"/>
      <c r="G205" s="513"/>
      <c r="H205" s="265"/>
      <c r="I205" s="520"/>
      <c r="J205" s="241"/>
      <c r="K205" s="520"/>
      <c r="L205" s="241"/>
      <c r="M205" s="521"/>
      <c r="N205" s="241"/>
      <c r="O205" s="521"/>
      <c r="P205" s="241"/>
      <c r="Q205" s="520"/>
      <c r="R205" s="241"/>
      <c r="S205" s="520"/>
      <c r="T205" s="241"/>
      <c r="U205" s="520"/>
      <c r="V205" s="241"/>
      <c r="W205" s="242"/>
      <c r="X205" s="241"/>
      <c r="Y205" s="242"/>
      <c r="Z205" s="241"/>
      <c r="AA205" s="241"/>
      <c r="AB205" s="275"/>
      <c r="AC205" s="524"/>
      <c r="AD205" s="241"/>
      <c r="AE205" s="241"/>
      <c r="AF205" s="241"/>
      <c r="AG205" s="241"/>
      <c r="AH205" s="241"/>
      <c r="AI205" s="241"/>
      <c r="AJ205" s="529"/>
      <c r="AK205" s="258"/>
      <c r="AL205" s="241"/>
      <c r="AM205" s="242"/>
      <c r="AN205" s="241"/>
      <c r="AO205" s="242"/>
      <c r="AP205" s="241"/>
      <c r="AQ205" s="242"/>
      <c r="AR205" s="241"/>
      <c r="AS205" s="242"/>
      <c r="AT205" s="241"/>
      <c r="AU205" s="241"/>
      <c r="AV205" s="256"/>
      <c r="AW205" s="241"/>
      <c r="AX205" s="256"/>
      <c r="AY205" s="241"/>
      <c r="AZ205" s="256"/>
      <c r="BA205" s="239"/>
      <c r="BB205" s="242"/>
      <c r="BC205" s="239"/>
      <c r="BD205" s="242"/>
      <c r="BE205" s="239"/>
      <c r="BF205" s="241"/>
      <c r="BG205" s="239"/>
      <c r="BH205" s="241"/>
      <c r="BI205" s="260"/>
      <c r="BJ205" s="241"/>
      <c r="BK205" s="260"/>
      <c r="BL205" s="239"/>
      <c r="BM205" s="256"/>
      <c r="BN205" s="241"/>
      <c r="BO205" s="243"/>
      <c r="BP205" s="241"/>
      <c r="BQ205" s="239"/>
      <c r="BR205" s="276"/>
      <c r="BS205" s="256"/>
      <c r="BT205" s="260"/>
      <c r="BU205" s="261"/>
      <c r="BV205" s="260"/>
      <c r="BW205" s="239"/>
      <c r="BX205" s="260"/>
      <c r="BY205" s="260"/>
      <c r="BZ205" s="239"/>
      <c r="CA205" s="260"/>
      <c r="CB205" s="239"/>
      <c r="CC205" s="260"/>
      <c r="CD205" s="539"/>
      <c r="CE205" s="239"/>
      <c r="CF205" s="276"/>
      <c r="CG205" s="256"/>
      <c r="CH205" s="259"/>
      <c r="CI205" s="347"/>
      <c r="CJ205" s="540"/>
      <c r="CK205" s="256"/>
      <c r="CL205" s="244">
        <v>1</v>
      </c>
      <c r="CM205" s="274">
        <f t="shared" si="3"/>
        <v>2015</v>
      </c>
      <c r="CN205" s="244">
        <f>IF('Grille de saisie'!CM205&lt;18,0,IF('Grille de saisie'!CM205&lt;40,1,IF('Grille de saisie'!CM205&lt;65,2,IF('Grille de saisie'!CM205&lt;100,3,4))))</f>
        <v>4</v>
      </c>
      <c r="CO205" s="236">
        <f>IF(AND('Grille de saisie'!C205=1,'Grille de saisie'!BZ205=0),1,IF(AND('Grille de saisie'!C205="",'Grille de saisie'!BZ205=""),3,IF(AND('Grille de saisie'!C205=5),3,2)))</f>
        <v>3</v>
      </c>
      <c r="CP205" s="236">
        <f>IF(AND('Grille de saisie'!C205=1,'Grille de saisie'!BZ205=0),1,IF(AND('Grille de saisie'!C205=1,'Grille de saisie'!BZ205=1),2,IF(AND('Grille de saisie'!C205=2,'Grille de saisie'!BZ205=0),2,IF(AND('Grille de saisie'!C205=3,'Grille de saisie'!BZ205=0),3,IF(AND('Grille de saisie'!C205=2,'Grille de saisie'!BZ205=1),3,IF(AND('Grille de saisie'!C205=1,'Grille de saisie'!BZ205=2),3,IF(AND('Grille de saisie'!C205="",'Grille de saisie'!BZ205=""),5,IF(AND('Grille de saisie'!C205=5),5,4))))))))</f>
        <v>5</v>
      </c>
      <c r="CQ205" s="237">
        <f>IF('Grille de saisie'!BZ205="",3,IF('Grille de saisie'!C205=5,3,IF('Grille de saisie'!BZ205=0,1,2)))</f>
        <v>3</v>
      </c>
    </row>
    <row r="206" spans="1:95" ht="15">
      <c r="A206" s="510">
        <v>204</v>
      </c>
      <c r="B206" s="240"/>
      <c r="C206" s="513"/>
      <c r="D206" s="240"/>
      <c r="E206" s="517"/>
      <c r="F206" s="265"/>
      <c r="G206" s="513"/>
      <c r="H206" s="265"/>
      <c r="I206" s="520"/>
      <c r="J206" s="241"/>
      <c r="K206" s="520"/>
      <c r="L206" s="241"/>
      <c r="M206" s="521"/>
      <c r="N206" s="241"/>
      <c r="O206" s="521"/>
      <c r="P206" s="241"/>
      <c r="Q206" s="520"/>
      <c r="R206" s="241"/>
      <c r="S206" s="520"/>
      <c r="T206" s="241"/>
      <c r="U206" s="520"/>
      <c r="V206" s="241"/>
      <c r="W206" s="242"/>
      <c r="X206" s="241"/>
      <c r="Y206" s="242"/>
      <c r="Z206" s="241"/>
      <c r="AA206" s="241"/>
      <c r="AB206" s="275"/>
      <c r="AC206" s="524"/>
      <c r="AD206" s="241"/>
      <c r="AE206" s="241"/>
      <c r="AF206" s="241"/>
      <c r="AG206" s="241"/>
      <c r="AH206" s="241"/>
      <c r="AI206" s="241"/>
      <c r="AJ206" s="529"/>
      <c r="AK206" s="258"/>
      <c r="AL206" s="241"/>
      <c r="AM206" s="242"/>
      <c r="AN206" s="241"/>
      <c r="AO206" s="242"/>
      <c r="AP206" s="241"/>
      <c r="AQ206" s="242"/>
      <c r="AR206" s="241"/>
      <c r="AS206" s="242"/>
      <c r="AT206" s="241"/>
      <c r="AU206" s="241"/>
      <c r="AV206" s="256"/>
      <c r="AW206" s="241"/>
      <c r="AX206" s="256"/>
      <c r="AY206" s="241"/>
      <c r="AZ206" s="256"/>
      <c r="BA206" s="239"/>
      <c r="BB206" s="242"/>
      <c r="BC206" s="239"/>
      <c r="BD206" s="242"/>
      <c r="BE206" s="239"/>
      <c r="BF206" s="241"/>
      <c r="BG206" s="239"/>
      <c r="BH206" s="241"/>
      <c r="BI206" s="260"/>
      <c r="BJ206" s="241"/>
      <c r="BK206" s="260"/>
      <c r="BL206" s="239"/>
      <c r="BM206" s="256"/>
      <c r="BN206" s="241"/>
      <c r="BO206" s="243"/>
      <c r="BP206" s="241"/>
      <c r="BQ206" s="239"/>
      <c r="BR206" s="276"/>
      <c r="BS206" s="256"/>
      <c r="BT206" s="260"/>
      <c r="BU206" s="261"/>
      <c r="BV206" s="260"/>
      <c r="BW206" s="239"/>
      <c r="BX206" s="260"/>
      <c r="BY206" s="260"/>
      <c r="BZ206" s="239"/>
      <c r="CA206" s="260"/>
      <c r="CB206" s="239"/>
      <c r="CC206" s="260"/>
      <c r="CD206" s="539"/>
      <c r="CE206" s="239"/>
      <c r="CF206" s="276"/>
      <c r="CG206" s="256"/>
      <c r="CH206" s="259"/>
      <c r="CI206" s="347"/>
      <c r="CJ206" s="540"/>
      <c r="CK206" s="256"/>
      <c r="CL206" s="244">
        <v>1</v>
      </c>
      <c r="CM206" s="274">
        <f t="shared" si="3"/>
        <v>2015</v>
      </c>
      <c r="CN206" s="244">
        <f>IF('Grille de saisie'!CM206&lt;18,0,IF('Grille de saisie'!CM206&lt;40,1,IF('Grille de saisie'!CM206&lt;65,2,IF('Grille de saisie'!CM206&lt;100,3,4))))</f>
        <v>4</v>
      </c>
      <c r="CO206" s="236">
        <f>IF(AND('Grille de saisie'!C206=1,'Grille de saisie'!BZ206=0),1,IF(AND('Grille de saisie'!C206="",'Grille de saisie'!BZ206=""),3,IF(AND('Grille de saisie'!C206=5),3,2)))</f>
        <v>3</v>
      </c>
      <c r="CP206" s="236">
        <f>IF(AND('Grille de saisie'!C206=1,'Grille de saisie'!BZ206=0),1,IF(AND('Grille de saisie'!C206=1,'Grille de saisie'!BZ206=1),2,IF(AND('Grille de saisie'!C206=2,'Grille de saisie'!BZ206=0),2,IF(AND('Grille de saisie'!C206=3,'Grille de saisie'!BZ206=0),3,IF(AND('Grille de saisie'!C206=2,'Grille de saisie'!BZ206=1),3,IF(AND('Grille de saisie'!C206=1,'Grille de saisie'!BZ206=2),3,IF(AND('Grille de saisie'!C206="",'Grille de saisie'!BZ206=""),5,IF(AND('Grille de saisie'!C206=5),5,4))))))))</f>
        <v>5</v>
      </c>
      <c r="CQ206" s="237">
        <f>IF('Grille de saisie'!BZ206="",3,IF('Grille de saisie'!C206=5,3,IF('Grille de saisie'!BZ206=0,1,2)))</f>
        <v>3</v>
      </c>
    </row>
    <row r="207" spans="1:95" ht="15">
      <c r="A207" s="511">
        <v>205</v>
      </c>
      <c r="B207" s="240"/>
      <c r="C207" s="513"/>
      <c r="D207" s="240"/>
      <c r="E207" s="517"/>
      <c r="F207" s="265"/>
      <c r="G207" s="513"/>
      <c r="H207" s="265"/>
      <c r="I207" s="520"/>
      <c r="J207" s="241"/>
      <c r="K207" s="520"/>
      <c r="L207" s="241"/>
      <c r="M207" s="521"/>
      <c r="N207" s="241"/>
      <c r="O207" s="521"/>
      <c r="P207" s="241"/>
      <c r="Q207" s="520"/>
      <c r="R207" s="241"/>
      <c r="S207" s="520"/>
      <c r="T207" s="241"/>
      <c r="U207" s="520"/>
      <c r="V207" s="241"/>
      <c r="W207" s="242"/>
      <c r="X207" s="241"/>
      <c r="Y207" s="242"/>
      <c r="Z207" s="241"/>
      <c r="AA207" s="241"/>
      <c r="AB207" s="275"/>
      <c r="AC207" s="524"/>
      <c r="AD207" s="241"/>
      <c r="AE207" s="241"/>
      <c r="AF207" s="241"/>
      <c r="AG207" s="241"/>
      <c r="AH207" s="241"/>
      <c r="AI207" s="241"/>
      <c r="AJ207" s="529"/>
      <c r="AK207" s="258"/>
      <c r="AL207" s="241"/>
      <c r="AM207" s="242"/>
      <c r="AN207" s="241"/>
      <c r="AO207" s="242"/>
      <c r="AP207" s="241"/>
      <c r="AQ207" s="242"/>
      <c r="AR207" s="241"/>
      <c r="AS207" s="242"/>
      <c r="AT207" s="241"/>
      <c r="AU207" s="241"/>
      <c r="AV207" s="256"/>
      <c r="AW207" s="241"/>
      <c r="AX207" s="256"/>
      <c r="AY207" s="241"/>
      <c r="AZ207" s="256"/>
      <c r="BA207" s="239"/>
      <c r="BB207" s="242"/>
      <c r="BC207" s="239"/>
      <c r="BD207" s="242"/>
      <c r="BE207" s="239"/>
      <c r="BF207" s="241"/>
      <c r="BG207" s="239"/>
      <c r="BH207" s="241"/>
      <c r="BI207" s="260"/>
      <c r="BJ207" s="241"/>
      <c r="BK207" s="260"/>
      <c r="BL207" s="239"/>
      <c r="BM207" s="256"/>
      <c r="BN207" s="241"/>
      <c r="BO207" s="243"/>
      <c r="BP207" s="241"/>
      <c r="BQ207" s="239"/>
      <c r="BR207" s="276"/>
      <c r="BS207" s="256"/>
      <c r="BT207" s="260"/>
      <c r="BU207" s="261"/>
      <c r="BV207" s="260"/>
      <c r="BW207" s="239"/>
      <c r="BX207" s="260"/>
      <c r="BY207" s="260"/>
      <c r="BZ207" s="239"/>
      <c r="CA207" s="260"/>
      <c r="CB207" s="239"/>
      <c r="CC207" s="260"/>
      <c r="CD207" s="539"/>
      <c r="CE207" s="239"/>
      <c r="CF207" s="276"/>
      <c r="CG207" s="256"/>
      <c r="CH207" s="259"/>
      <c r="CI207" s="347"/>
      <c r="CJ207" s="540"/>
      <c r="CK207" s="256"/>
      <c r="CL207" s="244">
        <v>1</v>
      </c>
      <c r="CM207" s="274">
        <f t="shared" si="3"/>
        <v>2015</v>
      </c>
      <c r="CN207" s="244">
        <f>IF('Grille de saisie'!CM207&lt;18,0,IF('Grille de saisie'!CM207&lt;40,1,IF('Grille de saisie'!CM207&lt;65,2,IF('Grille de saisie'!CM207&lt;100,3,4))))</f>
        <v>4</v>
      </c>
      <c r="CO207" s="236">
        <f>IF(AND('Grille de saisie'!C207=1,'Grille de saisie'!BZ207=0),1,IF(AND('Grille de saisie'!C207="",'Grille de saisie'!BZ207=""),3,IF(AND('Grille de saisie'!C207=5),3,2)))</f>
        <v>3</v>
      </c>
      <c r="CP207" s="236">
        <f>IF(AND('Grille de saisie'!C207=1,'Grille de saisie'!BZ207=0),1,IF(AND('Grille de saisie'!C207=1,'Grille de saisie'!BZ207=1),2,IF(AND('Grille de saisie'!C207=2,'Grille de saisie'!BZ207=0),2,IF(AND('Grille de saisie'!C207=3,'Grille de saisie'!BZ207=0),3,IF(AND('Grille de saisie'!C207=2,'Grille de saisie'!BZ207=1),3,IF(AND('Grille de saisie'!C207=1,'Grille de saisie'!BZ207=2),3,IF(AND('Grille de saisie'!C207="",'Grille de saisie'!BZ207=""),5,IF(AND('Grille de saisie'!C207=5),5,4))))))))</f>
        <v>5</v>
      </c>
      <c r="CQ207" s="237">
        <f>IF('Grille de saisie'!BZ207="",3,IF('Grille de saisie'!C207=5,3,IF('Grille de saisie'!BZ207=0,1,2)))</f>
        <v>3</v>
      </c>
    </row>
    <row r="208" spans="1:95" ht="15">
      <c r="A208" s="510">
        <v>206</v>
      </c>
      <c r="B208" s="240"/>
      <c r="C208" s="513"/>
      <c r="D208" s="240"/>
      <c r="E208" s="517"/>
      <c r="F208" s="265"/>
      <c r="G208" s="513"/>
      <c r="H208" s="265"/>
      <c r="I208" s="520"/>
      <c r="J208" s="241"/>
      <c r="K208" s="520"/>
      <c r="L208" s="241"/>
      <c r="M208" s="521"/>
      <c r="N208" s="241"/>
      <c r="O208" s="521"/>
      <c r="P208" s="241"/>
      <c r="Q208" s="520"/>
      <c r="R208" s="241"/>
      <c r="S208" s="520"/>
      <c r="T208" s="241"/>
      <c r="U208" s="520"/>
      <c r="V208" s="241"/>
      <c r="W208" s="242"/>
      <c r="X208" s="241"/>
      <c r="Y208" s="242"/>
      <c r="Z208" s="241"/>
      <c r="AA208" s="241"/>
      <c r="AB208" s="275"/>
      <c r="AC208" s="524"/>
      <c r="AD208" s="241"/>
      <c r="AE208" s="241"/>
      <c r="AF208" s="241"/>
      <c r="AG208" s="241"/>
      <c r="AH208" s="241"/>
      <c r="AI208" s="241"/>
      <c r="AJ208" s="529"/>
      <c r="AK208" s="258"/>
      <c r="AL208" s="241"/>
      <c r="AM208" s="242"/>
      <c r="AN208" s="241"/>
      <c r="AO208" s="242"/>
      <c r="AP208" s="241"/>
      <c r="AQ208" s="242"/>
      <c r="AR208" s="241"/>
      <c r="AS208" s="242"/>
      <c r="AT208" s="241"/>
      <c r="AU208" s="241"/>
      <c r="AV208" s="256"/>
      <c r="AW208" s="241"/>
      <c r="AX208" s="256"/>
      <c r="AY208" s="241"/>
      <c r="AZ208" s="256"/>
      <c r="BA208" s="239"/>
      <c r="BB208" s="242"/>
      <c r="BC208" s="239"/>
      <c r="BD208" s="242"/>
      <c r="BE208" s="239"/>
      <c r="BF208" s="241"/>
      <c r="BG208" s="239"/>
      <c r="BH208" s="241"/>
      <c r="BI208" s="260"/>
      <c r="BJ208" s="241"/>
      <c r="BK208" s="260"/>
      <c r="BL208" s="239"/>
      <c r="BM208" s="256"/>
      <c r="BN208" s="241"/>
      <c r="BO208" s="243"/>
      <c r="BP208" s="241"/>
      <c r="BQ208" s="239"/>
      <c r="BR208" s="276"/>
      <c r="BS208" s="256"/>
      <c r="BT208" s="260"/>
      <c r="BU208" s="261"/>
      <c r="BV208" s="260"/>
      <c r="BW208" s="239"/>
      <c r="BX208" s="260"/>
      <c r="BY208" s="260"/>
      <c r="BZ208" s="239"/>
      <c r="CA208" s="260"/>
      <c r="CB208" s="239"/>
      <c r="CC208" s="260"/>
      <c r="CD208" s="539"/>
      <c r="CE208" s="239"/>
      <c r="CF208" s="276"/>
      <c r="CG208" s="256"/>
      <c r="CH208" s="259"/>
      <c r="CI208" s="347"/>
      <c r="CJ208" s="540"/>
      <c r="CK208" s="256"/>
      <c r="CL208" s="244">
        <v>1</v>
      </c>
      <c r="CM208" s="274">
        <f t="shared" si="3"/>
        <v>2015</v>
      </c>
      <c r="CN208" s="244">
        <f>IF('Grille de saisie'!CM208&lt;18,0,IF('Grille de saisie'!CM208&lt;40,1,IF('Grille de saisie'!CM208&lt;65,2,IF('Grille de saisie'!CM208&lt;100,3,4))))</f>
        <v>4</v>
      </c>
      <c r="CO208" s="236">
        <f>IF(AND('Grille de saisie'!C208=1,'Grille de saisie'!BZ208=0),1,IF(AND('Grille de saisie'!C208="",'Grille de saisie'!BZ208=""),3,IF(AND('Grille de saisie'!C208=5),3,2)))</f>
        <v>3</v>
      </c>
      <c r="CP208" s="236">
        <f>IF(AND('Grille de saisie'!C208=1,'Grille de saisie'!BZ208=0),1,IF(AND('Grille de saisie'!C208=1,'Grille de saisie'!BZ208=1),2,IF(AND('Grille de saisie'!C208=2,'Grille de saisie'!BZ208=0),2,IF(AND('Grille de saisie'!C208=3,'Grille de saisie'!BZ208=0),3,IF(AND('Grille de saisie'!C208=2,'Grille de saisie'!BZ208=1),3,IF(AND('Grille de saisie'!C208=1,'Grille de saisie'!BZ208=2),3,IF(AND('Grille de saisie'!C208="",'Grille de saisie'!BZ208=""),5,IF(AND('Grille de saisie'!C208=5),5,4))))))))</f>
        <v>5</v>
      </c>
      <c r="CQ208" s="237">
        <f>IF('Grille de saisie'!BZ208="",3,IF('Grille de saisie'!C208=5,3,IF('Grille de saisie'!BZ208=0,1,2)))</f>
        <v>3</v>
      </c>
    </row>
    <row r="209" spans="1:95" ht="15">
      <c r="A209" s="510">
        <v>207</v>
      </c>
      <c r="B209" s="240"/>
      <c r="C209" s="513"/>
      <c r="D209" s="240"/>
      <c r="E209" s="517"/>
      <c r="F209" s="265"/>
      <c r="G209" s="513"/>
      <c r="H209" s="265"/>
      <c r="I209" s="520"/>
      <c r="J209" s="241"/>
      <c r="K209" s="520"/>
      <c r="L209" s="241"/>
      <c r="M209" s="521"/>
      <c r="N209" s="241"/>
      <c r="O209" s="521"/>
      <c r="P209" s="241"/>
      <c r="Q209" s="520"/>
      <c r="R209" s="241"/>
      <c r="S209" s="520"/>
      <c r="T209" s="241"/>
      <c r="U209" s="520"/>
      <c r="V209" s="241"/>
      <c r="W209" s="242"/>
      <c r="X209" s="241"/>
      <c r="Y209" s="242"/>
      <c r="Z209" s="241"/>
      <c r="AA209" s="241"/>
      <c r="AB209" s="275"/>
      <c r="AC209" s="524"/>
      <c r="AD209" s="241"/>
      <c r="AE209" s="241"/>
      <c r="AF209" s="241"/>
      <c r="AG209" s="241"/>
      <c r="AH209" s="241"/>
      <c r="AI209" s="241"/>
      <c r="AJ209" s="529"/>
      <c r="AK209" s="258"/>
      <c r="AL209" s="241"/>
      <c r="AM209" s="242"/>
      <c r="AN209" s="241"/>
      <c r="AO209" s="242"/>
      <c r="AP209" s="241"/>
      <c r="AQ209" s="242"/>
      <c r="AR209" s="241"/>
      <c r="AS209" s="242"/>
      <c r="AT209" s="241"/>
      <c r="AU209" s="241"/>
      <c r="AV209" s="256"/>
      <c r="AW209" s="241"/>
      <c r="AX209" s="256"/>
      <c r="AY209" s="241"/>
      <c r="AZ209" s="256"/>
      <c r="BA209" s="239"/>
      <c r="BB209" s="242"/>
      <c r="BC209" s="239"/>
      <c r="BD209" s="242"/>
      <c r="BE209" s="239"/>
      <c r="BF209" s="241"/>
      <c r="BG209" s="239"/>
      <c r="BH209" s="241"/>
      <c r="BI209" s="260"/>
      <c r="BJ209" s="241"/>
      <c r="BK209" s="260"/>
      <c r="BL209" s="239"/>
      <c r="BM209" s="256"/>
      <c r="BN209" s="241"/>
      <c r="BO209" s="243"/>
      <c r="BP209" s="241"/>
      <c r="BQ209" s="239"/>
      <c r="BR209" s="276"/>
      <c r="BS209" s="256"/>
      <c r="BT209" s="260"/>
      <c r="BU209" s="261"/>
      <c r="BV209" s="260"/>
      <c r="BW209" s="239"/>
      <c r="BX209" s="260"/>
      <c r="BY209" s="260"/>
      <c r="BZ209" s="239"/>
      <c r="CA209" s="260"/>
      <c r="CB209" s="239"/>
      <c r="CC209" s="260"/>
      <c r="CD209" s="539"/>
      <c r="CE209" s="239"/>
      <c r="CF209" s="276"/>
      <c r="CG209" s="256"/>
      <c r="CH209" s="259"/>
      <c r="CI209" s="347"/>
      <c r="CJ209" s="540"/>
      <c r="CK209" s="256"/>
      <c r="CL209" s="244">
        <v>1</v>
      </c>
      <c r="CM209" s="274">
        <f t="shared" si="3"/>
        <v>2015</v>
      </c>
      <c r="CN209" s="244">
        <f>IF('Grille de saisie'!CM209&lt;18,0,IF('Grille de saisie'!CM209&lt;40,1,IF('Grille de saisie'!CM209&lt;65,2,IF('Grille de saisie'!CM209&lt;100,3,4))))</f>
        <v>4</v>
      </c>
      <c r="CO209" s="236">
        <f>IF(AND('Grille de saisie'!C209=1,'Grille de saisie'!BZ209=0),1,IF(AND('Grille de saisie'!C209="",'Grille de saisie'!BZ209=""),3,IF(AND('Grille de saisie'!C209=5),3,2)))</f>
        <v>3</v>
      </c>
      <c r="CP209" s="236">
        <f>IF(AND('Grille de saisie'!C209=1,'Grille de saisie'!BZ209=0),1,IF(AND('Grille de saisie'!C209=1,'Grille de saisie'!BZ209=1),2,IF(AND('Grille de saisie'!C209=2,'Grille de saisie'!BZ209=0),2,IF(AND('Grille de saisie'!C209=3,'Grille de saisie'!BZ209=0),3,IF(AND('Grille de saisie'!C209=2,'Grille de saisie'!BZ209=1),3,IF(AND('Grille de saisie'!C209=1,'Grille de saisie'!BZ209=2),3,IF(AND('Grille de saisie'!C209="",'Grille de saisie'!BZ209=""),5,IF(AND('Grille de saisie'!C209=5),5,4))))))))</f>
        <v>5</v>
      </c>
      <c r="CQ209" s="237">
        <f>IF('Grille de saisie'!BZ209="",3,IF('Grille de saisie'!C209=5,3,IF('Grille de saisie'!BZ209=0,1,2)))</f>
        <v>3</v>
      </c>
    </row>
    <row r="210" spans="1:95" ht="15">
      <c r="A210" s="511">
        <v>208</v>
      </c>
      <c r="B210" s="240"/>
      <c r="C210" s="513"/>
      <c r="D210" s="240"/>
      <c r="E210" s="517"/>
      <c r="F210" s="265"/>
      <c r="G210" s="513"/>
      <c r="H210" s="265"/>
      <c r="I210" s="520"/>
      <c r="J210" s="241"/>
      <c r="K210" s="520"/>
      <c r="L210" s="241"/>
      <c r="M210" s="521"/>
      <c r="N210" s="241"/>
      <c r="O210" s="521"/>
      <c r="P210" s="241"/>
      <c r="Q210" s="520"/>
      <c r="R210" s="241"/>
      <c r="S210" s="520"/>
      <c r="T210" s="241"/>
      <c r="U210" s="520"/>
      <c r="V210" s="241"/>
      <c r="W210" s="242"/>
      <c r="X210" s="241"/>
      <c r="Y210" s="242"/>
      <c r="Z210" s="241"/>
      <c r="AA210" s="241"/>
      <c r="AB210" s="275"/>
      <c r="AC210" s="524"/>
      <c r="AD210" s="241"/>
      <c r="AE210" s="241"/>
      <c r="AF210" s="241"/>
      <c r="AG210" s="241"/>
      <c r="AH210" s="241"/>
      <c r="AI210" s="241"/>
      <c r="AJ210" s="529"/>
      <c r="AK210" s="258"/>
      <c r="AL210" s="241"/>
      <c r="AM210" s="242"/>
      <c r="AN210" s="241"/>
      <c r="AO210" s="242"/>
      <c r="AP210" s="241"/>
      <c r="AQ210" s="242"/>
      <c r="AR210" s="241"/>
      <c r="AS210" s="242"/>
      <c r="AT210" s="241"/>
      <c r="AU210" s="241"/>
      <c r="AV210" s="256"/>
      <c r="AW210" s="241"/>
      <c r="AX210" s="256"/>
      <c r="AY210" s="241"/>
      <c r="AZ210" s="256"/>
      <c r="BA210" s="239"/>
      <c r="BB210" s="242"/>
      <c r="BC210" s="239"/>
      <c r="BD210" s="242"/>
      <c r="BE210" s="239"/>
      <c r="BF210" s="241"/>
      <c r="BG210" s="239"/>
      <c r="BH210" s="241"/>
      <c r="BI210" s="260"/>
      <c r="BJ210" s="241"/>
      <c r="BK210" s="260"/>
      <c r="BL210" s="239"/>
      <c r="BM210" s="256"/>
      <c r="BN210" s="241"/>
      <c r="BO210" s="243"/>
      <c r="BP210" s="241"/>
      <c r="BQ210" s="239"/>
      <c r="BR210" s="276"/>
      <c r="BS210" s="256"/>
      <c r="BT210" s="260"/>
      <c r="BU210" s="261"/>
      <c r="BV210" s="260"/>
      <c r="BW210" s="239"/>
      <c r="BX210" s="260"/>
      <c r="BY210" s="260"/>
      <c r="BZ210" s="239"/>
      <c r="CA210" s="260"/>
      <c r="CB210" s="239"/>
      <c r="CC210" s="260"/>
      <c r="CD210" s="539"/>
      <c r="CE210" s="239"/>
      <c r="CF210" s="276"/>
      <c r="CG210" s="256"/>
      <c r="CH210" s="259"/>
      <c r="CI210" s="347"/>
      <c r="CJ210" s="540"/>
      <c r="CK210" s="256"/>
      <c r="CL210" s="244">
        <v>1</v>
      </c>
      <c r="CM210" s="274">
        <f t="shared" si="3"/>
        <v>2015</v>
      </c>
      <c r="CN210" s="244">
        <f>IF('Grille de saisie'!CM210&lt;18,0,IF('Grille de saisie'!CM210&lt;40,1,IF('Grille de saisie'!CM210&lt;65,2,IF('Grille de saisie'!CM210&lt;100,3,4))))</f>
        <v>4</v>
      </c>
      <c r="CO210" s="236">
        <f>IF(AND('Grille de saisie'!C210=1,'Grille de saisie'!BZ210=0),1,IF(AND('Grille de saisie'!C210="",'Grille de saisie'!BZ210=""),3,IF(AND('Grille de saisie'!C210=5),3,2)))</f>
        <v>3</v>
      </c>
      <c r="CP210" s="236">
        <f>IF(AND('Grille de saisie'!C210=1,'Grille de saisie'!BZ210=0),1,IF(AND('Grille de saisie'!C210=1,'Grille de saisie'!BZ210=1),2,IF(AND('Grille de saisie'!C210=2,'Grille de saisie'!BZ210=0),2,IF(AND('Grille de saisie'!C210=3,'Grille de saisie'!BZ210=0),3,IF(AND('Grille de saisie'!C210=2,'Grille de saisie'!BZ210=1),3,IF(AND('Grille de saisie'!C210=1,'Grille de saisie'!BZ210=2),3,IF(AND('Grille de saisie'!C210="",'Grille de saisie'!BZ210=""),5,IF(AND('Grille de saisie'!C210=5),5,4))))))))</f>
        <v>5</v>
      </c>
      <c r="CQ210" s="237">
        <f>IF('Grille de saisie'!BZ210="",3,IF('Grille de saisie'!C210=5,3,IF('Grille de saisie'!BZ210=0,1,2)))</f>
        <v>3</v>
      </c>
    </row>
    <row r="211" spans="1:95" ht="15">
      <c r="A211" s="510">
        <v>209</v>
      </c>
      <c r="B211" s="240"/>
      <c r="C211" s="513"/>
      <c r="D211" s="240"/>
      <c r="E211" s="517"/>
      <c r="F211" s="265"/>
      <c r="G211" s="513"/>
      <c r="H211" s="265"/>
      <c r="I211" s="520"/>
      <c r="J211" s="241"/>
      <c r="K211" s="520"/>
      <c r="L211" s="241"/>
      <c r="M211" s="521"/>
      <c r="N211" s="241"/>
      <c r="O211" s="521"/>
      <c r="P211" s="241"/>
      <c r="Q211" s="520"/>
      <c r="R211" s="241"/>
      <c r="S211" s="520"/>
      <c r="T211" s="241"/>
      <c r="U211" s="520"/>
      <c r="V211" s="241"/>
      <c r="W211" s="242"/>
      <c r="X211" s="241"/>
      <c r="Y211" s="242"/>
      <c r="Z211" s="241"/>
      <c r="AA211" s="241"/>
      <c r="AB211" s="275"/>
      <c r="AC211" s="524"/>
      <c r="AD211" s="241"/>
      <c r="AE211" s="241"/>
      <c r="AF211" s="241"/>
      <c r="AG211" s="241"/>
      <c r="AH211" s="241"/>
      <c r="AI211" s="241"/>
      <c r="AJ211" s="529"/>
      <c r="AK211" s="258"/>
      <c r="AL211" s="241"/>
      <c r="AM211" s="242"/>
      <c r="AN211" s="241"/>
      <c r="AO211" s="242"/>
      <c r="AP211" s="241"/>
      <c r="AQ211" s="242"/>
      <c r="AR211" s="241"/>
      <c r="AS211" s="242"/>
      <c r="AT211" s="241"/>
      <c r="AU211" s="241"/>
      <c r="AV211" s="256"/>
      <c r="AW211" s="241"/>
      <c r="AX211" s="256"/>
      <c r="AY211" s="241"/>
      <c r="AZ211" s="256"/>
      <c r="BA211" s="239"/>
      <c r="BB211" s="242"/>
      <c r="BC211" s="239"/>
      <c r="BD211" s="242"/>
      <c r="BE211" s="239"/>
      <c r="BF211" s="241"/>
      <c r="BG211" s="239"/>
      <c r="BH211" s="241"/>
      <c r="BI211" s="260"/>
      <c r="BJ211" s="241"/>
      <c r="BK211" s="260"/>
      <c r="BL211" s="239"/>
      <c r="BM211" s="256"/>
      <c r="BN211" s="241"/>
      <c r="BO211" s="243"/>
      <c r="BP211" s="241"/>
      <c r="BQ211" s="239"/>
      <c r="BR211" s="276"/>
      <c r="BS211" s="256"/>
      <c r="BT211" s="260"/>
      <c r="BU211" s="261"/>
      <c r="BV211" s="260"/>
      <c r="BW211" s="239"/>
      <c r="BX211" s="260"/>
      <c r="BY211" s="260"/>
      <c r="BZ211" s="239"/>
      <c r="CA211" s="260"/>
      <c r="CB211" s="239"/>
      <c r="CC211" s="260"/>
      <c r="CD211" s="539"/>
      <c r="CE211" s="239"/>
      <c r="CF211" s="276"/>
      <c r="CG211" s="256"/>
      <c r="CH211" s="259"/>
      <c r="CI211" s="347"/>
      <c r="CJ211" s="540"/>
      <c r="CK211" s="256"/>
      <c r="CL211" s="244">
        <v>1</v>
      </c>
      <c r="CM211" s="274">
        <f t="shared" si="3"/>
        <v>2015</v>
      </c>
      <c r="CN211" s="244">
        <f>IF('Grille de saisie'!CM211&lt;18,0,IF('Grille de saisie'!CM211&lt;40,1,IF('Grille de saisie'!CM211&lt;65,2,IF('Grille de saisie'!CM211&lt;100,3,4))))</f>
        <v>4</v>
      </c>
      <c r="CO211" s="236">
        <f>IF(AND('Grille de saisie'!C211=1,'Grille de saisie'!BZ211=0),1,IF(AND('Grille de saisie'!C211="",'Grille de saisie'!BZ211=""),3,IF(AND('Grille de saisie'!C211=5),3,2)))</f>
        <v>3</v>
      </c>
      <c r="CP211" s="236">
        <f>IF(AND('Grille de saisie'!C211=1,'Grille de saisie'!BZ211=0),1,IF(AND('Grille de saisie'!C211=1,'Grille de saisie'!BZ211=1),2,IF(AND('Grille de saisie'!C211=2,'Grille de saisie'!BZ211=0),2,IF(AND('Grille de saisie'!C211=3,'Grille de saisie'!BZ211=0),3,IF(AND('Grille de saisie'!C211=2,'Grille de saisie'!BZ211=1),3,IF(AND('Grille de saisie'!C211=1,'Grille de saisie'!BZ211=2),3,IF(AND('Grille de saisie'!C211="",'Grille de saisie'!BZ211=""),5,IF(AND('Grille de saisie'!C211=5),5,4))))))))</f>
        <v>5</v>
      </c>
      <c r="CQ211" s="237">
        <f>IF('Grille de saisie'!BZ211="",3,IF('Grille de saisie'!C211=5,3,IF('Grille de saisie'!BZ211=0,1,2)))</f>
        <v>3</v>
      </c>
    </row>
    <row r="212" spans="1:95" ht="15">
      <c r="A212" s="510">
        <v>210</v>
      </c>
      <c r="B212" s="240"/>
      <c r="C212" s="513"/>
      <c r="D212" s="240"/>
      <c r="E212" s="517"/>
      <c r="F212" s="265"/>
      <c r="G212" s="513"/>
      <c r="H212" s="265"/>
      <c r="I212" s="520"/>
      <c r="J212" s="241"/>
      <c r="K212" s="520"/>
      <c r="L212" s="241"/>
      <c r="M212" s="521"/>
      <c r="N212" s="241"/>
      <c r="O212" s="521"/>
      <c r="P212" s="241"/>
      <c r="Q212" s="520"/>
      <c r="R212" s="241"/>
      <c r="S212" s="520"/>
      <c r="T212" s="241"/>
      <c r="U212" s="520"/>
      <c r="V212" s="241"/>
      <c r="W212" s="242"/>
      <c r="X212" s="241"/>
      <c r="Y212" s="242"/>
      <c r="Z212" s="241"/>
      <c r="AA212" s="241"/>
      <c r="AB212" s="275"/>
      <c r="AC212" s="524"/>
      <c r="AD212" s="241"/>
      <c r="AE212" s="241"/>
      <c r="AF212" s="241"/>
      <c r="AG212" s="241"/>
      <c r="AH212" s="241"/>
      <c r="AI212" s="241"/>
      <c r="AJ212" s="529"/>
      <c r="AK212" s="258"/>
      <c r="AL212" s="241"/>
      <c r="AM212" s="242"/>
      <c r="AN212" s="241"/>
      <c r="AO212" s="242"/>
      <c r="AP212" s="241"/>
      <c r="AQ212" s="242"/>
      <c r="AR212" s="241"/>
      <c r="AS212" s="242"/>
      <c r="AT212" s="241"/>
      <c r="AU212" s="241"/>
      <c r="AV212" s="256"/>
      <c r="AW212" s="241"/>
      <c r="AX212" s="256"/>
      <c r="AY212" s="241"/>
      <c r="AZ212" s="256"/>
      <c r="BA212" s="239"/>
      <c r="BB212" s="242"/>
      <c r="BC212" s="239"/>
      <c r="BD212" s="242"/>
      <c r="BE212" s="239"/>
      <c r="BF212" s="241"/>
      <c r="BG212" s="239"/>
      <c r="BH212" s="241"/>
      <c r="BI212" s="260"/>
      <c r="BJ212" s="241"/>
      <c r="BK212" s="260"/>
      <c r="BL212" s="239"/>
      <c r="BM212" s="256"/>
      <c r="BN212" s="241"/>
      <c r="BO212" s="243"/>
      <c r="BP212" s="241"/>
      <c r="BQ212" s="239"/>
      <c r="BR212" s="276"/>
      <c r="BS212" s="256"/>
      <c r="BT212" s="260"/>
      <c r="BU212" s="261"/>
      <c r="BV212" s="260"/>
      <c r="BW212" s="239"/>
      <c r="BX212" s="260"/>
      <c r="BY212" s="260"/>
      <c r="BZ212" s="239"/>
      <c r="CA212" s="260"/>
      <c r="CB212" s="239"/>
      <c r="CC212" s="260"/>
      <c r="CD212" s="539"/>
      <c r="CE212" s="239"/>
      <c r="CF212" s="276"/>
      <c r="CG212" s="256"/>
      <c r="CH212" s="259"/>
      <c r="CI212" s="347"/>
      <c r="CJ212" s="540"/>
      <c r="CK212" s="256"/>
      <c r="CL212" s="244">
        <v>1</v>
      </c>
      <c r="CM212" s="274">
        <f t="shared" si="3"/>
        <v>2015</v>
      </c>
      <c r="CN212" s="244">
        <f>IF('Grille de saisie'!CM212&lt;18,0,IF('Grille de saisie'!CM212&lt;40,1,IF('Grille de saisie'!CM212&lt;65,2,IF('Grille de saisie'!CM212&lt;100,3,4))))</f>
        <v>4</v>
      </c>
      <c r="CO212" s="236">
        <f>IF(AND('Grille de saisie'!C212=1,'Grille de saisie'!BZ212=0),1,IF(AND('Grille de saisie'!C212="",'Grille de saisie'!BZ212=""),3,IF(AND('Grille de saisie'!C212=5),3,2)))</f>
        <v>3</v>
      </c>
      <c r="CP212" s="236">
        <f>IF(AND('Grille de saisie'!C212=1,'Grille de saisie'!BZ212=0),1,IF(AND('Grille de saisie'!C212=1,'Grille de saisie'!BZ212=1),2,IF(AND('Grille de saisie'!C212=2,'Grille de saisie'!BZ212=0),2,IF(AND('Grille de saisie'!C212=3,'Grille de saisie'!BZ212=0),3,IF(AND('Grille de saisie'!C212=2,'Grille de saisie'!BZ212=1),3,IF(AND('Grille de saisie'!C212=1,'Grille de saisie'!BZ212=2),3,IF(AND('Grille de saisie'!C212="",'Grille de saisie'!BZ212=""),5,IF(AND('Grille de saisie'!C212=5),5,4))))))))</f>
        <v>5</v>
      </c>
      <c r="CQ212" s="237">
        <f>IF('Grille de saisie'!BZ212="",3,IF('Grille de saisie'!C212=5,3,IF('Grille de saisie'!BZ212=0,1,2)))</f>
        <v>3</v>
      </c>
    </row>
    <row r="213" spans="1:95" ht="15">
      <c r="A213" s="511">
        <v>211</v>
      </c>
      <c r="B213" s="240"/>
      <c r="C213" s="513"/>
      <c r="D213" s="240"/>
      <c r="E213" s="517"/>
      <c r="F213" s="265"/>
      <c r="G213" s="513"/>
      <c r="H213" s="265"/>
      <c r="I213" s="520"/>
      <c r="J213" s="241"/>
      <c r="K213" s="520"/>
      <c r="L213" s="241"/>
      <c r="M213" s="521"/>
      <c r="N213" s="241"/>
      <c r="O213" s="521"/>
      <c r="P213" s="241"/>
      <c r="Q213" s="520"/>
      <c r="R213" s="241"/>
      <c r="S213" s="520"/>
      <c r="T213" s="241"/>
      <c r="U213" s="520"/>
      <c r="V213" s="241"/>
      <c r="W213" s="242"/>
      <c r="X213" s="241"/>
      <c r="Y213" s="242"/>
      <c r="Z213" s="241"/>
      <c r="AA213" s="241"/>
      <c r="AB213" s="275"/>
      <c r="AC213" s="524"/>
      <c r="AD213" s="241"/>
      <c r="AE213" s="241"/>
      <c r="AF213" s="241"/>
      <c r="AG213" s="241"/>
      <c r="AH213" s="241"/>
      <c r="AI213" s="241"/>
      <c r="AJ213" s="529"/>
      <c r="AK213" s="258"/>
      <c r="AL213" s="241"/>
      <c r="AM213" s="242"/>
      <c r="AN213" s="241"/>
      <c r="AO213" s="242"/>
      <c r="AP213" s="241"/>
      <c r="AQ213" s="242"/>
      <c r="AR213" s="241"/>
      <c r="AS213" s="242"/>
      <c r="AT213" s="241"/>
      <c r="AU213" s="241"/>
      <c r="AV213" s="256"/>
      <c r="AW213" s="241"/>
      <c r="AX213" s="256"/>
      <c r="AY213" s="241"/>
      <c r="AZ213" s="256"/>
      <c r="BA213" s="239"/>
      <c r="BB213" s="242"/>
      <c r="BC213" s="239"/>
      <c r="BD213" s="242"/>
      <c r="BE213" s="239"/>
      <c r="BF213" s="241"/>
      <c r="BG213" s="239"/>
      <c r="BH213" s="241"/>
      <c r="BI213" s="260"/>
      <c r="BJ213" s="241"/>
      <c r="BK213" s="260"/>
      <c r="BL213" s="239"/>
      <c r="BM213" s="256"/>
      <c r="BN213" s="241"/>
      <c r="BO213" s="243"/>
      <c r="BP213" s="241"/>
      <c r="BQ213" s="239"/>
      <c r="BR213" s="276"/>
      <c r="BS213" s="256"/>
      <c r="BT213" s="260"/>
      <c r="BU213" s="261"/>
      <c r="BV213" s="260"/>
      <c r="BW213" s="239"/>
      <c r="BX213" s="260"/>
      <c r="BY213" s="260"/>
      <c r="BZ213" s="239"/>
      <c r="CA213" s="260"/>
      <c r="CB213" s="239"/>
      <c r="CC213" s="260"/>
      <c r="CD213" s="539"/>
      <c r="CE213" s="239"/>
      <c r="CF213" s="276"/>
      <c r="CG213" s="256"/>
      <c r="CH213" s="259"/>
      <c r="CI213" s="347"/>
      <c r="CJ213" s="540"/>
      <c r="CK213" s="256"/>
      <c r="CL213" s="244">
        <v>1</v>
      </c>
      <c r="CM213" s="274">
        <f t="shared" si="3"/>
        <v>2015</v>
      </c>
      <c r="CN213" s="244">
        <f>IF('Grille de saisie'!CM213&lt;18,0,IF('Grille de saisie'!CM213&lt;40,1,IF('Grille de saisie'!CM213&lt;65,2,IF('Grille de saisie'!CM213&lt;100,3,4))))</f>
        <v>4</v>
      </c>
      <c r="CO213" s="236">
        <f>IF(AND('Grille de saisie'!C213=1,'Grille de saisie'!BZ213=0),1,IF(AND('Grille de saisie'!C213="",'Grille de saisie'!BZ213=""),3,IF(AND('Grille de saisie'!C213=5),3,2)))</f>
        <v>3</v>
      </c>
      <c r="CP213" s="236">
        <f>IF(AND('Grille de saisie'!C213=1,'Grille de saisie'!BZ213=0),1,IF(AND('Grille de saisie'!C213=1,'Grille de saisie'!BZ213=1),2,IF(AND('Grille de saisie'!C213=2,'Grille de saisie'!BZ213=0),2,IF(AND('Grille de saisie'!C213=3,'Grille de saisie'!BZ213=0),3,IF(AND('Grille de saisie'!C213=2,'Grille de saisie'!BZ213=1),3,IF(AND('Grille de saisie'!C213=1,'Grille de saisie'!BZ213=2),3,IF(AND('Grille de saisie'!C213="",'Grille de saisie'!BZ213=""),5,IF(AND('Grille de saisie'!C213=5),5,4))))))))</f>
        <v>5</v>
      </c>
      <c r="CQ213" s="237">
        <f>IF('Grille de saisie'!BZ213="",3,IF('Grille de saisie'!C213=5,3,IF('Grille de saisie'!BZ213=0,1,2)))</f>
        <v>3</v>
      </c>
    </row>
    <row r="214" spans="1:95" ht="15">
      <c r="A214" s="510">
        <v>212</v>
      </c>
      <c r="B214" s="240"/>
      <c r="C214" s="513"/>
      <c r="D214" s="240"/>
      <c r="E214" s="517"/>
      <c r="F214" s="265"/>
      <c r="G214" s="513"/>
      <c r="H214" s="265"/>
      <c r="I214" s="520"/>
      <c r="J214" s="241"/>
      <c r="K214" s="520"/>
      <c r="L214" s="241"/>
      <c r="M214" s="521"/>
      <c r="N214" s="241"/>
      <c r="O214" s="521"/>
      <c r="P214" s="241"/>
      <c r="Q214" s="520"/>
      <c r="R214" s="241"/>
      <c r="S214" s="520"/>
      <c r="T214" s="241"/>
      <c r="U214" s="520"/>
      <c r="V214" s="241"/>
      <c r="W214" s="242"/>
      <c r="X214" s="241"/>
      <c r="Y214" s="242"/>
      <c r="Z214" s="241"/>
      <c r="AA214" s="241"/>
      <c r="AB214" s="275"/>
      <c r="AC214" s="524"/>
      <c r="AD214" s="241"/>
      <c r="AE214" s="241"/>
      <c r="AF214" s="241"/>
      <c r="AG214" s="241"/>
      <c r="AH214" s="241"/>
      <c r="AI214" s="241"/>
      <c r="AJ214" s="529"/>
      <c r="AK214" s="258"/>
      <c r="AL214" s="241"/>
      <c r="AM214" s="242"/>
      <c r="AN214" s="241"/>
      <c r="AO214" s="242"/>
      <c r="AP214" s="241"/>
      <c r="AQ214" s="242"/>
      <c r="AR214" s="241"/>
      <c r="AS214" s="242"/>
      <c r="AT214" s="241"/>
      <c r="AU214" s="241"/>
      <c r="AV214" s="256"/>
      <c r="AW214" s="241"/>
      <c r="AX214" s="256"/>
      <c r="AY214" s="241"/>
      <c r="AZ214" s="256"/>
      <c r="BA214" s="239"/>
      <c r="BB214" s="242"/>
      <c r="BC214" s="239"/>
      <c r="BD214" s="242"/>
      <c r="BE214" s="239"/>
      <c r="BF214" s="241"/>
      <c r="BG214" s="239"/>
      <c r="BH214" s="241"/>
      <c r="BI214" s="260"/>
      <c r="BJ214" s="241"/>
      <c r="BK214" s="260"/>
      <c r="BL214" s="239"/>
      <c r="BM214" s="256"/>
      <c r="BN214" s="241"/>
      <c r="BO214" s="243"/>
      <c r="BP214" s="241"/>
      <c r="BQ214" s="239"/>
      <c r="BR214" s="276"/>
      <c r="BS214" s="256"/>
      <c r="BT214" s="260"/>
      <c r="BU214" s="261"/>
      <c r="BV214" s="260"/>
      <c r="BW214" s="239"/>
      <c r="BX214" s="260"/>
      <c r="BY214" s="260"/>
      <c r="BZ214" s="239"/>
      <c r="CA214" s="260"/>
      <c r="CB214" s="239"/>
      <c r="CC214" s="260"/>
      <c r="CD214" s="539"/>
      <c r="CE214" s="239"/>
      <c r="CF214" s="276"/>
      <c r="CG214" s="256"/>
      <c r="CH214" s="259"/>
      <c r="CI214" s="347"/>
      <c r="CJ214" s="540"/>
      <c r="CK214" s="256"/>
      <c r="CL214" s="244">
        <v>1</v>
      </c>
      <c r="CM214" s="274">
        <f t="shared" si="3"/>
        <v>2015</v>
      </c>
      <c r="CN214" s="244">
        <f>IF('Grille de saisie'!CM214&lt;18,0,IF('Grille de saisie'!CM214&lt;40,1,IF('Grille de saisie'!CM214&lt;65,2,IF('Grille de saisie'!CM214&lt;100,3,4))))</f>
        <v>4</v>
      </c>
      <c r="CO214" s="236">
        <f>IF(AND('Grille de saisie'!C214=1,'Grille de saisie'!BZ214=0),1,IF(AND('Grille de saisie'!C214="",'Grille de saisie'!BZ214=""),3,IF(AND('Grille de saisie'!C214=5),3,2)))</f>
        <v>3</v>
      </c>
      <c r="CP214" s="236">
        <f>IF(AND('Grille de saisie'!C214=1,'Grille de saisie'!BZ214=0),1,IF(AND('Grille de saisie'!C214=1,'Grille de saisie'!BZ214=1),2,IF(AND('Grille de saisie'!C214=2,'Grille de saisie'!BZ214=0),2,IF(AND('Grille de saisie'!C214=3,'Grille de saisie'!BZ214=0),3,IF(AND('Grille de saisie'!C214=2,'Grille de saisie'!BZ214=1),3,IF(AND('Grille de saisie'!C214=1,'Grille de saisie'!BZ214=2),3,IF(AND('Grille de saisie'!C214="",'Grille de saisie'!BZ214=""),5,IF(AND('Grille de saisie'!C214=5),5,4))))))))</f>
        <v>5</v>
      </c>
      <c r="CQ214" s="237">
        <f>IF('Grille de saisie'!BZ214="",3,IF('Grille de saisie'!C214=5,3,IF('Grille de saisie'!BZ214=0,1,2)))</f>
        <v>3</v>
      </c>
    </row>
    <row r="215" spans="1:95" ht="15">
      <c r="A215" s="510">
        <v>213</v>
      </c>
      <c r="B215" s="240"/>
      <c r="C215" s="513"/>
      <c r="D215" s="240"/>
      <c r="E215" s="517"/>
      <c r="F215" s="265"/>
      <c r="G215" s="513"/>
      <c r="H215" s="265"/>
      <c r="I215" s="520"/>
      <c r="J215" s="241"/>
      <c r="K215" s="520"/>
      <c r="L215" s="241"/>
      <c r="M215" s="521"/>
      <c r="N215" s="241"/>
      <c r="O215" s="521"/>
      <c r="P215" s="241"/>
      <c r="Q215" s="520"/>
      <c r="R215" s="241"/>
      <c r="S215" s="520"/>
      <c r="T215" s="241"/>
      <c r="U215" s="520"/>
      <c r="V215" s="241"/>
      <c r="W215" s="242"/>
      <c r="X215" s="241"/>
      <c r="Y215" s="242"/>
      <c r="Z215" s="241"/>
      <c r="AA215" s="241"/>
      <c r="AB215" s="275"/>
      <c r="AC215" s="524"/>
      <c r="AD215" s="241"/>
      <c r="AE215" s="241"/>
      <c r="AF215" s="241"/>
      <c r="AG215" s="241"/>
      <c r="AH215" s="241"/>
      <c r="AI215" s="241"/>
      <c r="AJ215" s="529"/>
      <c r="AK215" s="258"/>
      <c r="AL215" s="241"/>
      <c r="AM215" s="242"/>
      <c r="AN215" s="241"/>
      <c r="AO215" s="242"/>
      <c r="AP215" s="241"/>
      <c r="AQ215" s="242"/>
      <c r="AR215" s="241"/>
      <c r="AS215" s="242"/>
      <c r="AT215" s="241"/>
      <c r="AU215" s="241"/>
      <c r="AV215" s="256"/>
      <c r="AW215" s="241"/>
      <c r="AX215" s="256"/>
      <c r="AY215" s="241"/>
      <c r="AZ215" s="256"/>
      <c r="BA215" s="239"/>
      <c r="BB215" s="242"/>
      <c r="BC215" s="239"/>
      <c r="BD215" s="242"/>
      <c r="BE215" s="239"/>
      <c r="BF215" s="241"/>
      <c r="BG215" s="239"/>
      <c r="BH215" s="241"/>
      <c r="BI215" s="260"/>
      <c r="BJ215" s="241"/>
      <c r="BK215" s="260"/>
      <c r="BL215" s="239"/>
      <c r="BM215" s="256"/>
      <c r="BN215" s="241"/>
      <c r="BO215" s="243"/>
      <c r="BP215" s="241"/>
      <c r="BQ215" s="239"/>
      <c r="BR215" s="276"/>
      <c r="BS215" s="256"/>
      <c r="BT215" s="260"/>
      <c r="BU215" s="261"/>
      <c r="BV215" s="260"/>
      <c r="BW215" s="239"/>
      <c r="BX215" s="260"/>
      <c r="BY215" s="260"/>
      <c r="BZ215" s="239"/>
      <c r="CA215" s="260"/>
      <c r="CB215" s="239"/>
      <c r="CC215" s="260"/>
      <c r="CD215" s="539"/>
      <c r="CE215" s="239"/>
      <c r="CF215" s="276"/>
      <c r="CG215" s="256"/>
      <c r="CH215" s="259"/>
      <c r="CI215" s="347"/>
      <c r="CJ215" s="540"/>
      <c r="CK215" s="256"/>
      <c r="CL215" s="244">
        <v>1</v>
      </c>
      <c r="CM215" s="274">
        <f t="shared" si="3"/>
        <v>2015</v>
      </c>
      <c r="CN215" s="244">
        <f>IF('Grille de saisie'!CM215&lt;18,0,IF('Grille de saisie'!CM215&lt;40,1,IF('Grille de saisie'!CM215&lt;65,2,IF('Grille de saisie'!CM215&lt;100,3,4))))</f>
        <v>4</v>
      </c>
      <c r="CO215" s="236">
        <f>IF(AND('Grille de saisie'!C215=1,'Grille de saisie'!BZ215=0),1,IF(AND('Grille de saisie'!C215="",'Grille de saisie'!BZ215=""),3,IF(AND('Grille de saisie'!C215=5),3,2)))</f>
        <v>3</v>
      </c>
      <c r="CP215" s="236">
        <f>IF(AND('Grille de saisie'!C215=1,'Grille de saisie'!BZ215=0),1,IF(AND('Grille de saisie'!C215=1,'Grille de saisie'!BZ215=1),2,IF(AND('Grille de saisie'!C215=2,'Grille de saisie'!BZ215=0),2,IF(AND('Grille de saisie'!C215=3,'Grille de saisie'!BZ215=0),3,IF(AND('Grille de saisie'!C215=2,'Grille de saisie'!BZ215=1),3,IF(AND('Grille de saisie'!C215=1,'Grille de saisie'!BZ215=2),3,IF(AND('Grille de saisie'!C215="",'Grille de saisie'!BZ215=""),5,IF(AND('Grille de saisie'!C215=5),5,4))))))))</f>
        <v>5</v>
      </c>
      <c r="CQ215" s="237">
        <f>IF('Grille de saisie'!BZ215="",3,IF('Grille de saisie'!C215=5,3,IF('Grille de saisie'!BZ215=0,1,2)))</f>
        <v>3</v>
      </c>
    </row>
    <row r="216" spans="1:95" ht="15">
      <c r="A216" s="511">
        <v>214</v>
      </c>
      <c r="B216" s="240"/>
      <c r="C216" s="513"/>
      <c r="D216" s="240"/>
      <c r="E216" s="517"/>
      <c r="F216" s="265"/>
      <c r="G216" s="513"/>
      <c r="H216" s="265"/>
      <c r="I216" s="520"/>
      <c r="J216" s="241"/>
      <c r="K216" s="520"/>
      <c r="L216" s="241"/>
      <c r="M216" s="521"/>
      <c r="N216" s="241"/>
      <c r="O216" s="521"/>
      <c r="P216" s="241"/>
      <c r="Q216" s="520"/>
      <c r="R216" s="241"/>
      <c r="S216" s="520"/>
      <c r="T216" s="241"/>
      <c r="U216" s="520"/>
      <c r="V216" s="241"/>
      <c r="W216" s="242"/>
      <c r="X216" s="241"/>
      <c r="Y216" s="242"/>
      <c r="Z216" s="241"/>
      <c r="AA216" s="241"/>
      <c r="AB216" s="275"/>
      <c r="AC216" s="524"/>
      <c r="AD216" s="241"/>
      <c r="AE216" s="241"/>
      <c r="AF216" s="241"/>
      <c r="AG216" s="241"/>
      <c r="AH216" s="241"/>
      <c r="AI216" s="241"/>
      <c r="AJ216" s="529"/>
      <c r="AK216" s="258"/>
      <c r="AL216" s="241"/>
      <c r="AM216" s="242"/>
      <c r="AN216" s="241"/>
      <c r="AO216" s="242"/>
      <c r="AP216" s="241"/>
      <c r="AQ216" s="242"/>
      <c r="AR216" s="241"/>
      <c r="AS216" s="242"/>
      <c r="AT216" s="241"/>
      <c r="AU216" s="241"/>
      <c r="AV216" s="256"/>
      <c r="AW216" s="241"/>
      <c r="AX216" s="256"/>
      <c r="AY216" s="241"/>
      <c r="AZ216" s="256"/>
      <c r="BA216" s="239"/>
      <c r="BB216" s="242"/>
      <c r="BC216" s="239"/>
      <c r="BD216" s="242"/>
      <c r="BE216" s="239"/>
      <c r="BF216" s="241"/>
      <c r="BG216" s="239"/>
      <c r="BH216" s="241"/>
      <c r="BI216" s="260"/>
      <c r="BJ216" s="241"/>
      <c r="BK216" s="260"/>
      <c r="BL216" s="239"/>
      <c r="BM216" s="256"/>
      <c r="BN216" s="241"/>
      <c r="BO216" s="243"/>
      <c r="BP216" s="241"/>
      <c r="BQ216" s="239"/>
      <c r="BR216" s="276"/>
      <c r="BS216" s="256"/>
      <c r="BT216" s="260"/>
      <c r="BU216" s="261"/>
      <c r="BV216" s="260"/>
      <c r="BW216" s="239"/>
      <c r="BX216" s="260"/>
      <c r="BY216" s="260"/>
      <c r="BZ216" s="239"/>
      <c r="CA216" s="260"/>
      <c r="CB216" s="239"/>
      <c r="CC216" s="260"/>
      <c r="CD216" s="539"/>
      <c r="CE216" s="239"/>
      <c r="CF216" s="276"/>
      <c r="CG216" s="256"/>
      <c r="CH216" s="259"/>
      <c r="CI216" s="347"/>
      <c r="CJ216" s="540"/>
      <c r="CK216" s="256"/>
      <c r="CL216" s="244">
        <v>1</v>
      </c>
      <c r="CM216" s="274">
        <f t="shared" si="3"/>
        <v>2015</v>
      </c>
      <c r="CN216" s="244">
        <f>IF('Grille de saisie'!CM216&lt;18,0,IF('Grille de saisie'!CM216&lt;40,1,IF('Grille de saisie'!CM216&lt;65,2,IF('Grille de saisie'!CM216&lt;100,3,4))))</f>
        <v>4</v>
      </c>
      <c r="CO216" s="236">
        <f>IF(AND('Grille de saisie'!C216=1,'Grille de saisie'!BZ216=0),1,IF(AND('Grille de saisie'!C216="",'Grille de saisie'!BZ216=""),3,IF(AND('Grille de saisie'!C216=5),3,2)))</f>
        <v>3</v>
      </c>
      <c r="CP216" s="236">
        <f>IF(AND('Grille de saisie'!C216=1,'Grille de saisie'!BZ216=0),1,IF(AND('Grille de saisie'!C216=1,'Grille de saisie'!BZ216=1),2,IF(AND('Grille de saisie'!C216=2,'Grille de saisie'!BZ216=0),2,IF(AND('Grille de saisie'!C216=3,'Grille de saisie'!BZ216=0),3,IF(AND('Grille de saisie'!C216=2,'Grille de saisie'!BZ216=1),3,IF(AND('Grille de saisie'!C216=1,'Grille de saisie'!BZ216=2),3,IF(AND('Grille de saisie'!C216="",'Grille de saisie'!BZ216=""),5,IF(AND('Grille de saisie'!C216=5),5,4))))))))</f>
        <v>5</v>
      </c>
      <c r="CQ216" s="237">
        <f>IF('Grille de saisie'!BZ216="",3,IF('Grille de saisie'!C216=5,3,IF('Grille de saisie'!BZ216=0,1,2)))</f>
        <v>3</v>
      </c>
    </row>
    <row r="217" spans="1:95" ht="15">
      <c r="A217" s="510">
        <v>215</v>
      </c>
      <c r="B217" s="240"/>
      <c r="C217" s="513"/>
      <c r="D217" s="240"/>
      <c r="E217" s="517"/>
      <c r="F217" s="265"/>
      <c r="G217" s="513"/>
      <c r="H217" s="265"/>
      <c r="I217" s="520"/>
      <c r="J217" s="241"/>
      <c r="K217" s="520"/>
      <c r="L217" s="241"/>
      <c r="M217" s="521"/>
      <c r="N217" s="241"/>
      <c r="O217" s="521"/>
      <c r="P217" s="241"/>
      <c r="Q217" s="520"/>
      <c r="R217" s="241"/>
      <c r="S217" s="520"/>
      <c r="T217" s="241"/>
      <c r="U217" s="520"/>
      <c r="V217" s="241"/>
      <c r="W217" s="242"/>
      <c r="X217" s="241"/>
      <c r="Y217" s="242"/>
      <c r="Z217" s="241"/>
      <c r="AA217" s="241"/>
      <c r="AB217" s="275"/>
      <c r="AC217" s="524"/>
      <c r="AD217" s="241"/>
      <c r="AE217" s="241"/>
      <c r="AF217" s="241"/>
      <c r="AG217" s="241"/>
      <c r="AH217" s="241"/>
      <c r="AI217" s="241"/>
      <c r="AJ217" s="529"/>
      <c r="AK217" s="258"/>
      <c r="AL217" s="241"/>
      <c r="AM217" s="242"/>
      <c r="AN217" s="241"/>
      <c r="AO217" s="242"/>
      <c r="AP217" s="241"/>
      <c r="AQ217" s="242"/>
      <c r="AR217" s="241"/>
      <c r="AS217" s="242"/>
      <c r="AT217" s="241"/>
      <c r="AU217" s="241"/>
      <c r="AV217" s="256"/>
      <c r="AW217" s="241"/>
      <c r="AX217" s="256"/>
      <c r="AY217" s="241"/>
      <c r="AZ217" s="256"/>
      <c r="BA217" s="239"/>
      <c r="BB217" s="242"/>
      <c r="BC217" s="239"/>
      <c r="BD217" s="242"/>
      <c r="BE217" s="239"/>
      <c r="BF217" s="241"/>
      <c r="BG217" s="239"/>
      <c r="BH217" s="241"/>
      <c r="BI217" s="260"/>
      <c r="BJ217" s="241"/>
      <c r="BK217" s="260"/>
      <c r="BL217" s="239"/>
      <c r="BM217" s="256"/>
      <c r="BN217" s="241"/>
      <c r="BO217" s="243"/>
      <c r="BP217" s="241"/>
      <c r="BQ217" s="239"/>
      <c r="BR217" s="276"/>
      <c r="BS217" s="256"/>
      <c r="BT217" s="260"/>
      <c r="BU217" s="261"/>
      <c r="BV217" s="260"/>
      <c r="BW217" s="239"/>
      <c r="BX217" s="260"/>
      <c r="BY217" s="260"/>
      <c r="BZ217" s="239"/>
      <c r="CA217" s="260"/>
      <c r="CB217" s="239"/>
      <c r="CC217" s="260"/>
      <c r="CD217" s="539"/>
      <c r="CE217" s="239"/>
      <c r="CF217" s="276"/>
      <c r="CG217" s="256"/>
      <c r="CH217" s="259"/>
      <c r="CI217" s="347"/>
      <c r="CJ217" s="540"/>
      <c r="CK217" s="256"/>
      <c r="CL217" s="244">
        <v>1</v>
      </c>
      <c r="CM217" s="274">
        <f t="shared" si="3"/>
        <v>2015</v>
      </c>
      <c r="CN217" s="244">
        <f>IF('Grille de saisie'!CM217&lt;18,0,IF('Grille de saisie'!CM217&lt;40,1,IF('Grille de saisie'!CM217&lt;65,2,IF('Grille de saisie'!CM217&lt;100,3,4))))</f>
        <v>4</v>
      </c>
      <c r="CO217" s="236">
        <f>IF(AND('Grille de saisie'!C217=1,'Grille de saisie'!BZ217=0),1,IF(AND('Grille de saisie'!C217="",'Grille de saisie'!BZ217=""),3,IF(AND('Grille de saisie'!C217=5),3,2)))</f>
        <v>3</v>
      </c>
      <c r="CP217" s="236">
        <f>IF(AND('Grille de saisie'!C217=1,'Grille de saisie'!BZ217=0),1,IF(AND('Grille de saisie'!C217=1,'Grille de saisie'!BZ217=1),2,IF(AND('Grille de saisie'!C217=2,'Grille de saisie'!BZ217=0),2,IF(AND('Grille de saisie'!C217=3,'Grille de saisie'!BZ217=0),3,IF(AND('Grille de saisie'!C217=2,'Grille de saisie'!BZ217=1),3,IF(AND('Grille de saisie'!C217=1,'Grille de saisie'!BZ217=2),3,IF(AND('Grille de saisie'!C217="",'Grille de saisie'!BZ217=""),5,IF(AND('Grille de saisie'!C217=5),5,4))))))))</f>
        <v>5</v>
      </c>
      <c r="CQ217" s="237">
        <f>IF('Grille de saisie'!BZ217="",3,IF('Grille de saisie'!C217=5,3,IF('Grille de saisie'!BZ217=0,1,2)))</f>
        <v>3</v>
      </c>
    </row>
    <row r="218" spans="1:95" ht="15">
      <c r="A218" s="510">
        <v>216</v>
      </c>
      <c r="B218" s="240"/>
      <c r="C218" s="513"/>
      <c r="D218" s="240"/>
      <c r="E218" s="517"/>
      <c r="F218" s="265"/>
      <c r="G218" s="513"/>
      <c r="H218" s="265"/>
      <c r="I218" s="520"/>
      <c r="J218" s="241"/>
      <c r="K218" s="520"/>
      <c r="L218" s="241"/>
      <c r="M218" s="521"/>
      <c r="N218" s="241"/>
      <c r="O218" s="521"/>
      <c r="P218" s="241"/>
      <c r="Q218" s="520"/>
      <c r="R218" s="241"/>
      <c r="S218" s="520"/>
      <c r="T218" s="241"/>
      <c r="U218" s="520"/>
      <c r="V218" s="241"/>
      <c r="W218" s="242"/>
      <c r="X218" s="241"/>
      <c r="Y218" s="242"/>
      <c r="Z218" s="241"/>
      <c r="AA218" s="241"/>
      <c r="AB218" s="275"/>
      <c r="AC218" s="524"/>
      <c r="AD218" s="241"/>
      <c r="AE218" s="241"/>
      <c r="AF218" s="241"/>
      <c r="AG218" s="241"/>
      <c r="AH218" s="241"/>
      <c r="AI218" s="241"/>
      <c r="AJ218" s="529"/>
      <c r="AK218" s="258"/>
      <c r="AL218" s="241"/>
      <c r="AM218" s="242"/>
      <c r="AN218" s="241"/>
      <c r="AO218" s="242"/>
      <c r="AP218" s="241"/>
      <c r="AQ218" s="242"/>
      <c r="AR218" s="241"/>
      <c r="AS218" s="242"/>
      <c r="AT218" s="241"/>
      <c r="AU218" s="241"/>
      <c r="AV218" s="256"/>
      <c r="AW218" s="241"/>
      <c r="AX218" s="256"/>
      <c r="AY218" s="241"/>
      <c r="AZ218" s="256"/>
      <c r="BA218" s="239"/>
      <c r="BB218" s="242"/>
      <c r="BC218" s="239"/>
      <c r="BD218" s="242"/>
      <c r="BE218" s="239"/>
      <c r="BF218" s="241"/>
      <c r="BG218" s="239"/>
      <c r="BH218" s="241"/>
      <c r="BI218" s="260"/>
      <c r="BJ218" s="241"/>
      <c r="BK218" s="260"/>
      <c r="BL218" s="239"/>
      <c r="BM218" s="256"/>
      <c r="BN218" s="241"/>
      <c r="BO218" s="243"/>
      <c r="BP218" s="241"/>
      <c r="BQ218" s="239"/>
      <c r="BR218" s="276"/>
      <c r="BS218" s="256"/>
      <c r="BT218" s="260"/>
      <c r="BU218" s="261"/>
      <c r="BV218" s="260"/>
      <c r="BW218" s="239"/>
      <c r="BX218" s="260"/>
      <c r="BY218" s="260"/>
      <c r="BZ218" s="239"/>
      <c r="CA218" s="260"/>
      <c r="CB218" s="239"/>
      <c r="CC218" s="260"/>
      <c r="CD218" s="539"/>
      <c r="CE218" s="239"/>
      <c r="CF218" s="276"/>
      <c r="CG218" s="256"/>
      <c r="CH218" s="259"/>
      <c r="CI218" s="347"/>
      <c r="CJ218" s="540"/>
      <c r="CK218" s="256"/>
      <c r="CL218" s="244">
        <v>1</v>
      </c>
      <c r="CM218" s="274">
        <f t="shared" si="3"/>
        <v>2015</v>
      </c>
      <c r="CN218" s="244">
        <f>IF('Grille de saisie'!CM218&lt;18,0,IF('Grille de saisie'!CM218&lt;40,1,IF('Grille de saisie'!CM218&lt;65,2,IF('Grille de saisie'!CM218&lt;100,3,4))))</f>
        <v>4</v>
      </c>
      <c r="CO218" s="236">
        <f>IF(AND('Grille de saisie'!C218=1,'Grille de saisie'!BZ218=0),1,IF(AND('Grille de saisie'!C218="",'Grille de saisie'!BZ218=""),3,IF(AND('Grille de saisie'!C218=5),3,2)))</f>
        <v>3</v>
      </c>
      <c r="CP218" s="236">
        <f>IF(AND('Grille de saisie'!C218=1,'Grille de saisie'!BZ218=0),1,IF(AND('Grille de saisie'!C218=1,'Grille de saisie'!BZ218=1),2,IF(AND('Grille de saisie'!C218=2,'Grille de saisie'!BZ218=0),2,IF(AND('Grille de saisie'!C218=3,'Grille de saisie'!BZ218=0),3,IF(AND('Grille de saisie'!C218=2,'Grille de saisie'!BZ218=1),3,IF(AND('Grille de saisie'!C218=1,'Grille de saisie'!BZ218=2),3,IF(AND('Grille de saisie'!C218="",'Grille de saisie'!BZ218=""),5,IF(AND('Grille de saisie'!C218=5),5,4))))))))</f>
        <v>5</v>
      </c>
      <c r="CQ218" s="237">
        <f>IF('Grille de saisie'!BZ218="",3,IF('Grille de saisie'!C218=5,3,IF('Grille de saisie'!BZ218=0,1,2)))</f>
        <v>3</v>
      </c>
    </row>
    <row r="219" spans="1:95" ht="15">
      <c r="A219" s="511">
        <v>217</v>
      </c>
      <c r="B219" s="240"/>
      <c r="C219" s="513"/>
      <c r="D219" s="240"/>
      <c r="E219" s="517"/>
      <c r="F219" s="265"/>
      <c r="G219" s="513"/>
      <c r="H219" s="265"/>
      <c r="I219" s="520"/>
      <c r="J219" s="241"/>
      <c r="K219" s="520"/>
      <c r="L219" s="241"/>
      <c r="M219" s="521"/>
      <c r="N219" s="241"/>
      <c r="O219" s="521"/>
      <c r="P219" s="241"/>
      <c r="Q219" s="520"/>
      <c r="R219" s="241"/>
      <c r="S219" s="520"/>
      <c r="T219" s="241"/>
      <c r="U219" s="520"/>
      <c r="V219" s="241"/>
      <c r="W219" s="242"/>
      <c r="X219" s="241"/>
      <c r="Y219" s="242"/>
      <c r="Z219" s="241"/>
      <c r="AA219" s="241"/>
      <c r="AB219" s="275"/>
      <c r="AC219" s="524"/>
      <c r="AD219" s="241"/>
      <c r="AE219" s="241"/>
      <c r="AF219" s="241"/>
      <c r="AG219" s="241"/>
      <c r="AH219" s="241"/>
      <c r="AI219" s="241"/>
      <c r="AJ219" s="529"/>
      <c r="AK219" s="258"/>
      <c r="AL219" s="241"/>
      <c r="AM219" s="242"/>
      <c r="AN219" s="241"/>
      <c r="AO219" s="242"/>
      <c r="AP219" s="241"/>
      <c r="AQ219" s="242"/>
      <c r="AR219" s="241"/>
      <c r="AS219" s="242"/>
      <c r="AT219" s="241"/>
      <c r="AU219" s="241"/>
      <c r="AV219" s="256"/>
      <c r="AW219" s="241"/>
      <c r="AX219" s="256"/>
      <c r="AY219" s="241"/>
      <c r="AZ219" s="256"/>
      <c r="BA219" s="239"/>
      <c r="BB219" s="242"/>
      <c r="BC219" s="239"/>
      <c r="BD219" s="242"/>
      <c r="BE219" s="239"/>
      <c r="BF219" s="241"/>
      <c r="BG219" s="239"/>
      <c r="BH219" s="241"/>
      <c r="BI219" s="260"/>
      <c r="BJ219" s="241"/>
      <c r="BK219" s="260"/>
      <c r="BL219" s="239"/>
      <c r="BM219" s="256"/>
      <c r="BN219" s="241"/>
      <c r="BO219" s="243"/>
      <c r="BP219" s="241"/>
      <c r="BQ219" s="239"/>
      <c r="BR219" s="276"/>
      <c r="BS219" s="256"/>
      <c r="BT219" s="260"/>
      <c r="BU219" s="261"/>
      <c r="BV219" s="260"/>
      <c r="BW219" s="239"/>
      <c r="BX219" s="260"/>
      <c r="BY219" s="260"/>
      <c r="BZ219" s="239"/>
      <c r="CA219" s="260"/>
      <c r="CB219" s="239"/>
      <c r="CC219" s="260"/>
      <c r="CD219" s="539"/>
      <c r="CE219" s="239"/>
      <c r="CF219" s="276"/>
      <c r="CG219" s="256"/>
      <c r="CH219" s="259"/>
      <c r="CI219" s="347"/>
      <c r="CJ219" s="540"/>
      <c r="CK219" s="256"/>
      <c r="CL219" s="244">
        <v>1</v>
      </c>
      <c r="CM219" s="274">
        <f t="shared" si="3"/>
        <v>2015</v>
      </c>
      <c r="CN219" s="244">
        <f>IF('Grille de saisie'!CM219&lt;18,0,IF('Grille de saisie'!CM219&lt;40,1,IF('Grille de saisie'!CM219&lt;65,2,IF('Grille de saisie'!CM219&lt;100,3,4))))</f>
        <v>4</v>
      </c>
      <c r="CO219" s="236">
        <f>IF(AND('Grille de saisie'!C219=1,'Grille de saisie'!BZ219=0),1,IF(AND('Grille de saisie'!C219="",'Grille de saisie'!BZ219=""),3,IF(AND('Grille de saisie'!C219=5),3,2)))</f>
        <v>3</v>
      </c>
      <c r="CP219" s="236">
        <f>IF(AND('Grille de saisie'!C219=1,'Grille de saisie'!BZ219=0),1,IF(AND('Grille de saisie'!C219=1,'Grille de saisie'!BZ219=1),2,IF(AND('Grille de saisie'!C219=2,'Grille de saisie'!BZ219=0),2,IF(AND('Grille de saisie'!C219=3,'Grille de saisie'!BZ219=0),3,IF(AND('Grille de saisie'!C219=2,'Grille de saisie'!BZ219=1),3,IF(AND('Grille de saisie'!C219=1,'Grille de saisie'!BZ219=2),3,IF(AND('Grille de saisie'!C219="",'Grille de saisie'!BZ219=""),5,IF(AND('Grille de saisie'!C219=5),5,4))))))))</f>
        <v>5</v>
      </c>
      <c r="CQ219" s="237">
        <f>IF('Grille de saisie'!BZ219="",3,IF('Grille de saisie'!C219=5,3,IF('Grille de saisie'!BZ219=0,1,2)))</f>
        <v>3</v>
      </c>
    </row>
    <row r="220" spans="1:95" ht="15">
      <c r="A220" s="510">
        <v>218</v>
      </c>
      <c r="B220" s="240"/>
      <c r="C220" s="513"/>
      <c r="D220" s="240"/>
      <c r="E220" s="517"/>
      <c r="F220" s="265"/>
      <c r="G220" s="513"/>
      <c r="H220" s="265"/>
      <c r="I220" s="520"/>
      <c r="J220" s="241"/>
      <c r="K220" s="520"/>
      <c r="L220" s="241"/>
      <c r="M220" s="521"/>
      <c r="N220" s="241"/>
      <c r="O220" s="521"/>
      <c r="P220" s="241"/>
      <c r="Q220" s="520"/>
      <c r="R220" s="241"/>
      <c r="S220" s="520"/>
      <c r="T220" s="241"/>
      <c r="U220" s="520"/>
      <c r="V220" s="241"/>
      <c r="W220" s="242"/>
      <c r="X220" s="241"/>
      <c r="Y220" s="242"/>
      <c r="Z220" s="241"/>
      <c r="AA220" s="241"/>
      <c r="AB220" s="275"/>
      <c r="AC220" s="524"/>
      <c r="AD220" s="241"/>
      <c r="AE220" s="241"/>
      <c r="AF220" s="241"/>
      <c r="AG220" s="241"/>
      <c r="AH220" s="241"/>
      <c r="AI220" s="241"/>
      <c r="AJ220" s="529"/>
      <c r="AK220" s="258"/>
      <c r="AL220" s="241"/>
      <c r="AM220" s="242"/>
      <c r="AN220" s="241"/>
      <c r="AO220" s="242"/>
      <c r="AP220" s="241"/>
      <c r="AQ220" s="242"/>
      <c r="AR220" s="241"/>
      <c r="AS220" s="242"/>
      <c r="AT220" s="241"/>
      <c r="AU220" s="241"/>
      <c r="AV220" s="256"/>
      <c r="AW220" s="241"/>
      <c r="AX220" s="256"/>
      <c r="AY220" s="241"/>
      <c r="AZ220" s="256"/>
      <c r="BA220" s="239"/>
      <c r="BB220" s="242"/>
      <c r="BC220" s="239"/>
      <c r="BD220" s="242"/>
      <c r="BE220" s="239"/>
      <c r="BF220" s="241"/>
      <c r="BG220" s="239"/>
      <c r="BH220" s="241"/>
      <c r="BI220" s="260"/>
      <c r="BJ220" s="241"/>
      <c r="BK220" s="260"/>
      <c r="BL220" s="239"/>
      <c r="BM220" s="256"/>
      <c r="BN220" s="241"/>
      <c r="BO220" s="243"/>
      <c r="BP220" s="241"/>
      <c r="BQ220" s="239"/>
      <c r="BR220" s="276"/>
      <c r="BS220" s="256"/>
      <c r="BT220" s="260"/>
      <c r="BU220" s="261"/>
      <c r="BV220" s="260"/>
      <c r="BW220" s="239"/>
      <c r="BX220" s="260"/>
      <c r="BY220" s="260"/>
      <c r="BZ220" s="239"/>
      <c r="CA220" s="260"/>
      <c r="CB220" s="239"/>
      <c r="CC220" s="260"/>
      <c r="CD220" s="539"/>
      <c r="CE220" s="239"/>
      <c r="CF220" s="276"/>
      <c r="CG220" s="256"/>
      <c r="CH220" s="259"/>
      <c r="CI220" s="347"/>
      <c r="CJ220" s="540"/>
      <c r="CK220" s="256"/>
      <c r="CL220" s="244">
        <v>1</v>
      </c>
      <c r="CM220" s="274">
        <f t="shared" si="3"/>
        <v>2015</v>
      </c>
      <c r="CN220" s="244">
        <f>IF('Grille de saisie'!CM220&lt;18,0,IF('Grille de saisie'!CM220&lt;40,1,IF('Grille de saisie'!CM220&lt;65,2,IF('Grille de saisie'!CM220&lt;100,3,4))))</f>
        <v>4</v>
      </c>
      <c r="CO220" s="236">
        <f>IF(AND('Grille de saisie'!C220=1,'Grille de saisie'!BZ220=0),1,IF(AND('Grille de saisie'!C220="",'Grille de saisie'!BZ220=""),3,IF(AND('Grille de saisie'!C220=5),3,2)))</f>
        <v>3</v>
      </c>
      <c r="CP220" s="236">
        <f>IF(AND('Grille de saisie'!C220=1,'Grille de saisie'!BZ220=0),1,IF(AND('Grille de saisie'!C220=1,'Grille de saisie'!BZ220=1),2,IF(AND('Grille de saisie'!C220=2,'Grille de saisie'!BZ220=0),2,IF(AND('Grille de saisie'!C220=3,'Grille de saisie'!BZ220=0),3,IF(AND('Grille de saisie'!C220=2,'Grille de saisie'!BZ220=1),3,IF(AND('Grille de saisie'!C220=1,'Grille de saisie'!BZ220=2),3,IF(AND('Grille de saisie'!C220="",'Grille de saisie'!BZ220=""),5,IF(AND('Grille de saisie'!C220=5),5,4))))))))</f>
        <v>5</v>
      </c>
      <c r="CQ220" s="237">
        <f>IF('Grille de saisie'!BZ220="",3,IF('Grille de saisie'!C220=5,3,IF('Grille de saisie'!BZ220=0,1,2)))</f>
        <v>3</v>
      </c>
    </row>
    <row r="221" spans="1:95" ht="15">
      <c r="A221" s="510">
        <v>219</v>
      </c>
      <c r="B221" s="240"/>
      <c r="C221" s="513"/>
      <c r="D221" s="240"/>
      <c r="E221" s="517"/>
      <c r="F221" s="265"/>
      <c r="G221" s="513"/>
      <c r="H221" s="265"/>
      <c r="I221" s="520"/>
      <c r="J221" s="241"/>
      <c r="K221" s="520"/>
      <c r="L221" s="241"/>
      <c r="M221" s="521"/>
      <c r="N221" s="241"/>
      <c r="O221" s="521"/>
      <c r="P221" s="241"/>
      <c r="Q221" s="520"/>
      <c r="R221" s="241"/>
      <c r="S221" s="520"/>
      <c r="T221" s="241"/>
      <c r="U221" s="520"/>
      <c r="V221" s="241"/>
      <c r="W221" s="242"/>
      <c r="X221" s="241"/>
      <c r="Y221" s="242"/>
      <c r="Z221" s="241"/>
      <c r="AA221" s="241"/>
      <c r="AB221" s="275"/>
      <c r="AC221" s="524"/>
      <c r="AD221" s="241"/>
      <c r="AE221" s="241"/>
      <c r="AF221" s="241"/>
      <c r="AG221" s="241"/>
      <c r="AH221" s="241"/>
      <c r="AI221" s="241"/>
      <c r="AJ221" s="529"/>
      <c r="AK221" s="258"/>
      <c r="AL221" s="241"/>
      <c r="AM221" s="242"/>
      <c r="AN221" s="241"/>
      <c r="AO221" s="242"/>
      <c r="AP221" s="241"/>
      <c r="AQ221" s="242"/>
      <c r="AR221" s="241"/>
      <c r="AS221" s="242"/>
      <c r="AT221" s="241"/>
      <c r="AU221" s="241"/>
      <c r="AV221" s="256"/>
      <c r="AW221" s="241"/>
      <c r="AX221" s="256"/>
      <c r="AY221" s="241"/>
      <c r="AZ221" s="256"/>
      <c r="BA221" s="239"/>
      <c r="BB221" s="242"/>
      <c r="BC221" s="239"/>
      <c r="BD221" s="242"/>
      <c r="BE221" s="239"/>
      <c r="BF221" s="241"/>
      <c r="BG221" s="239"/>
      <c r="BH221" s="241"/>
      <c r="BI221" s="260"/>
      <c r="BJ221" s="241"/>
      <c r="BK221" s="260"/>
      <c r="BL221" s="239"/>
      <c r="BM221" s="256"/>
      <c r="BN221" s="241"/>
      <c r="BO221" s="243"/>
      <c r="BP221" s="241"/>
      <c r="BQ221" s="239"/>
      <c r="BR221" s="276"/>
      <c r="BS221" s="256"/>
      <c r="BT221" s="260"/>
      <c r="BU221" s="261"/>
      <c r="BV221" s="260"/>
      <c r="BW221" s="239"/>
      <c r="BX221" s="260"/>
      <c r="BY221" s="260"/>
      <c r="BZ221" s="239"/>
      <c r="CA221" s="260"/>
      <c r="CB221" s="239"/>
      <c r="CC221" s="260"/>
      <c r="CD221" s="539"/>
      <c r="CE221" s="239"/>
      <c r="CF221" s="276"/>
      <c r="CG221" s="256"/>
      <c r="CH221" s="259"/>
      <c r="CI221" s="347"/>
      <c r="CJ221" s="540"/>
      <c r="CK221" s="256"/>
      <c r="CL221" s="244">
        <v>1</v>
      </c>
      <c r="CM221" s="274">
        <f t="shared" si="3"/>
        <v>2015</v>
      </c>
      <c r="CN221" s="244">
        <f>IF('Grille de saisie'!CM221&lt;18,0,IF('Grille de saisie'!CM221&lt;40,1,IF('Grille de saisie'!CM221&lt;65,2,IF('Grille de saisie'!CM221&lt;100,3,4))))</f>
        <v>4</v>
      </c>
      <c r="CO221" s="236">
        <f>IF(AND('Grille de saisie'!C221=1,'Grille de saisie'!BZ221=0),1,IF(AND('Grille de saisie'!C221="",'Grille de saisie'!BZ221=""),3,IF(AND('Grille de saisie'!C221=5),3,2)))</f>
        <v>3</v>
      </c>
      <c r="CP221" s="236">
        <f>IF(AND('Grille de saisie'!C221=1,'Grille de saisie'!BZ221=0),1,IF(AND('Grille de saisie'!C221=1,'Grille de saisie'!BZ221=1),2,IF(AND('Grille de saisie'!C221=2,'Grille de saisie'!BZ221=0),2,IF(AND('Grille de saisie'!C221=3,'Grille de saisie'!BZ221=0),3,IF(AND('Grille de saisie'!C221=2,'Grille de saisie'!BZ221=1),3,IF(AND('Grille de saisie'!C221=1,'Grille de saisie'!BZ221=2),3,IF(AND('Grille de saisie'!C221="",'Grille de saisie'!BZ221=""),5,IF(AND('Grille de saisie'!C221=5),5,4))))))))</f>
        <v>5</v>
      </c>
      <c r="CQ221" s="237">
        <f>IF('Grille de saisie'!BZ221="",3,IF('Grille de saisie'!C221=5,3,IF('Grille de saisie'!BZ221=0,1,2)))</f>
        <v>3</v>
      </c>
    </row>
    <row r="222" spans="1:95" ht="15">
      <c r="A222" s="511">
        <v>220</v>
      </c>
      <c r="B222" s="240"/>
      <c r="C222" s="513"/>
      <c r="D222" s="240"/>
      <c r="E222" s="517"/>
      <c r="F222" s="265"/>
      <c r="G222" s="513"/>
      <c r="H222" s="265"/>
      <c r="I222" s="520"/>
      <c r="J222" s="241"/>
      <c r="K222" s="520"/>
      <c r="L222" s="241"/>
      <c r="M222" s="521"/>
      <c r="N222" s="241"/>
      <c r="O222" s="521"/>
      <c r="P222" s="241"/>
      <c r="Q222" s="520"/>
      <c r="R222" s="241"/>
      <c r="S222" s="520"/>
      <c r="T222" s="241"/>
      <c r="U222" s="520"/>
      <c r="V222" s="241"/>
      <c r="W222" s="242"/>
      <c r="X222" s="241"/>
      <c r="Y222" s="242"/>
      <c r="Z222" s="241"/>
      <c r="AA222" s="241"/>
      <c r="AB222" s="275"/>
      <c r="AC222" s="524"/>
      <c r="AD222" s="241"/>
      <c r="AE222" s="241"/>
      <c r="AF222" s="241"/>
      <c r="AG222" s="241"/>
      <c r="AH222" s="241"/>
      <c r="AI222" s="241"/>
      <c r="AJ222" s="529"/>
      <c r="AK222" s="258"/>
      <c r="AL222" s="241"/>
      <c r="AM222" s="242"/>
      <c r="AN222" s="241"/>
      <c r="AO222" s="242"/>
      <c r="AP222" s="241"/>
      <c r="AQ222" s="242"/>
      <c r="AR222" s="241"/>
      <c r="AS222" s="242"/>
      <c r="AT222" s="241"/>
      <c r="AU222" s="241"/>
      <c r="AV222" s="256"/>
      <c r="AW222" s="241"/>
      <c r="AX222" s="256"/>
      <c r="AY222" s="241"/>
      <c r="AZ222" s="256"/>
      <c r="BA222" s="239"/>
      <c r="BB222" s="242"/>
      <c r="BC222" s="239"/>
      <c r="BD222" s="242"/>
      <c r="BE222" s="239"/>
      <c r="BF222" s="241"/>
      <c r="BG222" s="239"/>
      <c r="BH222" s="241"/>
      <c r="BI222" s="260"/>
      <c r="BJ222" s="241"/>
      <c r="BK222" s="260"/>
      <c r="BL222" s="239"/>
      <c r="BM222" s="256"/>
      <c r="BN222" s="241"/>
      <c r="BO222" s="243"/>
      <c r="BP222" s="241"/>
      <c r="BQ222" s="239"/>
      <c r="BR222" s="276"/>
      <c r="BS222" s="256"/>
      <c r="BT222" s="260"/>
      <c r="BU222" s="261"/>
      <c r="BV222" s="260"/>
      <c r="BW222" s="239"/>
      <c r="BX222" s="260"/>
      <c r="BY222" s="260"/>
      <c r="BZ222" s="239"/>
      <c r="CA222" s="260"/>
      <c r="CB222" s="239"/>
      <c r="CC222" s="260"/>
      <c r="CD222" s="539"/>
      <c r="CE222" s="239"/>
      <c r="CF222" s="276"/>
      <c r="CG222" s="256"/>
      <c r="CH222" s="259"/>
      <c r="CI222" s="347"/>
      <c r="CJ222" s="540"/>
      <c r="CK222" s="256"/>
      <c r="CL222" s="244">
        <v>1</v>
      </c>
      <c r="CM222" s="274">
        <f t="shared" si="3"/>
        <v>2015</v>
      </c>
      <c r="CN222" s="244">
        <f>IF('Grille de saisie'!CM222&lt;18,0,IF('Grille de saisie'!CM222&lt;40,1,IF('Grille de saisie'!CM222&lt;65,2,IF('Grille de saisie'!CM222&lt;100,3,4))))</f>
        <v>4</v>
      </c>
      <c r="CO222" s="236">
        <f>IF(AND('Grille de saisie'!C222=1,'Grille de saisie'!BZ222=0),1,IF(AND('Grille de saisie'!C222="",'Grille de saisie'!BZ222=""),3,IF(AND('Grille de saisie'!C222=5),3,2)))</f>
        <v>3</v>
      </c>
      <c r="CP222" s="236">
        <f>IF(AND('Grille de saisie'!C222=1,'Grille de saisie'!BZ222=0),1,IF(AND('Grille de saisie'!C222=1,'Grille de saisie'!BZ222=1),2,IF(AND('Grille de saisie'!C222=2,'Grille de saisie'!BZ222=0),2,IF(AND('Grille de saisie'!C222=3,'Grille de saisie'!BZ222=0),3,IF(AND('Grille de saisie'!C222=2,'Grille de saisie'!BZ222=1),3,IF(AND('Grille de saisie'!C222=1,'Grille de saisie'!BZ222=2),3,IF(AND('Grille de saisie'!C222="",'Grille de saisie'!BZ222=""),5,IF(AND('Grille de saisie'!C222=5),5,4))))))))</f>
        <v>5</v>
      </c>
      <c r="CQ222" s="237">
        <f>IF('Grille de saisie'!BZ222="",3,IF('Grille de saisie'!C222=5,3,IF('Grille de saisie'!BZ222=0,1,2)))</f>
        <v>3</v>
      </c>
    </row>
    <row r="223" spans="1:95" ht="15">
      <c r="A223" s="510">
        <v>221</v>
      </c>
      <c r="B223" s="240"/>
      <c r="C223" s="513"/>
      <c r="D223" s="240"/>
      <c r="E223" s="517"/>
      <c r="F223" s="265"/>
      <c r="G223" s="513"/>
      <c r="H223" s="265"/>
      <c r="I223" s="520"/>
      <c r="J223" s="241"/>
      <c r="K223" s="520"/>
      <c r="L223" s="241"/>
      <c r="M223" s="521"/>
      <c r="N223" s="241"/>
      <c r="O223" s="521"/>
      <c r="P223" s="241"/>
      <c r="Q223" s="520"/>
      <c r="R223" s="241"/>
      <c r="S223" s="520"/>
      <c r="T223" s="241"/>
      <c r="U223" s="520"/>
      <c r="V223" s="241"/>
      <c r="W223" s="242"/>
      <c r="X223" s="241"/>
      <c r="Y223" s="242"/>
      <c r="Z223" s="241"/>
      <c r="AA223" s="241"/>
      <c r="AB223" s="275"/>
      <c r="AC223" s="524"/>
      <c r="AD223" s="241"/>
      <c r="AE223" s="241"/>
      <c r="AF223" s="241"/>
      <c r="AG223" s="241"/>
      <c r="AH223" s="241"/>
      <c r="AI223" s="241"/>
      <c r="AJ223" s="529"/>
      <c r="AK223" s="258"/>
      <c r="AL223" s="241"/>
      <c r="AM223" s="242"/>
      <c r="AN223" s="241"/>
      <c r="AO223" s="242"/>
      <c r="AP223" s="241"/>
      <c r="AQ223" s="242"/>
      <c r="AR223" s="241"/>
      <c r="AS223" s="242"/>
      <c r="AT223" s="241"/>
      <c r="AU223" s="241"/>
      <c r="AV223" s="256"/>
      <c r="AW223" s="241"/>
      <c r="AX223" s="256"/>
      <c r="AY223" s="241"/>
      <c r="AZ223" s="256"/>
      <c r="BA223" s="239"/>
      <c r="BB223" s="242"/>
      <c r="BC223" s="239"/>
      <c r="BD223" s="242"/>
      <c r="BE223" s="239"/>
      <c r="BF223" s="241"/>
      <c r="BG223" s="239"/>
      <c r="BH223" s="241"/>
      <c r="BI223" s="260"/>
      <c r="BJ223" s="241"/>
      <c r="BK223" s="260"/>
      <c r="BL223" s="239"/>
      <c r="BM223" s="256"/>
      <c r="BN223" s="241"/>
      <c r="BO223" s="243"/>
      <c r="BP223" s="241"/>
      <c r="BQ223" s="239"/>
      <c r="BR223" s="276"/>
      <c r="BS223" s="256"/>
      <c r="BT223" s="260"/>
      <c r="BU223" s="261"/>
      <c r="BV223" s="260"/>
      <c r="BW223" s="239"/>
      <c r="BX223" s="260"/>
      <c r="BY223" s="260"/>
      <c r="BZ223" s="239"/>
      <c r="CA223" s="260"/>
      <c r="CB223" s="239"/>
      <c r="CC223" s="260"/>
      <c r="CD223" s="539"/>
      <c r="CE223" s="239"/>
      <c r="CF223" s="276"/>
      <c r="CG223" s="256"/>
      <c r="CH223" s="259"/>
      <c r="CI223" s="347"/>
      <c r="CJ223" s="540"/>
      <c r="CK223" s="256"/>
      <c r="CL223" s="244">
        <v>1</v>
      </c>
      <c r="CM223" s="274">
        <f t="shared" si="3"/>
        <v>2015</v>
      </c>
      <c r="CN223" s="244">
        <f>IF('Grille de saisie'!CM223&lt;18,0,IF('Grille de saisie'!CM223&lt;40,1,IF('Grille de saisie'!CM223&lt;65,2,IF('Grille de saisie'!CM223&lt;100,3,4))))</f>
        <v>4</v>
      </c>
      <c r="CO223" s="236">
        <f>IF(AND('Grille de saisie'!C223=1,'Grille de saisie'!BZ223=0),1,IF(AND('Grille de saisie'!C223="",'Grille de saisie'!BZ223=""),3,IF(AND('Grille de saisie'!C223=5),3,2)))</f>
        <v>3</v>
      </c>
      <c r="CP223" s="236">
        <f>IF(AND('Grille de saisie'!C223=1,'Grille de saisie'!BZ223=0),1,IF(AND('Grille de saisie'!C223=1,'Grille de saisie'!BZ223=1),2,IF(AND('Grille de saisie'!C223=2,'Grille de saisie'!BZ223=0),2,IF(AND('Grille de saisie'!C223=3,'Grille de saisie'!BZ223=0),3,IF(AND('Grille de saisie'!C223=2,'Grille de saisie'!BZ223=1),3,IF(AND('Grille de saisie'!C223=1,'Grille de saisie'!BZ223=2),3,IF(AND('Grille de saisie'!C223="",'Grille de saisie'!BZ223=""),5,IF(AND('Grille de saisie'!C223=5),5,4))))))))</f>
        <v>5</v>
      </c>
      <c r="CQ223" s="237">
        <f>IF('Grille de saisie'!BZ223="",3,IF('Grille de saisie'!C223=5,3,IF('Grille de saisie'!BZ223=0,1,2)))</f>
        <v>3</v>
      </c>
    </row>
    <row r="224" spans="1:95" ht="15">
      <c r="A224" s="510">
        <v>222</v>
      </c>
      <c r="B224" s="240"/>
      <c r="C224" s="513"/>
      <c r="D224" s="240"/>
      <c r="E224" s="517"/>
      <c r="F224" s="265"/>
      <c r="G224" s="513"/>
      <c r="H224" s="265"/>
      <c r="I224" s="520"/>
      <c r="J224" s="241"/>
      <c r="K224" s="520"/>
      <c r="L224" s="241"/>
      <c r="M224" s="521"/>
      <c r="N224" s="241"/>
      <c r="O224" s="521"/>
      <c r="P224" s="241"/>
      <c r="Q224" s="520"/>
      <c r="R224" s="241"/>
      <c r="S224" s="520"/>
      <c r="T224" s="241"/>
      <c r="U224" s="520"/>
      <c r="V224" s="241"/>
      <c r="W224" s="242"/>
      <c r="X224" s="241"/>
      <c r="Y224" s="242"/>
      <c r="Z224" s="241"/>
      <c r="AA224" s="241"/>
      <c r="AB224" s="275"/>
      <c r="AC224" s="524"/>
      <c r="AD224" s="241"/>
      <c r="AE224" s="241"/>
      <c r="AF224" s="241"/>
      <c r="AG224" s="241"/>
      <c r="AH224" s="241"/>
      <c r="AI224" s="241"/>
      <c r="AJ224" s="529"/>
      <c r="AK224" s="258"/>
      <c r="AL224" s="241"/>
      <c r="AM224" s="242"/>
      <c r="AN224" s="241"/>
      <c r="AO224" s="242"/>
      <c r="AP224" s="241"/>
      <c r="AQ224" s="242"/>
      <c r="AR224" s="241"/>
      <c r="AS224" s="242"/>
      <c r="AT224" s="241"/>
      <c r="AU224" s="241"/>
      <c r="AV224" s="256"/>
      <c r="AW224" s="241"/>
      <c r="AX224" s="256"/>
      <c r="AY224" s="241"/>
      <c r="AZ224" s="256"/>
      <c r="BA224" s="239"/>
      <c r="BB224" s="242"/>
      <c r="BC224" s="239"/>
      <c r="BD224" s="242"/>
      <c r="BE224" s="239"/>
      <c r="BF224" s="241"/>
      <c r="BG224" s="239"/>
      <c r="BH224" s="241"/>
      <c r="BI224" s="260"/>
      <c r="BJ224" s="241"/>
      <c r="BK224" s="260"/>
      <c r="BL224" s="239"/>
      <c r="BM224" s="256"/>
      <c r="BN224" s="241"/>
      <c r="BO224" s="243"/>
      <c r="BP224" s="241"/>
      <c r="BQ224" s="239"/>
      <c r="BR224" s="276"/>
      <c r="BS224" s="256"/>
      <c r="BT224" s="260"/>
      <c r="BU224" s="261"/>
      <c r="BV224" s="260"/>
      <c r="BW224" s="239"/>
      <c r="BX224" s="260"/>
      <c r="BY224" s="260"/>
      <c r="BZ224" s="239"/>
      <c r="CA224" s="260"/>
      <c r="CB224" s="239"/>
      <c r="CC224" s="260"/>
      <c r="CD224" s="539"/>
      <c r="CE224" s="239"/>
      <c r="CF224" s="276"/>
      <c r="CG224" s="256"/>
      <c r="CH224" s="259"/>
      <c r="CI224" s="347"/>
      <c r="CJ224" s="540"/>
      <c r="CK224" s="256"/>
      <c r="CL224" s="244">
        <v>1</v>
      </c>
      <c r="CM224" s="274">
        <f t="shared" si="3"/>
        <v>2015</v>
      </c>
      <c r="CN224" s="244">
        <f>IF('Grille de saisie'!CM224&lt;18,0,IF('Grille de saisie'!CM224&lt;40,1,IF('Grille de saisie'!CM224&lt;65,2,IF('Grille de saisie'!CM224&lt;100,3,4))))</f>
        <v>4</v>
      </c>
      <c r="CO224" s="236">
        <f>IF(AND('Grille de saisie'!C224=1,'Grille de saisie'!BZ224=0),1,IF(AND('Grille de saisie'!C224="",'Grille de saisie'!BZ224=""),3,IF(AND('Grille de saisie'!C224=5),3,2)))</f>
        <v>3</v>
      </c>
      <c r="CP224" s="236">
        <f>IF(AND('Grille de saisie'!C224=1,'Grille de saisie'!BZ224=0),1,IF(AND('Grille de saisie'!C224=1,'Grille de saisie'!BZ224=1),2,IF(AND('Grille de saisie'!C224=2,'Grille de saisie'!BZ224=0),2,IF(AND('Grille de saisie'!C224=3,'Grille de saisie'!BZ224=0),3,IF(AND('Grille de saisie'!C224=2,'Grille de saisie'!BZ224=1),3,IF(AND('Grille de saisie'!C224=1,'Grille de saisie'!BZ224=2),3,IF(AND('Grille de saisie'!C224="",'Grille de saisie'!BZ224=""),5,IF(AND('Grille de saisie'!C224=5),5,4))))))))</f>
        <v>5</v>
      </c>
      <c r="CQ224" s="237">
        <f>IF('Grille de saisie'!BZ224="",3,IF('Grille de saisie'!C224=5,3,IF('Grille de saisie'!BZ224=0,1,2)))</f>
        <v>3</v>
      </c>
    </row>
    <row r="225" spans="1:95" ht="15">
      <c r="A225" s="511">
        <v>223</v>
      </c>
      <c r="B225" s="240"/>
      <c r="C225" s="513"/>
      <c r="D225" s="240"/>
      <c r="E225" s="517"/>
      <c r="F225" s="265"/>
      <c r="G225" s="513"/>
      <c r="H225" s="265"/>
      <c r="I225" s="520"/>
      <c r="J225" s="241"/>
      <c r="K225" s="520"/>
      <c r="L225" s="241"/>
      <c r="M225" s="521"/>
      <c r="N225" s="241"/>
      <c r="O225" s="521"/>
      <c r="P225" s="241"/>
      <c r="Q225" s="520"/>
      <c r="R225" s="241"/>
      <c r="S225" s="520"/>
      <c r="T225" s="241"/>
      <c r="U225" s="520"/>
      <c r="V225" s="241"/>
      <c r="W225" s="242"/>
      <c r="X225" s="241"/>
      <c r="Y225" s="242"/>
      <c r="Z225" s="241"/>
      <c r="AA225" s="241"/>
      <c r="AB225" s="275"/>
      <c r="AC225" s="524"/>
      <c r="AD225" s="241"/>
      <c r="AE225" s="241"/>
      <c r="AF225" s="241"/>
      <c r="AG225" s="241"/>
      <c r="AH225" s="241"/>
      <c r="AI225" s="241"/>
      <c r="AJ225" s="529"/>
      <c r="AK225" s="258"/>
      <c r="AL225" s="241"/>
      <c r="AM225" s="242"/>
      <c r="AN225" s="241"/>
      <c r="AO225" s="242"/>
      <c r="AP225" s="241"/>
      <c r="AQ225" s="242"/>
      <c r="AR225" s="241"/>
      <c r="AS225" s="242"/>
      <c r="AT225" s="241"/>
      <c r="AU225" s="241"/>
      <c r="AV225" s="256"/>
      <c r="AW225" s="241"/>
      <c r="AX225" s="256"/>
      <c r="AY225" s="241"/>
      <c r="AZ225" s="256"/>
      <c r="BA225" s="239"/>
      <c r="BB225" s="242"/>
      <c r="BC225" s="239"/>
      <c r="BD225" s="242"/>
      <c r="BE225" s="239"/>
      <c r="BF225" s="241"/>
      <c r="BG225" s="239"/>
      <c r="BH225" s="241"/>
      <c r="BI225" s="260"/>
      <c r="BJ225" s="241"/>
      <c r="BK225" s="260"/>
      <c r="BL225" s="239"/>
      <c r="BM225" s="256"/>
      <c r="BN225" s="241"/>
      <c r="BO225" s="243"/>
      <c r="BP225" s="241"/>
      <c r="BQ225" s="239"/>
      <c r="BR225" s="276"/>
      <c r="BS225" s="256"/>
      <c r="BT225" s="260"/>
      <c r="BU225" s="261"/>
      <c r="BV225" s="260"/>
      <c r="BW225" s="239"/>
      <c r="BX225" s="260"/>
      <c r="BY225" s="260"/>
      <c r="BZ225" s="239"/>
      <c r="CA225" s="260"/>
      <c r="CB225" s="239"/>
      <c r="CC225" s="260"/>
      <c r="CD225" s="539"/>
      <c r="CE225" s="239"/>
      <c r="CF225" s="276"/>
      <c r="CG225" s="256"/>
      <c r="CH225" s="259"/>
      <c r="CI225" s="347"/>
      <c r="CJ225" s="540"/>
      <c r="CK225" s="256"/>
      <c r="CL225" s="244">
        <v>1</v>
      </c>
      <c r="CM225" s="274">
        <f t="shared" si="3"/>
        <v>2015</v>
      </c>
      <c r="CN225" s="244">
        <f>IF('Grille de saisie'!CM225&lt;18,0,IF('Grille de saisie'!CM225&lt;40,1,IF('Grille de saisie'!CM225&lt;65,2,IF('Grille de saisie'!CM225&lt;100,3,4))))</f>
        <v>4</v>
      </c>
      <c r="CO225" s="236">
        <f>IF(AND('Grille de saisie'!C225=1,'Grille de saisie'!BZ225=0),1,IF(AND('Grille de saisie'!C225="",'Grille de saisie'!BZ225=""),3,IF(AND('Grille de saisie'!C225=5),3,2)))</f>
        <v>3</v>
      </c>
      <c r="CP225" s="236">
        <f>IF(AND('Grille de saisie'!C225=1,'Grille de saisie'!BZ225=0),1,IF(AND('Grille de saisie'!C225=1,'Grille de saisie'!BZ225=1),2,IF(AND('Grille de saisie'!C225=2,'Grille de saisie'!BZ225=0),2,IF(AND('Grille de saisie'!C225=3,'Grille de saisie'!BZ225=0),3,IF(AND('Grille de saisie'!C225=2,'Grille de saisie'!BZ225=1),3,IF(AND('Grille de saisie'!C225=1,'Grille de saisie'!BZ225=2),3,IF(AND('Grille de saisie'!C225="",'Grille de saisie'!BZ225=""),5,IF(AND('Grille de saisie'!C225=5),5,4))))))))</f>
        <v>5</v>
      </c>
      <c r="CQ225" s="237">
        <f>IF('Grille de saisie'!BZ225="",3,IF('Grille de saisie'!C225=5,3,IF('Grille de saisie'!BZ225=0,1,2)))</f>
        <v>3</v>
      </c>
    </row>
    <row r="226" spans="1:95" ht="15">
      <c r="A226" s="510">
        <v>224</v>
      </c>
      <c r="B226" s="240"/>
      <c r="C226" s="513"/>
      <c r="D226" s="240"/>
      <c r="E226" s="517"/>
      <c r="F226" s="265"/>
      <c r="G226" s="513"/>
      <c r="H226" s="265"/>
      <c r="I226" s="520"/>
      <c r="J226" s="241"/>
      <c r="K226" s="520"/>
      <c r="L226" s="241"/>
      <c r="M226" s="521"/>
      <c r="N226" s="241"/>
      <c r="O226" s="521"/>
      <c r="P226" s="241"/>
      <c r="Q226" s="520"/>
      <c r="R226" s="241"/>
      <c r="S226" s="520"/>
      <c r="T226" s="241"/>
      <c r="U226" s="520"/>
      <c r="V226" s="241"/>
      <c r="W226" s="242"/>
      <c r="X226" s="241"/>
      <c r="Y226" s="242"/>
      <c r="Z226" s="241"/>
      <c r="AA226" s="241"/>
      <c r="AB226" s="275"/>
      <c r="AC226" s="524"/>
      <c r="AD226" s="241"/>
      <c r="AE226" s="241"/>
      <c r="AF226" s="241"/>
      <c r="AG226" s="241"/>
      <c r="AH226" s="241"/>
      <c r="AI226" s="241"/>
      <c r="AJ226" s="529"/>
      <c r="AK226" s="258"/>
      <c r="AL226" s="241"/>
      <c r="AM226" s="242"/>
      <c r="AN226" s="241"/>
      <c r="AO226" s="242"/>
      <c r="AP226" s="241"/>
      <c r="AQ226" s="242"/>
      <c r="AR226" s="241"/>
      <c r="AS226" s="242"/>
      <c r="AT226" s="241"/>
      <c r="AU226" s="241"/>
      <c r="AV226" s="256"/>
      <c r="AW226" s="241"/>
      <c r="AX226" s="256"/>
      <c r="AY226" s="241"/>
      <c r="AZ226" s="256"/>
      <c r="BA226" s="239"/>
      <c r="BB226" s="242"/>
      <c r="BC226" s="239"/>
      <c r="BD226" s="242"/>
      <c r="BE226" s="239"/>
      <c r="BF226" s="241"/>
      <c r="BG226" s="239"/>
      <c r="BH226" s="241"/>
      <c r="BI226" s="260"/>
      <c r="BJ226" s="241"/>
      <c r="BK226" s="260"/>
      <c r="BL226" s="239"/>
      <c r="BM226" s="256"/>
      <c r="BN226" s="241"/>
      <c r="BO226" s="243"/>
      <c r="BP226" s="241"/>
      <c r="BQ226" s="239"/>
      <c r="BR226" s="276"/>
      <c r="BS226" s="256"/>
      <c r="BT226" s="260"/>
      <c r="BU226" s="261"/>
      <c r="BV226" s="260"/>
      <c r="BW226" s="239"/>
      <c r="BX226" s="260"/>
      <c r="BY226" s="260"/>
      <c r="BZ226" s="239"/>
      <c r="CA226" s="260"/>
      <c r="CB226" s="239"/>
      <c r="CC226" s="260"/>
      <c r="CD226" s="539"/>
      <c r="CE226" s="239"/>
      <c r="CF226" s="276"/>
      <c r="CG226" s="256"/>
      <c r="CH226" s="259"/>
      <c r="CI226" s="347"/>
      <c r="CJ226" s="540"/>
      <c r="CK226" s="256"/>
      <c r="CL226" s="244">
        <v>1</v>
      </c>
      <c r="CM226" s="274">
        <f t="shared" si="3"/>
        <v>2015</v>
      </c>
      <c r="CN226" s="244">
        <f>IF('Grille de saisie'!CM226&lt;18,0,IF('Grille de saisie'!CM226&lt;40,1,IF('Grille de saisie'!CM226&lt;65,2,IF('Grille de saisie'!CM226&lt;100,3,4))))</f>
        <v>4</v>
      </c>
      <c r="CO226" s="236">
        <f>IF(AND('Grille de saisie'!C226=1,'Grille de saisie'!BZ226=0),1,IF(AND('Grille de saisie'!C226="",'Grille de saisie'!BZ226=""),3,IF(AND('Grille de saisie'!C226=5),3,2)))</f>
        <v>3</v>
      </c>
      <c r="CP226" s="236">
        <f>IF(AND('Grille de saisie'!C226=1,'Grille de saisie'!BZ226=0),1,IF(AND('Grille de saisie'!C226=1,'Grille de saisie'!BZ226=1),2,IF(AND('Grille de saisie'!C226=2,'Grille de saisie'!BZ226=0),2,IF(AND('Grille de saisie'!C226=3,'Grille de saisie'!BZ226=0),3,IF(AND('Grille de saisie'!C226=2,'Grille de saisie'!BZ226=1),3,IF(AND('Grille de saisie'!C226=1,'Grille de saisie'!BZ226=2),3,IF(AND('Grille de saisie'!C226="",'Grille de saisie'!BZ226=""),5,IF(AND('Grille de saisie'!C226=5),5,4))))))))</f>
        <v>5</v>
      </c>
      <c r="CQ226" s="237">
        <f>IF('Grille de saisie'!BZ226="",3,IF('Grille de saisie'!C226=5,3,IF('Grille de saisie'!BZ226=0,1,2)))</f>
        <v>3</v>
      </c>
    </row>
    <row r="227" spans="1:95" ht="15">
      <c r="A227" s="510">
        <v>225</v>
      </c>
      <c r="B227" s="240"/>
      <c r="C227" s="513"/>
      <c r="D227" s="240"/>
      <c r="E227" s="517"/>
      <c r="F227" s="265"/>
      <c r="G227" s="513"/>
      <c r="H227" s="265"/>
      <c r="I227" s="520"/>
      <c r="J227" s="241"/>
      <c r="K227" s="520"/>
      <c r="L227" s="241"/>
      <c r="M227" s="521"/>
      <c r="N227" s="241"/>
      <c r="O227" s="521"/>
      <c r="P227" s="241"/>
      <c r="Q227" s="520"/>
      <c r="R227" s="241"/>
      <c r="S227" s="520"/>
      <c r="T227" s="241"/>
      <c r="U227" s="520"/>
      <c r="V227" s="241"/>
      <c r="W227" s="242"/>
      <c r="X227" s="241"/>
      <c r="Y227" s="242"/>
      <c r="Z227" s="241"/>
      <c r="AA227" s="241"/>
      <c r="AB227" s="275"/>
      <c r="AC227" s="524"/>
      <c r="AD227" s="241"/>
      <c r="AE227" s="241"/>
      <c r="AF227" s="241"/>
      <c r="AG227" s="241"/>
      <c r="AH227" s="241"/>
      <c r="AI227" s="241"/>
      <c r="AJ227" s="529"/>
      <c r="AK227" s="258"/>
      <c r="AL227" s="241"/>
      <c r="AM227" s="242"/>
      <c r="AN227" s="241"/>
      <c r="AO227" s="242"/>
      <c r="AP227" s="241"/>
      <c r="AQ227" s="242"/>
      <c r="AR227" s="241"/>
      <c r="AS227" s="242"/>
      <c r="AT227" s="241"/>
      <c r="AU227" s="241"/>
      <c r="AV227" s="256"/>
      <c r="AW227" s="241"/>
      <c r="AX227" s="256"/>
      <c r="AY227" s="241"/>
      <c r="AZ227" s="256"/>
      <c r="BA227" s="239"/>
      <c r="BB227" s="242"/>
      <c r="BC227" s="239"/>
      <c r="BD227" s="242"/>
      <c r="BE227" s="239"/>
      <c r="BF227" s="241"/>
      <c r="BG227" s="239"/>
      <c r="BH227" s="241"/>
      <c r="BI227" s="260"/>
      <c r="BJ227" s="241"/>
      <c r="BK227" s="260"/>
      <c r="BL227" s="239"/>
      <c r="BM227" s="256"/>
      <c r="BN227" s="241"/>
      <c r="BO227" s="243"/>
      <c r="BP227" s="241"/>
      <c r="BQ227" s="239"/>
      <c r="BR227" s="276"/>
      <c r="BS227" s="256"/>
      <c r="BT227" s="260"/>
      <c r="BU227" s="261"/>
      <c r="BV227" s="260"/>
      <c r="BW227" s="239"/>
      <c r="BX227" s="260"/>
      <c r="BY227" s="260"/>
      <c r="BZ227" s="239"/>
      <c r="CA227" s="260"/>
      <c r="CB227" s="239"/>
      <c r="CC227" s="260"/>
      <c r="CD227" s="539"/>
      <c r="CE227" s="239"/>
      <c r="CF227" s="276"/>
      <c r="CG227" s="256"/>
      <c r="CH227" s="259"/>
      <c r="CI227" s="347"/>
      <c r="CJ227" s="540"/>
      <c r="CK227" s="256"/>
      <c r="CL227" s="244">
        <v>1</v>
      </c>
      <c r="CM227" s="274">
        <f t="shared" si="3"/>
        <v>2015</v>
      </c>
      <c r="CN227" s="244">
        <f>IF('Grille de saisie'!CM227&lt;18,0,IF('Grille de saisie'!CM227&lt;40,1,IF('Grille de saisie'!CM227&lt;65,2,IF('Grille de saisie'!CM227&lt;100,3,4))))</f>
        <v>4</v>
      </c>
      <c r="CO227" s="236">
        <f>IF(AND('Grille de saisie'!C227=1,'Grille de saisie'!BZ227=0),1,IF(AND('Grille de saisie'!C227="",'Grille de saisie'!BZ227=""),3,IF(AND('Grille de saisie'!C227=5),3,2)))</f>
        <v>3</v>
      </c>
      <c r="CP227" s="236">
        <f>IF(AND('Grille de saisie'!C227=1,'Grille de saisie'!BZ227=0),1,IF(AND('Grille de saisie'!C227=1,'Grille de saisie'!BZ227=1),2,IF(AND('Grille de saisie'!C227=2,'Grille de saisie'!BZ227=0),2,IF(AND('Grille de saisie'!C227=3,'Grille de saisie'!BZ227=0),3,IF(AND('Grille de saisie'!C227=2,'Grille de saisie'!BZ227=1),3,IF(AND('Grille de saisie'!C227=1,'Grille de saisie'!BZ227=2),3,IF(AND('Grille de saisie'!C227="",'Grille de saisie'!BZ227=""),5,IF(AND('Grille de saisie'!C227=5),5,4))))))))</f>
        <v>5</v>
      </c>
      <c r="CQ227" s="237">
        <f>IF('Grille de saisie'!BZ227="",3,IF('Grille de saisie'!C227=5,3,IF('Grille de saisie'!BZ227=0,1,2)))</f>
        <v>3</v>
      </c>
    </row>
    <row r="228" spans="1:95" ht="15">
      <c r="A228" s="511">
        <v>226</v>
      </c>
      <c r="B228" s="240"/>
      <c r="C228" s="513"/>
      <c r="D228" s="240"/>
      <c r="E228" s="517"/>
      <c r="F228" s="265"/>
      <c r="G228" s="513"/>
      <c r="H228" s="265"/>
      <c r="I228" s="520"/>
      <c r="J228" s="241"/>
      <c r="K228" s="520"/>
      <c r="L228" s="241"/>
      <c r="M228" s="521"/>
      <c r="N228" s="241"/>
      <c r="O228" s="521"/>
      <c r="P228" s="241"/>
      <c r="Q228" s="520"/>
      <c r="R228" s="241"/>
      <c r="S228" s="520"/>
      <c r="T228" s="241"/>
      <c r="U228" s="520"/>
      <c r="V228" s="241"/>
      <c r="W228" s="242"/>
      <c r="X228" s="241"/>
      <c r="Y228" s="242"/>
      <c r="Z228" s="241"/>
      <c r="AA228" s="241"/>
      <c r="AB228" s="275"/>
      <c r="AC228" s="524"/>
      <c r="AD228" s="241"/>
      <c r="AE228" s="241"/>
      <c r="AF228" s="241"/>
      <c r="AG228" s="241"/>
      <c r="AH228" s="241"/>
      <c r="AI228" s="241"/>
      <c r="AJ228" s="529"/>
      <c r="AK228" s="258"/>
      <c r="AL228" s="241"/>
      <c r="AM228" s="242"/>
      <c r="AN228" s="241"/>
      <c r="AO228" s="242"/>
      <c r="AP228" s="241"/>
      <c r="AQ228" s="242"/>
      <c r="AR228" s="241"/>
      <c r="AS228" s="242"/>
      <c r="AT228" s="241"/>
      <c r="AU228" s="241"/>
      <c r="AV228" s="256"/>
      <c r="AW228" s="241"/>
      <c r="AX228" s="256"/>
      <c r="AY228" s="241"/>
      <c r="AZ228" s="256"/>
      <c r="BA228" s="239"/>
      <c r="BB228" s="242"/>
      <c r="BC228" s="239"/>
      <c r="BD228" s="242"/>
      <c r="BE228" s="239"/>
      <c r="BF228" s="241"/>
      <c r="BG228" s="239"/>
      <c r="BH228" s="241"/>
      <c r="BI228" s="260"/>
      <c r="BJ228" s="241"/>
      <c r="BK228" s="260"/>
      <c r="BL228" s="239"/>
      <c r="BM228" s="256"/>
      <c r="BN228" s="241"/>
      <c r="BO228" s="243"/>
      <c r="BP228" s="241"/>
      <c r="BQ228" s="239"/>
      <c r="BR228" s="276"/>
      <c r="BS228" s="256"/>
      <c r="BT228" s="260"/>
      <c r="BU228" s="261"/>
      <c r="BV228" s="260"/>
      <c r="BW228" s="239"/>
      <c r="BX228" s="260"/>
      <c r="BY228" s="260"/>
      <c r="BZ228" s="239"/>
      <c r="CA228" s="260"/>
      <c r="CB228" s="239"/>
      <c r="CC228" s="260"/>
      <c r="CD228" s="539"/>
      <c r="CE228" s="239"/>
      <c r="CF228" s="276"/>
      <c r="CG228" s="256"/>
      <c r="CH228" s="259"/>
      <c r="CI228" s="347"/>
      <c r="CJ228" s="540"/>
      <c r="CK228" s="256"/>
      <c r="CL228" s="244">
        <v>1</v>
      </c>
      <c r="CM228" s="274">
        <f t="shared" si="3"/>
        <v>2015</v>
      </c>
      <c r="CN228" s="244">
        <f>IF('Grille de saisie'!CM228&lt;18,0,IF('Grille de saisie'!CM228&lt;40,1,IF('Grille de saisie'!CM228&lt;65,2,IF('Grille de saisie'!CM228&lt;100,3,4))))</f>
        <v>4</v>
      </c>
      <c r="CO228" s="236">
        <f>IF(AND('Grille de saisie'!C228=1,'Grille de saisie'!BZ228=0),1,IF(AND('Grille de saisie'!C228="",'Grille de saisie'!BZ228=""),3,IF(AND('Grille de saisie'!C228=5),3,2)))</f>
        <v>3</v>
      </c>
      <c r="CP228" s="236">
        <f>IF(AND('Grille de saisie'!C228=1,'Grille de saisie'!BZ228=0),1,IF(AND('Grille de saisie'!C228=1,'Grille de saisie'!BZ228=1),2,IF(AND('Grille de saisie'!C228=2,'Grille de saisie'!BZ228=0),2,IF(AND('Grille de saisie'!C228=3,'Grille de saisie'!BZ228=0),3,IF(AND('Grille de saisie'!C228=2,'Grille de saisie'!BZ228=1),3,IF(AND('Grille de saisie'!C228=1,'Grille de saisie'!BZ228=2),3,IF(AND('Grille de saisie'!C228="",'Grille de saisie'!BZ228=""),5,IF(AND('Grille de saisie'!C228=5),5,4))))))))</f>
        <v>5</v>
      </c>
      <c r="CQ228" s="237">
        <f>IF('Grille de saisie'!BZ228="",3,IF('Grille de saisie'!C228=5,3,IF('Grille de saisie'!BZ228=0,1,2)))</f>
        <v>3</v>
      </c>
    </row>
    <row r="229" spans="1:95" ht="15">
      <c r="A229" s="510">
        <v>227</v>
      </c>
      <c r="B229" s="240"/>
      <c r="C229" s="513"/>
      <c r="D229" s="240"/>
      <c r="E229" s="517"/>
      <c r="F229" s="265"/>
      <c r="G229" s="513"/>
      <c r="H229" s="265"/>
      <c r="I229" s="520"/>
      <c r="J229" s="241"/>
      <c r="K229" s="520"/>
      <c r="L229" s="241"/>
      <c r="M229" s="521"/>
      <c r="N229" s="241"/>
      <c r="O229" s="521"/>
      <c r="P229" s="241"/>
      <c r="Q229" s="520"/>
      <c r="R229" s="241"/>
      <c r="S229" s="520"/>
      <c r="T229" s="241"/>
      <c r="U229" s="520"/>
      <c r="V229" s="241"/>
      <c r="W229" s="242"/>
      <c r="X229" s="241"/>
      <c r="Y229" s="242"/>
      <c r="Z229" s="241"/>
      <c r="AA229" s="241"/>
      <c r="AB229" s="275"/>
      <c r="AC229" s="524"/>
      <c r="AD229" s="241"/>
      <c r="AE229" s="241"/>
      <c r="AF229" s="241"/>
      <c r="AG229" s="241"/>
      <c r="AH229" s="241"/>
      <c r="AI229" s="241"/>
      <c r="AJ229" s="529"/>
      <c r="AK229" s="258"/>
      <c r="AL229" s="241"/>
      <c r="AM229" s="242"/>
      <c r="AN229" s="241"/>
      <c r="AO229" s="242"/>
      <c r="AP229" s="241"/>
      <c r="AQ229" s="242"/>
      <c r="AR229" s="241"/>
      <c r="AS229" s="242"/>
      <c r="AT229" s="241"/>
      <c r="AU229" s="241"/>
      <c r="AV229" s="256"/>
      <c r="AW229" s="241"/>
      <c r="AX229" s="256"/>
      <c r="AY229" s="241"/>
      <c r="AZ229" s="256"/>
      <c r="BA229" s="239"/>
      <c r="BB229" s="242"/>
      <c r="BC229" s="239"/>
      <c r="BD229" s="242"/>
      <c r="BE229" s="239"/>
      <c r="BF229" s="241"/>
      <c r="BG229" s="239"/>
      <c r="BH229" s="241"/>
      <c r="BI229" s="260"/>
      <c r="BJ229" s="241"/>
      <c r="BK229" s="260"/>
      <c r="BL229" s="239"/>
      <c r="BM229" s="256"/>
      <c r="BN229" s="241"/>
      <c r="BO229" s="243"/>
      <c r="BP229" s="241"/>
      <c r="BQ229" s="239"/>
      <c r="BR229" s="276"/>
      <c r="BS229" s="256"/>
      <c r="BT229" s="260"/>
      <c r="BU229" s="261"/>
      <c r="BV229" s="260"/>
      <c r="BW229" s="239"/>
      <c r="BX229" s="260"/>
      <c r="BY229" s="260"/>
      <c r="BZ229" s="239"/>
      <c r="CA229" s="260"/>
      <c r="CB229" s="239"/>
      <c r="CC229" s="260"/>
      <c r="CD229" s="539"/>
      <c r="CE229" s="239"/>
      <c r="CF229" s="276"/>
      <c r="CG229" s="256"/>
      <c r="CH229" s="259"/>
      <c r="CI229" s="347"/>
      <c r="CJ229" s="540"/>
      <c r="CK229" s="256"/>
      <c r="CL229" s="244">
        <v>1</v>
      </c>
      <c r="CM229" s="274">
        <f t="shared" si="3"/>
        <v>2015</v>
      </c>
      <c r="CN229" s="244">
        <f>IF('Grille de saisie'!CM229&lt;18,0,IF('Grille de saisie'!CM229&lt;40,1,IF('Grille de saisie'!CM229&lt;65,2,IF('Grille de saisie'!CM229&lt;100,3,4))))</f>
        <v>4</v>
      </c>
      <c r="CO229" s="236">
        <f>IF(AND('Grille de saisie'!C229=1,'Grille de saisie'!BZ229=0),1,IF(AND('Grille de saisie'!C229="",'Grille de saisie'!BZ229=""),3,IF(AND('Grille de saisie'!C229=5),3,2)))</f>
        <v>3</v>
      </c>
      <c r="CP229" s="236">
        <f>IF(AND('Grille de saisie'!C229=1,'Grille de saisie'!BZ229=0),1,IF(AND('Grille de saisie'!C229=1,'Grille de saisie'!BZ229=1),2,IF(AND('Grille de saisie'!C229=2,'Grille de saisie'!BZ229=0),2,IF(AND('Grille de saisie'!C229=3,'Grille de saisie'!BZ229=0),3,IF(AND('Grille de saisie'!C229=2,'Grille de saisie'!BZ229=1),3,IF(AND('Grille de saisie'!C229=1,'Grille de saisie'!BZ229=2),3,IF(AND('Grille de saisie'!C229="",'Grille de saisie'!BZ229=""),5,IF(AND('Grille de saisie'!C229=5),5,4))))))))</f>
        <v>5</v>
      </c>
      <c r="CQ229" s="237">
        <f>IF('Grille de saisie'!BZ229="",3,IF('Grille de saisie'!C229=5,3,IF('Grille de saisie'!BZ229=0,1,2)))</f>
        <v>3</v>
      </c>
    </row>
    <row r="230" spans="1:95" ht="15">
      <c r="A230" s="510">
        <v>228</v>
      </c>
      <c r="B230" s="240"/>
      <c r="C230" s="513"/>
      <c r="D230" s="240"/>
      <c r="E230" s="517"/>
      <c r="F230" s="265"/>
      <c r="G230" s="513"/>
      <c r="H230" s="265"/>
      <c r="I230" s="520"/>
      <c r="J230" s="241"/>
      <c r="K230" s="520"/>
      <c r="L230" s="241"/>
      <c r="M230" s="521"/>
      <c r="N230" s="241"/>
      <c r="O230" s="521"/>
      <c r="P230" s="241"/>
      <c r="Q230" s="520"/>
      <c r="R230" s="241"/>
      <c r="S230" s="520"/>
      <c r="T230" s="241"/>
      <c r="U230" s="520"/>
      <c r="V230" s="241"/>
      <c r="W230" s="242"/>
      <c r="X230" s="241"/>
      <c r="Y230" s="242"/>
      <c r="Z230" s="241"/>
      <c r="AA230" s="241"/>
      <c r="AB230" s="275"/>
      <c r="AC230" s="524"/>
      <c r="AD230" s="241"/>
      <c r="AE230" s="241"/>
      <c r="AF230" s="241"/>
      <c r="AG230" s="241"/>
      <c r="AH230" s="241"/>
      <c r="AI230" s="241"/>
      <c r="AJ230" s="529"/>
      <c r="AK230" s="258"/>
      <c r="AL230" s="241"/>
      <c r="AM230" s="242"/>
      <c r="AN230" s="241"/>
      <c r="AO230" s="242"/>
      <c r="AP230" s="241"/>
      <c r="AQ230" s="242"/>
      <c r="AR230" s="241"/>
      <c r="AS230" s="242"/>
      <c r="AT230" s="241"/>
      <c r="AU230" s="241"/>
      <c r="AV230" s="256"/>
      <c r="AW230" s="241"/>
      <c r="AX230" s="256"/>
      <c r="AY230" s="241"/>
      <c r="AZ230" s="256"/>
      <c r="BA230" s="239"/>
      <c r="BB230" s="242"/>
      <c r="BC230" s="239"/>
      <c r="BD230" s="242"/>
      <c r="BE230" s="239"/>
      <c r="BF230" s="241"/>
      <c r="BG230" s="239"/>
      <c r="BH230" s="241"/>
      <c r="BI230" s="260"/>
      <c r="BJ230" s="241"/>
      <c r="BK230" s="260"/>
      <c r="BL230" s="239"/>
      <c r="BM230" s="256"/>
      <c r="BN230" s="241"/>
      <c r="BO230" s="243"/>
      <c r="BP230" s="241"/>
      <c r="BQ230" s="239"/>
      <c r="BR230" s="276"/>
      <c r="BS230" s="256"/>
      <c r="BT230" s="260"/>
      <c r="BU230" s="261"/>
      <c r="BV230" s="260"/>
      <c r="BW230" s="239"/>
      <c r="BX230" s="260"/>
      <c r="BY230" s="260"/>
      <c r="BZ230" s="239"/>
      <c r="CA230" s="260"/>
      <c r="CB230" s="239"/>
      <c r="CC230" s="260"/>
      <c r="CD230" s="539"/>
      <c r="CE230" s="239"/>
      <c r="CF230" s="276"/>
      <c r="CG230" s="256"/>
      <c r="CH230" s="259"/>
      <c r="CI230" s="347"/>
      <c r="CJ230" s="540"/>
      <c r="CK230" s="256"/>
      <c r="CL230" s="244">
        <v>1</v>
      </c>
      <c r="CM230" s="274">
        <f t="shared" si="3"/>
        <v>2015</v>
      </c>
      <c r="CN230" s="244">
        <f>IF('Grille de saisie'!CM230&lt;18,0,IF('Grille de saisie'!CM230&lt;40,1,IF('Grille de saisie'!CM230&lt;65,2,IF('Grille de saisie'!CM230&lt;100,3,4))))</f>
        <v>4</v>
      </c>
      <c r="CO230" s="236">
        <f>IF(AND('Grille de saisie'!C230=1,'Grille de saisie'!BZ230=0),1,IF(AND('Grille de saisie'!C230="",'Grille de saisie'!BZ230=""),3,IF(AND('Grille de saisie'!C230=5),3,2)))</f>
        <v>3</v>
      </c>
      <c r="CP230" s="236">
        <f>IF(AND('Grille de saisie'!C230=1,'Grille de saisie'!BZ230=0),1,IF(AND('Grille de saisie'!C230=1,'Grille de saisie'!BZ230=1),2,IF(AND('Grille de saisie'!C230=2,'Grille de saisie'!BZ230=0),2,IF(AND('Grille de saisie'!C230=3,'Grille de saisie'!BZ230=0),3,IF(AND('Grille de saisie'!C230=2,'Grille de saisie'!BZ230=1),3,IF(AND('Grille de saisie'!C230=1,'Grille de saisie'!BZ230=2),3,IF(AND('Grille de saisie'!C230="",'Grille de saisie'!BZ230=""),5,IF(AND('Grille de saisie'!C230=5),5,4))))))))</f>
        <v>5</v>
      </c>
      <c r="CQ230" s="237">
        <f>IF('Grille de saisie'!BZ230="",3,IF('Grille de saisie'!C230=5,3,IF('Grille de saisie'!BZ230=0,1,2)))</f>
        <v>3</v>
      </c>
    </row>
    <row r="231" spans="1:95" ht="15">
      <c r="A231" s="511">
        <v>229</v>
      </c>
      <c r="B231" s="240"/>
      <c r="C231" s="513"/>
      <c r="D231" s="240"/>
      <c r="E231" s="517"/>
      <c r="F231" s="265"/>
      <c r="G231" s="513"/>
      <c r="H231" s="265"/>
      <c r="I231" s="520"/>
      <c r="J231" s="241"/>
      <c r="K231" s="520"/>
      <c r="L231" s="241"/>
      <c r="M231" s="521"/>
      <c r="N231" s="241"/>
      <c r="O231" s="521"/>
      <c r="P231" s="241"/>
      <c r="Q231" s="520"/>
      <c r="R231" s="241"/>
      <c r="S231" s="520"/>
      <c r="T231" s="241"/>
      <c r="U231" s="520"/>
      <c r="V231" s="241"/>
      <c r="W231" s="242"/>
      <c r="X231" s="241"/>
      <c r="Y231" s="242"/>
      <c r="Z231" s="241"/>
      <c r="AA231" s="241"/>
      <c r="AB231" s="275"/>
      <c r="AC231" s="524"/>
      <c r="AD231" s="241"/>
      <c r="AE231" s="241"/>
      <c r="AF231" s="241"/>
      <c r="AG231" s="241"/>
      <c r="AH231" s="241"/>
      <c r="AI231" s="241"/>
      <c r="AJ231" s="529"/>
      <c r="AK231" s="258"/>
      <c r="AL231" s="241"/>
      <c r="AM231" s="242"/>
      <c r="AN231" s="241"/>
      <c r="AO231" s="242"/>
      <c r="AP231" s="241"/>
      <c r="AQ231" s="242"/>
      <c r="AR231" s="241"/>
      <c r="AS231" s="242"/>
      <c r="AT231" s="241"/>
      <c r="AU231" s="241"/>
      <c r="AV231" s="256"/>
      <c r="AW231" s="241"/>
      <c r="AX231" s="256"/>
      <c r="AY231" s="241"/>
      <c r="AZ231" s="256"/>
      <c r="BA231" s="239"/>
      <c r="BB231" s="242"/>
      <c r="BC231" s="239"/>
      <c r="BD231" s="242"/>
      <c r="BE231" s="239"/>
      <c r="BF231" s="241"/>
      <c r="BG231" s="239"/>
      <c r="BH231" s="241"/>
      <c r="BI231" s="260"/>
      <c r="BJ231" s="241"/>
      <c r="BK231" s="260"/>
      <c r="BL231" s="239"/>
      <c r="BM231" s="256"/>
      <c r="BN231" s="241"/>
      <c r="BO231" s="243"/>
      <c r="BP231" s="241"/>
      <c r="BQ231" s="239"/>
      <c r="BR231" s="276"/>
      <c r="BS231" s="256"/>
      <c r="BT231" s="260"/>
      <c r="BU231" s="261"/>
      <c r="BV231" s="260"/>
      <c r="BW231" s="239"/>
      <c r="BX231" s="260"/>
      <c r="BY231" s="260"/>
      <c r="BZ231" s="239"/>
      <c r="CA231" s="260"/>
      <c r="CB231" s="239"/>
      <c r="CC231" s="260"/>
      <c r="CD231" s="539"/>
      <c r="CE231" s="239"/>
      <c r="CF231" s="276"/>
      <c r="CG231" s="256"/>
      <c r="CH231" s="259"/>
      <c r="CI231" s="347"/>
      <c r="CJ231" s="540"/>
      <c r="CK231" s="256"/>
      <c r="CL231" s="244">
        <v>1</v>
      </c>
      <c r="CM231" s="274">
        <f t="shared" si="3"/>
        <v>2015</v>
      </c>
      <c r="CN231" s="244">
        <f>IF('Grille de saisie'!CM231&lt;18,0,IF('Grille de saisie'!CM231&lt;40,1,IF('Grille de saisie'!CM231&lt;65,2,IF('Grille de saisie'!CM231&lt;100,3,4))))</f>
        <v>4</v>
      </c>
      <c r="CO231" s="236">
        <f>IF(AND('Grille de saisie'!C231=1,'Grille de saisie'!BZ231=0),1,IF(AND('Grille de saisie'!C231="",'Grille de saisie'!BZ231=""),3,IF(AND('Grille de saisie'!C231=5),3,2)))</f>
        <v>3</v>
      </c>
      <c r="CP231" s="236">
        <f>IF(AND('Grille de saisie'!C231=1,'Grille de saisie'!BZ231=0),1,IF(AND('Grille de saisie'!C231=1,'Grille de saisie'!BZ231=1),2,IF(AND('Grille de saisie'!C231=2,'Grille de saisie'!BZ231=0),2,IF(AND('Grille de saisie'!C231=3,'Grille de saisie'!BZ231=0),3,IF(AND('Grille de saisie'!C231=2,'Grille de saisie'!BZ231=1),3,IF(AND('Grille de saisie'!C231=1,'Grille de saisie'!BZ231=2),3,IF(AND('Grille de saisie'!C231="",'Grille de saisie'!BZ231=""),5,IF(AND('Grille de saisie'!C231=5),5,4))))))))</f>
        <v>5</v>
      </c>
      <c r="CQ231" s="237">
        <f>IF('Grille de saisie'!BZ231="",3,IF('Grille de saisie'!C231=5,3,IF('Grille de saisie'!BZ231=0,1,2)))</f>
        <v>3</v>
      </c>
    </row>
    <row r="232" spans="1:95" ht="15">
      <c r="A232" s="510">
        <v>230</v>
      </c>
      <c r="B232" s="240"/>
      <c r="C232" s="513"/>
      <c r="D232" s="240"/>
      <c r="E232" s="517"/>
      <c r="F232" s="265"/>
      <c r="G232" s="513"/>
      <c r="H232" s="265"/>
      <c r="I232" s="520"/>
      <c r="J232" s="241"/>
      <c r="K232" s="520"/>
      <c r="L232" s="241"/>
      <c r="M232" s="521"/>
      <c r="N232" s="241"/>
      <c r="O232" s="521"/>
      <c r="P232" s="241"/>
      <c r="Q232" s="520"/>
      <c r="R232" s="241"/>
      <c r="S232" s="520"/>
      <c r="T232" s="241"/>
      <c r="U232" s="520"/>
      <c r="V232" s="241"/>
      <c r="W232" s="242"/>
      <c r="X232" s="241"/>
      <c r="Y232" s="242"/>
      <c r="Z232" s="241"/>
      <c r="AA232" s="241"/>
      <c r="AB232" s="275"/>
      <c r="AC232" s="524"/>
      <c r="AD232" s="241"/>
      <c r="AE232" s="241"/>
      <c r="AF232" s="241"/>
      <c r="AG232" s="241"/>
      <c r="AH232" s="241"/>
      <c r="AI232" s="241"/>
      <c r="AJ232" s="529"/>
      <c r="AK232" s="258"/>
      <c r="AL232" s="241"/>
      <c r="AM232" s="242"/>
      <c r="AN232" s="241"/>
      <c r="AO232" s="242"/>
      <c r="AP232" s="241"/>
      <c r="AQ232" s="242"/>
      <c r="AR232" s="241"/>
      <c r="AS232" s="242"/>
      <c r="AT232" s="241"/>
      <c r="AU232" s="241"/>
      <c r="AV232" s="256"/>
      <c r="AW232" s="241"/>
      <c r="AX232" s="256"/>
      <c r="AY232" s="241"/>
      <c r="AZ232" s="256"/>
      <c r="BA232" s="239"/>
      <c r="BB232" s="242"/>
      <c r="BC232" s="239"/>
      <c r="BD232" s="242"/>
      <c r="BE232" s="239"/>
      <c r="BF232" s="241"/>
      <c r="BG232" s="239"/>
      <c r="BH232" s="241"/>
      <c r="BI232" s="260"/>
      <c r="BJ232" s="241"/>
      <c r="BK232" s="260"/>
      <c r="BL232" s="239"/>
      <c r="BM232" s="256"/>
      <c r="BN232" s="241"/>
      <c r="BO232" s="243"/>
      <c r="BP232" s="241"/>
      <c r="BQ232" s="239"/>
      <c r="BR232" s="276"/>
      <c r="BS232" s="256"/>
      <c r="BT232" s="260"/>
      <c r="BU232" s="261"/>
      <c r="BV232" s="260"/>
      <c r="BW232" s="239"/>
      <c r="BX232" s="260"/>
      <c r="BY232" s="260"/>
      <c r="BZ232" s="239"/>
      <c r="CA232" s="260"/>
      <c r="CB232" s="239"/>
      <c r="CC232" s="260"/>
      <c r="CD232" s="539"/>
      <c r="CE232" s="239"/>
      <c r="CF232" s="276"/>
      <c r="CG232" s="256"/>
      <c r="CH232" s="259"/>
      <c r="CI232" s="347"/>
      <c r="CJ232" s="540"/>
      <c r="CK232" s="256"/>
      <c r="CL232" s="244">
        <v>1</v>
      </c>
      <c r="CM232" s="274">
        <f t="shared" si="3"/>
        <v>2015</v>
      </c>
      <c r="CN232" s="244">
        <f>IF('Grille de saisie'!CM232&lt;18,0,IF('Grille de saisie'!CM232&lt;40,1,IF('Grille de saisie'!CM232&lt;65,2,IF('Grille de saisie'!CM232&lt;100,3,4))))</f>
        <v>4</v>
      </c>
      <c r="CO232" s="236">
        <f>IF(AND('Grille de saisie'!C232=1,'Grille de saisie'!BZ232=0),1,IF(AND('Grille de saisie'!C232="",'Grille de saisie'!BZ232=""),3,IF(AND('Grille de saisie'!C232=5),3,2)))</f>
        <v>3</v>
      </c>
      <c r="CP232" s="236">
        <f>IF(AND('Grille de saisie'!C232=1,'Grille de saisie'!BZ232=0),1,IF(AND('Grille de saisie'!C232=1,'Grille de saisie'!BZ232=1),2,IF(AND('Grille de saisie'!C232=2,'Grille de saisie'!BZ232=0),2,IF(AND('Grille de saisie'!C232=3,'Grille de saisie'!BZ232=0),3,IF(AND('Grille de saisie'!C232=2,'Grille de saisie'!BZ232=1),3,IF(AND('Grille de saisie'!C232=1,'Grille de saisie'!BZ232=2),3,IF(AND('Grille de saisie'!C232="",'Grille de saisie'!BZ232=""),5,IF(AND('Grille de saisie'!C232=5),5,4))))))))</f>
        <v>5</v>
      </c>
      <c r="CQ232" s="237">
        <f>IF('Grille de saisie'!BZ232="",3,IF('Grille de saisie'!C232=5,3,IF('Grille de saisie'!BZ232=0,1,2)))</f>
        <v>3</v>
      </c>
    </row>
    <row r="233" spans="1:95" ht="15">
      <c r="A233" s="510">
        <v>231</v>
      </c>
      <c r="B233" s="240"/>
      <c r="C233" s="513"/>
      <c r="D233" s="240"/>
      <c r="E233" s="517"/>
      <c r="F233" s="265"/>
      <c r="G233" s="513"/>
      <c r="H233" s="265"/>
      <c r="I233" s="520"/>
      <c r="J233" s="241"/>
      <c r="K233" s="520"/>
      <c r="L233" s="241"/>
      <c r="M233" s="521"/>
      <c r="N233" s="241"/>
      <c r="O233" s="521"/>
      <c r="P233" s="241"/>
      <c r="Q233" s="520"/>
      <c r="R233" s="241"/>
      <c r="S233" s="520"/>
      <c r="T233" s="241"/>
      <c r="U233" s="520"/>
      <c r="V233" s="241"/>
      <c r="W233" s="242"/>
      <c r="X233" s="241"/>
      <c r="Y233" s="242"/>
      <c r="Z233" s="241"/>
      <c r="AA233" s="241"/>
      <c r="AB233" s="275"/>
      <c r="AC233" s="524"/>
      <c r="AD233" s="241"/>
      <c r="AE233" s="241"/>
      <c r="AF233" s="241"/>
      <c r="AG233" s="241"/>
      <c r="AH233" s="241"/>
      <c r="AI233" s="241"/>
      <c r="AJ233" s="529"/>
      <c r="AK233" s="258"/>
      <c r="AL233" s="241"/>
      <c r="AM233" s="242"/>
      <c r="AN233" s="241"/>
      <c r="AO233" s="242"/>
      <c r="AP233" s="241"/>
      <c r="AQ233" s="242"/>
      <c r="AR233" s="241"/>
      <c r="AS233" s="242"/>
      <c r="AT233" s="241"/>
      <c r="AU233" s="241"/>
      <c r="AV233" s="256"/>
      <c r="AW233" s="241"/>
      <c r="AX233" s="256"/>
      <c r="AY233" s="241"/>
      <c r="AZ233" s="256"/>
      <c r="BA233" s="239"/>
      <c r="BB233" s="242"/>
      <c r="BC233" s="239"/>
      <c r="BD233" s="242"/>
      <c r="BE233" s="239"/>
      <c r="BF233" s="241"/>
      <c r="BG233" s="239"/>
      <c r="BH233" s="241"/>
      <c r="BI233" s="260"/>
      <c r="BJ233" s="241"/>
      <c r="BK233" s="260"/>
      <c r="BL233" s="239"/>
      <c r="BM233" s="256"/>
      <c r="BN233" s="241"/>
      <c r="BO233" s="243"/>
      <c r="BP233" s="241"/>
      <c r="BQ233" s="239"/>
      <c r="BR233" s="276"/>
      <c r="BS233" s="256"/>
      <c r="BT233" s="260"/>
      <c r="BU233" s="261"/>
      <c r="BV233" s="260"/>
      <c r="BW233" s="239"/>
      <c r="BX233" s="260"/>
      <c r="BY233" s="260"/>
      <c r="BZ233" s="239"/>
      <c r="CA233" s="260"/>
      <c r="CB233" s="239"/>
      <c r="CC233" s="260"/>
      <c r="CD233" s="539"/>
      <c r="CE233" s="239"/>
      <c r="CF233" s="276"/>
      <c r="CG233" s="256"/>
      <c r="CH233" s="259"/>
      <c r="CI233" s="347"/>
      <c r="CJ233" s="540"/>
      <c r="CK233" s="256"/>
      <c r="CL233" s="244">
        <v>1</v>
      </c>
      <c r="CM233" s="274">
        <f t="shared" si="3"/>
        <v>2015</v>
      </c>
      <c r="CN233" s="244">
        <f>IF('Grille de saisie'!CM233&lt;18,0,IF('Grille de saisie'!CM233&lt;40,1,IF('Grille de saisie'!CM233&lt;65,2,IF('Grille de saisie'!CM233&lt;100,3,4))))</f>
        <v>4</v>
      </c>
      <c r="CO233" s="236">
        <f>IF(AND('Grille de saisie'!C233=1,'Grille de saisie'!BZ233=0),1,IF(AND('Grille de saisie'!C233="",'Grille de saisie'!BZ233=""),3,IF(AND('Grille de saisie'!C233=5),3,2)))</f>
        <v>3</v>
      </c>
      <c r="CP233" s="236">
        <f>IF(AND('Grille de saisie'!C233=1,'Grille de saisie'!BZ233=0),1,IF(AND('Grille de saisie'!C233=1,'Grille de saisie'!BZ233=1),2,IF(AND('Grille de saisie'!C233=2,'Grille de saisie'!BZ233=0),2,IF(AND('Grille de saisie'!C233=3,'Grille de saisie'!BZ233=0),3,IF(AND('Grille de saisie'!C233=2,'Grille de saisie'!BZ233=1),3,IF(AND('Grille de saisie'!C233=1,'Grille de saisie'!BZ233=2),3,IF(AND('Grille de saisie'!C233="",'Grille de saisie'!BZ233=""),5,IF(AND('Grille de saisie'!C233=5),5,4))))))))</f>
        <v>5</v>
      </c>
      <c r="CQ233" s="237">
        <f>IF('Grille de saisie'!BZ233="",3,IF('Grille de saisie'!C233=5,3,IF('Grille de saisie'!BZ233=0,1,2)))</f>
        <v>3</v>
      </c>
    </row>
    <row r="234" spans="1:95" ht="15">
      <c r="A234" s="511">
        <v>232</v>
      </c>
      <c r="B234" s="240"/>
      <c r="C234" s="513"/>
      <c r="D234" s="240"/>
      <c r="E234" s="517"/>
      <c r="F234" s="265"/>
      <c r="G234" s="513"/>
      <c r="H234" s="265"/>
      <c r="I234" s="520"/>
      <c r="J234" s="241"/>
      <c r="K234" s="520"/>
      <c r="L234" s="241"/>
      <c r="M234" s="521"/>
      <c r="N234" s="241"/>
      <c r="O234" s="521"/>
      <c r="P234" s="241"/>
      <c r="Q234" s="520"/>
      <c r="R234" s="241"/>
      <c r="S234" s="520"/>
      <c r="T234" s="241"/>
      <c r="U234" s="520"/>
      <c r="V234" s="241"/>
      <c r="W234" s="242"/>
      <c r="X234" s="241"/>
      <c r="Y234" s="242"/>
      <c r="Z234" s="241"/>
      <c r="AA234" s="241"/>
      <c r="AB234" s="275"/>
      <c r="AC234" s="524"/>
      <c r="AD234" s="241"/>
      <c r="AE234" s="241"/>
      <c r="AF234" s="241"/>
      <c r="AG234" s="241"/>
      <c r="AH234" s="241"/>
      <c r="AI234" s="241"/>
      <c r="AJ234" s="529"/>
      <c r="AK234" s="258"/>
      <c r="AL234" s="241"/>
      <c r="AM234" s="242"/>
      <c r="AN234" s="241"/>
      <c r="AO234" s="242"/>
      <c r="AP234" s="241"/>
      <c r="AQ234" s="242"/>
      <c r="AR234" s="241"/>
      <c r="AS234" s="242"/>
      <c r="AT234" s="241"/>
      <c r="AU234" s="241"/>
      <c r="AV234" s="256"/>
      <c r="AW234" s="241"/>
      <c r="AX234" s="256"/>
      <c r="AY234" s="241"/>
      <c r="AZ234" s="256"/>
      <c r="BA234" s="239"/>
      <c r="BB234" s="242"/>
      <c r="BC234" s="239"/>
      <c r="BD234" s="242"/>
      <c r="BE234" s="239"/>
      <c r="BF234" s="241"/>
      <c r="BG234" s="239"/>
      <c r="BH234" s="241"/>
      <c r="BI234" s="260"/>
      <c r="BJ234" s="241"/>
      <c r="BK234" s="260"/>
      <c r="BL234" s="239"/>
      <c r="BM234" s="256"/>
      <c r="BN234" s="241"/>
      <c r="BO234" s="243"/>
      <c r="BP234" s="241"/>
      <c r="BQ234" s="239"/>
      <c r="BR234" s="276"/>
      <c r="BS234" s="256"/>
      <c r="BT234" s="260"/>
      <c r="BU234" s="261"/>
      <c r="BV234" s="260"/>
      <c r="BW234" s="239"/>
      <c r="BX234" s="260"/>
      <c r="BY234" s="260"/>
      <c r="BZ234" s="239"/>
      <c r="CA234" s="260"/>
      <c r="CB234" s="239"/>
      <c r="CC234" s="260"/>
      <c r="CD234" s="539"/>
      <c r="CE234" s="239"/>
      <c r="CF234" s="276"/>
      <c r="CG234" s="256"/>
      <c r="CH234" s="259"/>
      <c r="CI234" s="347"/>
      <c r="CJ234" s="540"/>
      <c r="CK234" s="256"/>
      <c r="CL234" s="244">
        <v>1</v>
      </c>
      <c r="CM234" s="274">
        <f t="shared" si="3"/>
        <v>2015</v>
      </c>
      <c r="CN234" s="244">
        <f>IF('Grille de saisie'!CM234&lt;18,0,IF('Grille de saisie'!CM234&lt;40,1,IF('Grille de saisie'!CM234&lt;65,2,IF('Grille de saisie'!CM234&lt;100,3,4))))</f>
        <v>4</v>
      </c>
      <c r="CO234" s="236">
        <f>IF(AND('Grille de saisie'!C234=1,'Grille de saisie'!BZ234=0),1,IF(AND('Grille de saisie'!C234="",'Grille de saisie'!BZ234=""),3,IF(AND('Grille de saisie'!C234=5),3,2)))</f>
        <v>3</v>
      </c>
      <c r="CP234" s="236">
        <f>IF(AND('Grille de saisie'!C234=1,'Grille de saisie'!BZ234=0),1,IF(AND('Grille de saisie'!C234=1,'Grille de saisie'!BZ234=1),2,IF(AND('Grille de saisie'!C234=2,'Grille de saisie'!BZ234=0),2,IF(AND('Grille de saisie'!C234=3,'Grille de saisie'!BZ234=0),3,IF(AND('Grille de saisie'!C234=2,'Grille de saisie'!BZ234=1),3,IF(AND('Grille de saisie'!C234=1,'Grille de saisie'!BZ234=2),3,IF(AND('Grille de saisie'!C234="",'Grille de saisie'!BZ234=""),5,IF(AND('Grille de saisie'!C234=5),5,4))))))))</f>
        <v>5</v>
      </c>
      <c r="CQ234" s="237">
        <f>IF('Grille de saisie'!BZ234="",3,IF('Grille de saisie'!C234=5,3,IF('Grille de saisie'!BZ234=0,1,2)))</f>
        <v>3</v>
      </c>
    </row>
    <row r="235" spans="1:95" ht="15">
      <c r="A235" s="510">
        <v>233</v>
      </c>
      <c r="B235" s="240"/>
      <c r="C235" s="513"/>
      <c r="D235" s="240"/>
      <c r="E235" s="517"/>
      <c r="F235" s="265"/>
      <c r="G235" s="513"/>
      <c r="H235" s="265"/>
      <c r="I235" s="520"/>
      <c r="J235" s="241"/>
      <c r="K235" s="520"/>
      <c r="L235" s="241"/>
      <c r="M235" s="521"/>
      <c r="N235" s="241"/>
      <c r="O235" s="521"/>
      <c r="P235" s="241"/>
      <c r="Q235" s="520"/>
      <c r="R235" s="241"/>
      <c r="S235" s="520"/>
      <c r="T235" s="241"/>
      <c r="U235" s="520"/>
      <c r="V235" s="241"/>
      <c r="W235" s="242"/>
      <c r="X235" s="241"/>
      <c r="Y235" s="242"/>
      <c r="Z235" s="241"/>
      <c r="AA235" s="241"/>
      <c r="AB235" s="275"/>
      <c r="AC235" s="524"/>
      <c r="AD235" s="241"/>
      <c r="AE235" s="241"/>
      <c r="AF235" s="241"/>
      <c r="AG235" s="241"/>
      <c r="AH235" s="241"/>
      <c r="AI235" s="241"/>
      <c r="AJ235" s="529"/>
      <c r="AK235" s="258"/>
      <c r="AL235" s="241"/>
      <c r="AM235" s="242"/>
      <c r="AN235" s="241"/>
      <c r="AO235" s="242"/>
      <c r="AP235" s="241"/>
      <c r="AQ235" s="242"/>
      <c r="AR235" s="241"/>
      <c r="AS235" s="242"/>
      <c r="AT235" s="241"/>
      <c r="AU235" s="241"/>
      <c r="AV235" s="256"/>
      <c r="AW235" s="241"/>
      <c r="AX235" s="256"/>
      <c r="AY235" s="241"/>
      <c r="AZ235" s="256"/>
      <c r="BA235" s="239"/>
      <c r="BB235" s="242"/>
      <c r="BC235" s="239"/>
      <c r="BD235" s="242"/>
      <c r="BE235" s="239"/>
      <c r="BF235" s="241"/>
      <c r="BG235" s="239"/>
      <c r="BH235" s="241"/>
      <c r="BI235" s="260"/>
      <c r="BJ235" s="241"/>
      <c r="BK235" s="260"/>
      <c r="BL235" s="239"/>
      <c r="BM235" s="256"/>
      <c r="BN235" s="241"/>
      <c r="BO235" s="243"/>
      <c r="BP235" s="241"/>
      <c r="BQ235" s="239"/>
      <c r="BR235" s="276"/>
      <c r="BS235" s="256"/>
      <c r="BT235" s="260"/>
      <c r="BU235" s="261"/>
      <c r="BV235" s="260"/>
      <c r="BW235" s="239"/>
      <c r="BX235" s="260"/>
      <c r="BY235" s="260"/>
      <c r="BZ235" s="239"/>
      <c r="CA235" s="260"/>
      <c r="CB235" s="239"/>
      <c r="CC235" s="260"/>
      <c r="CD235" s="539"/>
      <c r="CE235" s="239"/>
      <c r="CF235" s="276"/>
      <c r="CG235" s="256"/>
      <c r="CH235" s="259"/>
      <c r="CI235" s="347"/>
      <c r="CJ235" s="540"/>
      <c r="CK235" s="256"/>
      <c r="CL235" s="244">
        <v>1</v>
      </c>
      <c r="CM235" s="274">
        <f t="shared" si="3"/>
        <v>2015</v>
      </c>
      <c r="CN235" s="244">
        <f>IF('Grille de saisie'!CM235&lt;18,0,IF('Grille de saisie'!CM235&lt;40,1,IF('Grille de saisie'!CM235&lt;65,2,IF('Grille de saisie'!CM235&lt;100,3,4))))</f>
        <v>4</v>
      </c>
      <c r="CO235" s="236">
        <f>IF(AND('Grille de saisie'!C235=1,'Grille de saisie'!BZ235=0),1,IF(AND('Grille de saisie'!C235="",'Grille de saisie'!BZ235=""),3,IF(AND('Grille de saisie'!C235=5),3,2)))</f>
        <v>3</v>
      </c>
      <c r="CP235" s="236">
        <f>IF(AND('Grille de saisie'!C235=1,'Grille de saisie'!BZ235=0),1,IF(AND('Grille de saisie'!C235=1,'Grille de saisie'!BZ235=1),2,IF(AND('Grille de saisie'!C235=2,'Grille de saisie'!BZ235=0),2,IF(AND('Grille de saisie'!C235=3,'Grille de saisie'!BZ235=0),3,IF(AND('Grille de saisie'!C235=2,'Grille de saisie'!BZ235=1),3,IF(AND('Grille de saisie'!C235=1,'Grille de saisie'!BZ235=2),3,IF(AND('Grille de saisie'!C235="",'Grille de saisie'!BZ235=""),5,IF(AND('Grille de saisie'!C235=5),5,4))))))))</f>
        <v>5</v>
      </c>
      <c r="CQ235" s="237">
        <f>IF('Grille de saisie'!BZ235="",3,IF('Grille de saisie'!C235=5,3,IF('Grille de saisie'!BZ235=0,1,2)))</f>
        <v>3</v>
      </c>
    </row>
    <row r="236" spans="1:95" ht="15">
      <c r="A236" s="510">
        <v>234</v>
      </c>
      <c r="B236" s="240"/>
      <c r="C236" s="513"/>
      <c r="D236" s="240"/>
      <c r="E236" s="517"/>
      <c r="F236" s="265"/>
      <c r="G236" s="513"/>
      <c r="H236" s="265"/>
      <c r="I236" s="520"/>
      <c r="J236" s="241"/>
      <c r="K236" s="520"/>
      <c r="L236" s="241"/>
      <c r="M236" s="521"/>
      <c r="N236" s="241"/>
      <c r="O236" s="521"/>
      <c r="P236" s="241"/>
      <c r="Q236" s="520"/>
      <c r="R236" s="241"/>
      <c r="S236" s="520"/>
      <c r="T236" s="241"/>
      <c r="U236" s="520"/>
      <c r="V236" s="241"/>
      <c r="W236" s="242"/>
      <c r="X236" s="241"/>
      <c r="Y236" s="242"/>
      <c r="Z236" s="241"/>
      <c r="AA236" s="241"/>
      <c r="AB236" s="275"/>
      <c r="AC236" s="524"/>
      <c r="AD236" s="241"/>
      <c r="AE236" s="241"/>
      <c r="AF236" s="241"/>
      <c r="AG236" s="241"/>
      <c r="AH236" s="241"/>
      <c r="AI236" s="241"/>
      <c r="AJ236" s="529"/>
      <c r="AK236" s="258"/>
      <c r="AL236" s="241"/>
      <c r="AM236" s="242"/>
      <c r="AN236" s="241"/>
      <c r="AO236" s="242"/>
      <c r="AP236" s="241"/>
      <c r="AQ236" s="242"/>
      <c r="AR236" s="241"/>
      <c r="AS236" s="242"/>
      <c r="AT236" s="241"/>
      <c r="AU236" s="241"/>
      <c r="AV236" s="256"/>
      <c r="AW236" s="241"/>
      <c r="AX236" s="256"/>
      <c r="AY236" s="241"/>
      <c r="AZ236" s="256"/>
      <c r="BA236" s="239"/>
      <c r="BB236" s="242"/>
      <c r="BC236" s="239"/>
      <c r="BD236" s="242"/>
      <c r="BE236" s="239"/>
      <c r="BF236" s="241"/>
      <c r="BG236" s="239"/>
      <c r="BH236" s="241"/>
      <c r="BI236" s="260"/>
      <c r="BJ236" s="241"/>
      <c r="BK236" s="260"/>
      <c r="BL236" s="239"/>
      <c r="BM236" s="256"/>
      <c r="BN236" s="241"/>
      <c r="BO236" s="243"/>
      <c r="BP236" s="241"/>
      <c r="BQ236" s="239"/>
      <c r="BR236" s="276"/>
      <c r="BS236" s="256"/>
      <c r="BT236" s="260"/>
      <c r="BU236" s="261"/>
      <c r="BV236" s="260"/>
      <c r="BW236" s="239"/>
      <c r="BX236" s="260"/>
      <c r="BY236" s="260"/>
      <c r="BZ236" s="239"/>
      <c r="CA236" s="260"/>
      <c r="CB236" s="239"/>
      <c r="CC236" s="260"/>
      <c r="CD236" s="539"/>
      <c r="CE236" s="239"/>
      <c r="CF236" s="276"/>
      <c r="CG236" s="256"/>
      <c r="CH236" s="259"/>
      <c r="CI236" s="347"/>
      <c r="CJ236" s="540"/>
      <c r="CK236" s="256"/>
      <c r="CL236" s="244">
        <v>1</v>
      </c>
      <c r="CM236" s="274">
        <f t="shared" si="3"/>
        <v>2015</v>
      </c>
      <c r="CN236" s="244">
        <f>IF('Grille de saisie'!CM236&lt;18,0,IF('Grille de saisie'!CM236&lt;40,1,IF('Grille de saisie'!CM236&lt;65,2,IF('Grille de saisie'!CM236&lt;100,3,4))))</f>
        <v>4</v>
      </c>
      <c r="CO236" s="236">
        <f>IF(AND('Grille de saisie'!C236=1,'Grille de saisie'!BZ236=0),1,IF(AND('Grille de saisie'!C236="",'Grille de saisie'!BZ236=""),3,IF(AND('Grille de saisie'!C236=5),3,2)))</f>
        <v>3</v>
      </c>
      <c r="CP236" s="236">
        <f>IF(AND('Grille de saisie'!C236=1,'Grille de saisie'!BZ236=0),1,IF(AND('Grille de saisie'!C236=1,'Grille de saisie'!BZ236=1),2,IF(AND('Grille de saisie'!C236=2,'Grille de saisie'!BZ236=0),2,IF(AND('Grille de saisie'!C236=3,'Grille de saisie'!BZ236=0),3,IF(AND('Grille de saisie'!C236=2,'Grille de saisie'!BZ236=1),3,IF(AND('Grille de saisie'!C236=1,'Grille de saisie'!BZ236=2),3,IF(AND('Grille de saisie'!C236="",'Grille de saisie'!BZ236=""),5,IF(AND('Grille de saisie'!C236=5),5,4))))))))</f>
        <v>5</v>
      </c>
      <c r="CQ236" s="237">
        <f>IF('Grille de saisie'!BZ236="",3,IF('Grille de saisie'!C236=5,3,IF('Grille de saisie'!BZ236=0,1,2)))</f>
        <v>3</v>
      </c>
    </row>
    <row r="237" spans="1:95" ht="15">
      <c r="A237" s="511">
        <v>235</v>
      </c>
      <c r="B237" s="240"/>
      <c r="C237" s="513"/>
      <c r="D237" s="240"/>
      <c r="E237" s="517"/>
      <c r="F237" s="265"/>
      <c r="G237" s="513"/>
      <c r="H237" s="265"/>
      <c r="I237" s="520"/>
      <c r="J237" s="241"/>
      <c r="K237" s="520"/>
      <c r="L237" s="241"/>
      <c r="M237" s="521"/>
      <c r="N237" s="241"/>
      <c r="O237" s="521"/>
      <c r="P237" s="241"/>
      <c r="Q237" s="520"/>
      <c r="R237" s="241"/>
      <c r="S237" s="520"/>
      <c r="T237" s="241"/>
      <c r="U237" s="520"/>
      <c r="V237" s="241"/>
      <c r="W237" s="242"/>
      <c r="X237" s="241"/>
      <c r="Y237" s="242"/>
      <c r="Z237" s="241"/>
      <c r="AA237" s="241"/>
      <c r="AB237" s="275"/>
      <c r="AC237" s="524"/>
      <c r="AD237" s="241"/>
      <c r="AE237" s="241"/>
      <c r="AF237" s="241"/>
      <c r="AG237" s="241"/>
      <c r="AH237" s="241"/>
      <c r="AI237" s="241"/>
      <c r="AJ237" s="529"/>
      <c r="AK237" s="258"/>
      <c r="AL237" s="241"/>
      <c r="AM237" s="242"/>
      <c r="AN237" s="241"/>
      <c r="AO237" s="242"/>
      <c r="AP237" s="241"/>
      <c r="AQ237" s="242"/>
      <c r="AR237" s="241"/>
      <c r="AS237" s="242"/>
      <c r="AT237" s="241"/>
      <c r="AU237" s="241"/>
      <c r="AV237" s="256"/>
      <c r="AW237" s="241"/>
      <c r="AX237" s="256"/>
      <c r="AY237" s="241"/>
      <c r="AZ237" s="256"/>
      <c r="BA237" s="239"/>
      <c r="BB237" s="242"/>
      <c r="BC237" s="239"/>
      <c r="BD237" s="242"/>
      <c r="BE237" s="239"/>
      <c r="BF237" s="241"/>
      <c r="BG237" s="239"/>
      <c r="BH237" s="241"/>
      <c r="BI237" s="260"/>
      <c r="BJ237" s="241"/>
      <c r="BK237" s="260"/>
      <c r="BL237" s="239"/>
      <c r="BM237" s="256"/>
      <c r="BN237" s="241"/>
      <c r="BO237" s="243"/>
      <c r="BP237" s="241"/>
      <c r="BQ237" s="239"/>
      <c r="BR237" s="276"/>
      <c r="BS237" s="256"/>
      <c r="BT237" s="260"/>
      <c r="BU237" s="261"/>
      <c r="BV237" s="260"/>
      <c r="BW237" s="239"/>
      <c r="BX237" s="260"/>
      <c r="BY237" s="260"/>
      <c r="BZ237" s="239"/>
      <c r="CA237" s="260"/>
      <c r="CB237" s="239"/>
      <c r="CC237" s="260"/>
      <c r="CD237" s="539"/>
      <c r="CE237" s="239"/>
      <c r="CF237" s="276"/>
      <c r="CG237" s="256"/>
      <c r="CH237" s="259"/>
      <c r="CI237" s="347"/>
      <c r="CJ237" s="540"/>
      <c r="CK237" s="256"/>
      <c r="CL237" s="244">
        <v>1</v>
      </c>
      <c r="CM237" s="274">
        <f t="shared" si="3"/>
        <v>2015</v>
      </c>
      <c r="CN237" s="244">
        <f>IF('Grille de saisie'!CM237&lt;18,0,IF('Grille de saisie'!CM237&lt;40,1,IF('Grille de saisie'!CM237&lt;65,2,IF('Grille de saisie'!CM237&lt;100,3,4))))</f>
        <v>4</v>
      </c>
      <c r="CO237" s="236">
        <f>IF(AND('Grille de saisie'!C237=1,'Grille de saisie'!BZ237=0),1,IF(AND('Grille de saisie'!C237="",'Grille de saisie'!BZ237=""),3,IF(AND('Grille de saisie'!C237=5),3,2)))</f>
        <v>3</v>
      </c>
      <c r="CP237" s="236">
        <f>IF(AND('Grille de saisie'!C237=1,'Grille de saisie'!BZ237=0),1,IF(AND('Grille de saisie'!C237=1,'Grille de saisie'!BZ237=1),2,IF(AND('Grille de saisie'!C237=2,'Grille de saisie'!BZ237=0),2,IF(AND('Grille de saisie'!C237=3,'Grille de saisie'!BZ237=0),3,IF(AND('Grille de saisie'!C237=2,'Grille de saisie'!BZ237=1),3,IF(AND('Grille de saisie'!C237=1,'Grille de saisie'!BZ237=2),3,IF(AND('Grille de saisie'!C237="",'Grille de saisie'!BZ237=""),5,IF(AND('Grille de saisie'!C237=5),5,4))))))))</f>
        <v>5</v>
      </c>
      <c r="CQ237" s="237">
        <f>IF('Grille de saisie'!BZ237="",3,IF('Grille de saisie'!C237=5,3,IF('Grille de saisie'!BZ237=0,1,2)))</f>
        <v>3</v>
      </c>
    </row>
    <row r="238" spans="1:95" ht="15">
      <c r="A238" s="510">
        <v>236</v>
      </c>
      <c r="B238" s="240"/>
      <c r="C238" s="513"/>
      <c r="D238" s="240"/>
      <c r="E238" s="517"/>
      <c r="F238" s="265"/>
      <c r="G238" s="513"/>
      <c r="H238" s="265"/>
      <c r="I238" s="520"/>
      <c r="J238" s="241"/>
      <c r="K238" s="520"/>
      <c r="L238" s="241"/>
      <c r="M238" s="521"/>
      <c r="N238" s="241"/>
      <c r="O238" s="521"/>
      <c r="P238" s="241"/>
      <c r="Q238" s="520"/>
      <c r="R238" s="241"/>
      <c r="S238" s="520"/>
      <c r="T238" s="241"/>
      <c r="U238" s="520"/>
      <c r="V238" s="241"/>
      <c r="W238" s="242"/>
      <c r="X238" s="241"/>
      <c r="Y238" s="242"/>
      <c r="Z238" s="241"/>
      <c r="AA238" s="241"/>
      <c r="AB238" s="275"/>
      <c r="AC238" s="524"/>
      <c r="AD238" s="241"/>
      <c r="AE238" s="241"/>
      <c r="AF238" s="241"/>
      <c r="AG238" s="241"/>
      <c r="AH238" s="241"/>
      <c r="AI238" s="241"/>
      <c r="AJ238" s="529"/>
      <c r="AK238" s="258"/>
      <c r="AL238" s="241"/>
      <c r="AM238" s="242"/>
      <c r="AN238" s="241"/>
      <c r="AO238" s="242"/>
      <c r="AP238" s="241"/>
      <c r="AQ238" s="242"/>
      <c r="AR238" s="241"/>
      <c r="AS238" s="242"/>
      <c r="AT238" s="241"/>
      <c r="AU238" s="241"/>
      <c r="AV238" s="256"/>
      <c r="AW238" s="241"/>
      <c r="AX238" s="256"/>
      <c r="AY238" s="241"/>
      <c r="AZ238" s="256"/>
      <c r="BA238" s="239"/>
      <c r="BB238" s="242"/>
      <c r="BC238" s="239"/>
      <c r="BD238" s="242"/>
      <c r="BE238" s="239"/>
      <c r="BF238" s="241"/>
      <c r="BG238" s="239"/>
      <c r="BH238" s="241"/>
      <c r="BI238" s="260"/>
      <c r="BJ238" s="241"/>
      <c r="BK238" s="260"/>
      <c r="BL238" s="239"/>
      <c r="BM238" s="256"/>
      <c r="BN238" s="241"/>
      <c r="BO238" s="243"/>
      <c r="BP238" s="241"/>
      <c r="BQ238" s="239"/>
      <c r="BR238" s="276"/>
      <c r="BS238" s="256"/>
      <c r="BT238" s="260"/>
      <c r="BU238" s="261"/>
      <c r="BV238" s="260"/>
      <c r="BW238" s="239"/>
      <c r="BX238" s="260"/>
      <c r="BY238" s="260"/>
      <c r="BZ238" s="239"/>
      <c r="CA238" s="260"/>
      <c r="CB238" s="239"/>
      <c r="CC238" s="260"/>
      <c r="CD238" s="539"/>
      <c r="CE238" s="239"/>
      <c r="CF238" s="276"/>
      <c r="CG238" s="256"/>
      <c r="CH238" s="259"/>
      <c r="CI238" s="347"/>
      <c r="CJ238" s="540"/>
      <c r="CK238" s="256"/>
      <c r="CL238" s="244">
        <v>1</v>
      </c>
      <c r="CM238" s="274">
        <f t="shared" si="3"/>
        <v>2015</v>
      </c>
      <c r="CN238" s="244">
        <f>IF('Grille de saisie'!CM238&lt;18,0,IF('Grille de saisie'!CM238&lt;40,1,IF('Grille de saisie'!CM238&lt;65,2,IF('Grille de saisie'!CM238&lt;100,3,4))))</f>
        <v>4</v>
      </c>
      <c r="CO238" s="236">
        <f>IF(AND('Grille de saisie'!C238=1,'Grille de saisie'!BZ238=0),1,IF(AND('Grille de saisie'!C238="",'Grille de saisie'!BZ238=""),3,IF(AND('Grille de saisie'!C238=5),3,2)))</f>
        <v>3</v>
      </c>
      <c r="CP238" s="236">
        <f>IF(AND('Grille de saisie'!C238=1,'Grille de saisie'!BZ238=0),1,IF(AND('Grille de saisie'!C238=1,'Grille de saisie'!BZ238=1),2,IF(AND('Grille de saisie'!C238=2,'Grille de saisie'!BZ238=0),2,IF(AND('Grille de saisie'!C238=3,'Grille de saisie'!BZ238=0),3,IF(AND('Grille de saisie'!C238=2,'Grille de saisie'!BZ238=1),3,IF(AND('Grille de saisie'!C238=1,'Grille de saisie'!BZ238=2),3,IF(AND('Grille de saisie'!C238="",'Grille de saisie'!BZ238=""),5,IF(AND('Grille de saisie'!C238=5),5,4))))))))</f>
        <v>5</v>
      </c>
      <c r="CQ238" s="237">
        <f>IF('Grille de saisie'!BZ238="",3,IF('Grille de saisie'!C238=5,3,IF('Grille de saisie'!BZ238=0,1,2)))</f>
        <v>3</v>
      </c>
    </row>
    <row r="239" spans="1:95" ht="15">
      <c r="A239" s="510">
        <v>237</v>
      </c>
      <c r="B239" s="240"/>
      <c r="C239" s="513"/>
      <c r="D239" s="240"/>
      <c r="E239" s="517"/>
      <c r="F239" s="265"/>
      <c r="G239" s="513"/>
      <c r="H239" s="265"/>
      <c r="I239" s="520"/>
      <c r="J239" s="241"/>
      <c r="K239" s="520"/>
      <c r="L239" s="241"/>
      <c r="M239" s="521"/>
      <c r="N239" s="241"/>
      <c r="O239" s="521"/>
      <c r="P239" s="241"/>
      <c r="Q239" s="520"/>
      <c r="R239" s="241"/>
      <c r="S239" s="520"/>
      <c r="T239" s="241"/>
      <c r="U239" s="520"/>
      <c r="V239" s="241"/>
      <c r="W239" s="242"/>
      <c r="X239" s="241"/>
      <c r="Y239" s="242"/>
      <c r="Z239" s="241"/>
      <c r="AA239" s="241"/>
      <c r="AB239" s="275"/>
      <c r="AC239" s="524"/>
      <c r="AD239" s="241"/>
      <c r="AE239" s="241"/>
      <c r="AF239" s="241"/>
      <c r="AG239" s="241"/>
      <c r="AH239" s="241"/>
      <c r="AI239" s="241"/>
      <c r="AJ239" s="529"/>
      <c r="AK239" s="258"/>
      <c r="AL239" s="241"/>
      <c r="AM239" s="242"/>
      <c r="AN239" s="241"/>
      <c r="AO239" s="242"/>
      <c r="AP239" s="241"/>
      <c r="AQ239" s="242"/>
      <c r="AR239" s="241"/>
      <c r="AS239" s="242"/>
      <c r="AT239" s="241"/>
      <c r="AU239" s="241"/>
      <c r="AV239" s="256"/>
      <c r="AW239" s="241"/>
      <c r="AX239" s="256"/>
      <c r="AY239" s="241"/>
      <c r="AZ239" s="256"/>
      <c r="BA239" s="239"/>
      <c r="BB239" s="242"/>
      <c r="BC239" s="239"/>
      <c r="BD239" s="242"/>
      <c r="BE239" s="239"/>
      <c r="BF239" s="241"/>
      <c r="BG239" s="239"/>
      <c r="BH239" s="241"/>
      <c r="BI239" s="260"/>
      <c r="BJ239" s="241"/>
      <c r="BK239" s="260"/>
      <c r="BL239" s="239"/>
      <c r="BM239" s="256"/>
      <c r="BN239" s="241"/>
      <c r="BO239" s="243"/>
      <c r="BP239" s="241"/>
      <c r="BQ239" s="239"/>
      <c r="BR239" s="276"/>
      <c r="BS239" s="256"/>
      <c r="BT239" s="260"/>
      <c r="BU239" s="261"/>
      <c r="BV239" s="260"/>
      <c r="BW239" s="239"/>
      <c r="BX239" s="260"/>
      <c r="BY239" s="260"/>
      <c r="BZ239" s="239"/>
      <c r="CA239" s="260"/>
      <c r="CB239" s="239"/>
      <c r="CC239" s="260"/>
      <c r="CD239" s="539"/>
      <c r="CE239" s="239"/>
      <c r="CF239" s="276"/>
      <c r="CG239" s="256"/>
      <c r="CH239" s="259"/>
      <c r="CI239" s="347"/>
      <c r="CJ239" s="540"/>
      <c r="CK239" s="256"/>
      <c r="CL239" s="244">
        <v>1</v>
      </c>
      <c r="CM239" s="274">
        <f t="shared" si="3"/>
        <v>2015</v>
      </c>
      <c r="CN239" s="244">
        <f>IF('Grille de saisie'!CM239&lt;18,0,IF('Grille de saisie'!CM239&lt;40,1,IF('Grille de saisie'!CM239&lt;65,2,IF('Grille de saisie'!CM239&lt;100,3,4))))</f>
        <v>4</v>
      </c>
      <c r="CO239" s="236">
        <f>IF(AND('Grille de saisie'!C239=1,'Grille de saisie'!BZ239=0),1,IF(AND('Grille de saisie'!C239="",'Grille de saisie'!BZ239=""),3,IF(AND('Grille de saisie'!C239=5),3,2)))</f>
        <v>3</v>
      </c>
      <c r="CP239" s="236">
        <f>IF(AND('Grille de saisie'!C239=1,'Grille de saisie'!BZ239=0),1,IF(AND('Grille de saisie'!C239=1,'Grille de saisie'!BZ239=1),2,IF(AND('Grille de saisie'!C239=2,'Grille de saisie'!BZ239=0),2,IF(AND('Grille de saisie'!C239=3,'Grille de saisie'!BZ239=0),3,IF(AND('Grille de saisie'!C239=2,'Grille de saisie'!BZ239=1),3,IF(AND('Grille de saisie'!C239=1,'Grille de saisie'!BZ239=2),3,IF(AND('Grille de saisie'!C239="",'Grille de saisie'!BZ239=""),5,IF(AND('Grille de saisie'!C239=5),5,4))))))))</f>
        <v>5</v>
      </c>
      <c r="CQ239" s="237">
        <f>IF('Grille de saisie'!BZ239="",3,IF('Grille de saisie'!C239=5,3,IF('Grille de saisie'!BZ239=0,1,2)))</f>
        <v>3</v>
      </c>
    </row>
    <row r="240" spans="1:95" ht="15">
      <c r="A240" s="511">
        <v>238</v>
      </c>
      <c r="B240" s="240"/>
      <c r="C240" s="513"/>
      <c r="D240" s="240"/>
      <c r="E240" s="517"/>
      <c r="F240" s="265"/>
      <c r="G240" s="513"/>
      <c r="H240" s="265"/>
      <c r="I240" s="520"/>
      <c r="J240" s="241"/>
      <c r="K240" s="520"/>
      <c r="L240" s="241"/>
      <c r="M240" s="521"/>
      <c r="N240" s="241"/>
      <c r="O240" s="521"/>
      <c r="P240" s="241"/>
      <c r="Q240" s="520"/>
      <c r="R240" s="241"/>
      <c r="S240" s="520"/>
      <c r="T240" s="241"/>
      <c r="U240" s="520"/>
      <c r="V240" s="241"/>
      <c r="W240" s="242"/>
      <c r="X240" s="241"/>
      <c r="Y240" s="242"/>
      <c r="Z240" s="241"/>
      <c r="AA240" s="241"/>
      <c r="AB240" s="275"/>
      <c r="AC240" s="524"/>
      <c r="AD240" s="241"/>
      <c r="AE240" s="241"/>
      <c r="AF240" s="241"/>
      <c r="AG240" s="241"/>
      <c r="AH240" s="241"/>
      <c r="AI240" s="241"/>
      <c r="AJ240" s="529"/>
      <c r="AK240" s="258"/>
      <c r="AL240" s="241"/>
      <c r="AM240" s="242"/>
      <c r="AN240" s="241"/>
      <c r="AO240" s="242"/>
      <c r="AP240" s="241"/>
      <c r="AQ240" s="242"/>
      <c r="AR240" s="241"/>
      <c r="AS240" s="242"/>
      <c r="AT240" s="241"/>
      <c r="AU240" s="241"/>
      <c r="AV240" s="256"/>
      <c r="AW240" s="241"/>
      <c r="AX240" s="256"/>
      <c r="AY240" s="241"/>
      <c r="AZ240" s="256"/>
      <c r="BA240" s="239"/>
      <c r="BB240" s="242"/>
      <c r="BC240" s="239"/>
      <c r="BD240" s="242"/>
      <c r="BE240" s="239"/>
      <c r="BF240" s="241"/>
      <c r="BG240" s="239"/>
      <c r="BH240" s="241"/>
      <c r="BI240" s="260"/>
      <c r="BJ240" s="241"/>
      <c r="BK240" s="260"/>
      <c r="BL240" s="239"/>
      <c r="BM240" s="256"/>
      <c r="BN240" s="241"/>
      <c r="BO240" s="243"/>
      <c r="BP240" s="241"/>
      <c r="BQ240" s="239"/>
      <c r="BR240" s="276"/>
      <c r="BS240" s="256"/>
      <c r="BT240" s="260"/>
      <c r="BU240" s="261"/>
      <c r="BV240" s="260"/>
      <c r="BW240" s="239"/>
      <c r="BX240" s="260"/>
      <c r="BY240" s="260"/>
      <c r="BZ240" s="239"/>
      <c r="CA240" s="260"/>
      <c r="CB240" s="239"/>
      <c r="CC240" s="260"/>
      <c r="CD240" s="539"/>
      <c r="CE240" s="239"/>
      <c r="CF240" s="276"/>
      <c r="CG240" s="256"/>
      <c r="CH240" s="259"/>
      <c r="CI240" s="347"/>
      <c r="CJ240" s="540"/>
      <c r="CK240" s="256"/>
      <c r="CL240" s="244">
        <v>1</v>
      </c>
      <c r="CM240" s="274">
        <f t="shared" si="3"/>
        <v>2015</v>
      </c>
      <c r="CN240" s="244">
        <f>IF('Grille de saisie'!CM240&lt;18,0,IF('Grille de saisie'!CM240&lt;40,1,IF('Grille de saisie'!CM240&lt;65,2,IF('Grille de saisie'!CM240&lt;100,3,4))))</f>
        <v>4</v>
      </c>
      <c r="CO240" s="236">
        <f>IF(AND('Grille de saisie'!C240=1,'Grille de saisie'!BZ240=0),1,IF(AND('Grille de saisie'!C240="",'Grille de saisie'!BZ240=""),3,IF(AND('Grille de saisie'!C240=5),3,2)))</f>
        <v>3</v>
      </c>
      <c r="CP240" s="236">
        <f>IF(AND('Grille de saisie'!C240=1,'Grille de saisie'!BZ240=0),1,IF(AND('Grille de saisie'!C240=1,'Grille de saisie'!BZ240=1),2,IF(AND('Grille de saisie'!C240=2,'Grille de saisie'!BZ240=0),2,IF(AND('Grille de saisie'!C240=3,'Grille de saisie'!BZ240=0),3,IF(AND('Grille de saisie'!C240=2,'Grille de saisie'!BZ240=1),3,IF(AND('Grille de saisie'!C240=1,'Grille de saisie'!BZ240=2),3,IF(AND('Grille de saisie'!C240="",'Grille de saisie'!BZ240=""),5,IF(AND('Grille de saisie'!C240=5),5,4))))))))</f>
        <v>5</v>
      </c>
      <c r="CQ240" s="237">
        <f>IF('Grille de saisie'!BZ240="",3,IF('Grille de saisie'!C240=5,3,IF('Grille de saisie'!BZ240=0,1,2)))</f>
        <v>3</v>
      </c>
    </row>
    <row r="241" spans="1:95" ht="15">
      <c r="A241" s="510">
        <v>239</v>
      </c>
      <c r="B241" s="240"/>
      <c r="C241" s="513"/>
      <c r="D241" s="240"/>
      <c r="E241" s="517"/>
      <c r="F241" s="265"/>
      <c r="G241" s="513"/>
      <c r="H241" s="265"/>
      <c r="I241" s="520"/>
      <c r="J241" s="241"/>
      <c r="K241" s="520"/>
      <c r="L241" s="241"/>
      <c r="M241" s="521"/>
      <c r="N241" s="241"/>
      <c r="O241" s="521"/>
      <c r="P241" s="241"/>
      <c r="Q241" s="520"/>
      <c r="R241" s="241"/>
      <c r="S241" s="520"/>
      <c r="T241" s="241"/>
      <c r="U241" s="520"/>
      <c r="V241" s="241"/>
      <c r="W241" s="242"/>
      <c r="X241" s="241"/>
      <c r="Y241" s="242"/>
      <c r="Z241" s="241"/>
      <c r="AA241" s="241"/>
      <c r="AB241" s="275"/>
      <c r="AC241" s="524"/>
      <c r="AD241" s="241"/>
      <c r="AE241" s="241"/>
      <c r="AF241" s="241"/>
      <c r="AG241" s="241"/>
      <c r="AH241" s="241"/>
      <c r="AI241" s="241"/>
      <c r="AJ241" s="529"/>
      <c r="AK241" s="258"/>
      <c r="AL241" s="241"/>
      <c r="AM241" s="242"/>
      <c r="AN241" s="241"/>
      <c r="AO241" s="242"/>
      <c r="AP241" s="241"/>
      <c r="AQ241" s="242"/>
      <c r="AR241" s="241"/>
      <c r="AS241" s="242"/>
      <c r="AT241" s="241"/>
      <c r="AU241" s="241"/>
      <c r="AV241" s="256"/>
      <c r="AW241" s="241"/>
      <c r="AX241" s="256"/>
      <c r="AY241" s="241"/>
      <c r="AZ241" s="256"/>
      <c r="BA241" s="239"/>
      <c r="BB241" s="242"/>
      <c r="BC241" s="239"/>
      <c r="BD241" s="242"/>
      <c r="BE241" s="239"/>
      <c r="BF241" s="241"/>
      <c r="BG241" s="239"/>
      <c r="BH241" s="241"/>
      <c r="BI241" s="260"/>
      <c r="BJ241" s="241"/>
      <c r="BK241" s="260"/>
      <c r="BL241" s="239"/>
      <c r="BM241" s="256"/>
      <c r="BN241" s="241"/>
      <c r="BO241" s="243"/>
      <c r="BP241" s="241"/>
      <c r="BQ241" s="239"/>
      <c r="BR241" s="276"/>
      <c r="BS241" s="256"/>
      <c r="BT241" s="260"/>
      <c r="BU241" s="261"/>
      <c r="BV241" s="260"/>
      <c r="BW241" s="239"/>
      <c r="BX241" s="260"/>
      <c r="BY241" s="260"/>
      <c r="BZ241" s="239"/>
      <c r="CA241" s="260"/>
      <c r="CB241" s="239"/>
      <c r="CC241" s="260"/>
      <c r="CD241" s="539"/>
      <c r="CE241" s="239"/>
      <c r="CF241" s="276"/>
      <c r="CG241" s="256"/>
      <c r="CH241" s="259"/>
      <c r="CI241" s="347"/>
      <c r="CJ241" s="540"/>
      <c r="CK241" s="256"/>
      <c r="CL241" s="244">
        <v>1</v>
      </c>
      <c r="CM241" s="274">
        <f t="shared" si="3"/>
        <v>2015</v>
      </c>
      <c r="CN241" s="244">
        <f>IF('Grille de saisie'!CM241&lt;18,0,IF('Grille de saisie'!CM241&lt;40,1,IF('Grille de saisie'!CM241&lt;65,2,IF('Grille de saisie'!CM241&lt;100,3,4))))</f>
        <v>4</v>
      </c>
      <c r="CO241" s="236">
        <f>IF(AND('Grille de saisie'!C241=1,'Grille de saisie'!BZ241=0),1,IF(AND('Grille de saisie'!C241="",'Grille de saisie'!BZ241=""),3,IF(AND('Grille de saisie'!C241=5),3,2)))</f>
        <v>3</v>
      </c>
      <c r="CP241" s="236">
        <f>IF(AND('Grille de saisie'!C241=1,'Grille de saisie'!BZ241=0),1,IF(AND('Grille de saisie'!C241=1,'Grille de saisie'!BZ241=1),2,IF(AND('Grille de saisie'!C241=2,'Grille de saisie'!BZ241=0),2,IF(AND('Grille de saisie'!C241=3,'Grille de saisie'!BZ241=0),3,IF(AND('Grille de saisie'!C241=2,'Grille de saisie'!BZ241=1),3,IF(AND('Grille de saisie'!C241=1,'Grille de saisie'!BZ241=2),3,IF(AND('Grille de saisie'!C241="",'Grille de saisie'!BZ241=""),5,IF(AND('Grille de saisie'!C241=5),5,4))))))))</f>
        <v>5</v>
      </c>
      <c r="CQ241" s="237">
        <f>IF('Grille de saisie'!BZ241="",3,IF('Grille de saisie'!C241=5,3,IF('Grille de saisie'!BZ241=0,1,2)))</f>
        <v>3</v>
      </c>
    </row>
    <row r="242" spans="1:95" ht="15">
      <c r="A242" s="510">
        <v>240</v>
      </c>
      <c r="B242" s="240"/>
      <c r="C242" s="513"/>
      <c r="D242" s="240"/>
      <c r="E242" s="517"/>
      <c r="F242" s="265"/>
      <c r="G242" s="513"/>
      <c r="H242" s="265"/>
      <c r="I242" s="520"/>
      <c r="J242" s="241"/>
      <c r="K242" s="520"/>
      <c r="L242" s="241"/>
      <c r="M242" s="521"/>
      <c r="N242" s="241"/>
      <c r="O242" s="521"/>
      <c r="P242" s="241"/>
      <c r="Q242" s="520"/>
      <c r="R242" s="241"/>
      <c r="S242" s="520"/>
      <c r="T242" s="241"/>
      <c r="U242" s="520"/>
      <c r="V242" s="241"/>
      <c r="W242" s="242"/>
      <c r="X242" s="241"/>
      <c r="Y242" s="242"/>
      <c r="Z242" s="241"/>
      <c r="AA242" s="241"/>
      <c r="AB242" s="275"/>
      <c r="AC242" s="524"/>
      <c r="AD242" s="241"/>
      <c r="AE242" s="241"/>
      <c r="AF242" s="241"/>
      <c r="AG242" s="241"/>
      <c r="AH242" s="241"/>
      <c r="AI242" s="241"/>
      <c r="AJ242" s="529"/>
      <c r="AK242" s="258"/>
      <c r="AL242" s="241"/>
      <c r="AM242" s="242"/>
      <c r="AN242" s="241"/>
      <c r="AO242" s="242"/>
      <c r="AP242" s="241"/>
      <c r="AQ242" s="242"/>
      <c r="AR242" s="241"/>
      <c r="AS242" s="242"/>
      <c r="AT242" s="241"/>
      <c r="AU242" s="241"/>
      <c r="AV242" s="256"/>
      <c r="AW242" s="241"/>
      <c r="AX242" s="256"/>
      <c r="AY242" s="241"/>
      <c r="AZ242" s="256"/>
      <c r="BA242" s="239"/>
      <c r="BB242" s="242"/>
      <c r="BC242" s="239"/>
      <c r="BD242" s="242"/>
      <c r="BE242" s="239"/>
      <c r="BF242" s="241"/>
      <c r="BG242" s="239"/>
      <c r="BH242" s="241"/>
      <c r="BI242" s="260"/>
      <c r="BJ242" s="241"/>
      <c r="BK242" s="260"/>
      <c r="BL242" s="239"/>
      <c r="BM242" s="256"/>
      <c r="BN242" s="241"/>
      <c r="BO242" s="243"/>
      <c r="BP242" s="241"/>
      <c r="BQ242" s="239"/>
      <c r="BR242" s="276"/>
      <c r="BS242" s="256"/>
      <c r="BT242" s="260"/>
      <c r="BU242" s="261"/>
      <c r="BV242" s="260"/>
      <c r="BW242" s="239"/>
      <c r="BX242" s="260"/>
      <c r="BY242" s="260"/>
      <c r="BZ242" s="239"/>
      <c r="CA242" s="260"/>
      <c r="CB242" s="239"/>
      <c r="CC242" s="260"/>
      <c r="CD242" s="539"/>
      <c r="CE242" s="239"/>
      <c r="CF242" s="276"/>
      <c r="CG242" s="256"/>
      <c r="CH242" s="259"/>
      <c r="CI242" s="347"/>
      <c r="CJ242" s="540"/>
      <c r="CK242" s="256"/>
      <c r="CL242" s="244">
        <v>1</v>
      </c>
      <c r="CM242" s="274">
        <f t="shared" si="3"/>
        <v>2015</v>
      </c>
      <c r="CN242" s="244">
        <f>IF('Grille de saisie'!CM242&lt;18,0,IF('Grille de saisie'!CM242&lt;40,1,IF('Grille de saisie'!CM242&lt;65,2,IF('Grille de saisie'!CM242&lt;100,3,4))))</f>
        <v>4</v>
      </c>
      <c r="CO242" s="236">
        <f>IF(AND('Grille de saisie'!C242=1,'Grille de saisie'!BZ242=0),1,IF(AND('Grille de saisie'!C242="",'Grille de saisie'!BZ242=""),3,IF(AND('Grille de saisie'!C242=5),3,2)))</f>
        <v>3</v>
      </c>
      <c r="CP242" s="236">
        <f>IF(AND('Grille de saisie'!C242=1,'Grille de saisie'!BZ242=0),1,IF(AND('Grille de saisie'!C242=1,'Grille de saisie'!BZ242=1),2,IF(AND('Grille de saisie'!C242=2,'Grille de saisie'!BZ242=0),2,IF(AND('Grille de saisie'!C242=3,'Grille de saisie'!BZ242=0),3,IF(AND('Grille de saisie'!C242=2,'Grille de saisie'!BZ242=1),3,IF(AND('Grille de saisie'!C242=1,'Grille de saisie'!BZ242=2),3,IF(AND('Grille de saisie'!C242="",'Grille de saisie'!BZ242=""),5,IF(AND('Grille de saisie'!C242=5),5,4))))))))</f>
        <v>5</v>
      </c>
      <c r="CQ242" s="237">
        <f>IF('Grille de saisie'!BZ242="",3,IF('Grille de saisie'!C242=5,3,IF('Grille de saisie'!BZ242=0,1,2)))</f>
        <v>3</v>
      </c>
    </row>
    <row r="243" spans="1:95" ht="15">
      <c r="A243" s="511">
        <v>241</v>
      </c>
      <c r="B243" s="240"/>
      <c r="C243" s="513"/>
      <c r="D243" s="240"/>
      <c r="E243" s="517"/>
      <c r="F243" s="265"/>
      <c r="G243" s="513"/>
      <c r="H243" s="265"/>
      <c r="I243" s="520"/>
      <c r="J243" s="241"/>
      <c r="K243" s="520"/>
      <c r="L243" s="241"/>
      <c r="M243" s="521"/>
      <c r="N243" s="241"/>
      <c r="O243" s="521"/>
      <c r="P243" s="241"/>
      <c r="Q243" s="520"/>
      <c r="R243" s="241"/>
      <c r="S243" s="520"/>
      <c r="T243" s="241"/>
      <c r="U243" s="520"/>
      <c r="V243" s="241"/>
      <c r="W243" s="242"/>
      <c r="X243" s="241"/>
      <c r="Y243" s="242"/>
      <c r="Z243" s="241"/>
      <c r="AA243" s="241"/>
      <c r="AB243" s="275"/>
      <c r="AC243" s="524"/>
      <c r="AD243" s="241"/>
      <c r="AE243" s="241"/>
      <c r="AF243" s="241"/>
      <c r="AG243" s="241"/>
      <c r="AH243" s="241"/>
      <c r="AI243" s="241"/>
      <c r="AJ243" s="529"/>
      <c r="AK243" s="258"/>
      <c r="AL243" s="241"/>
      <c r="AM243" s="242"/>
      <c r="AN243" s="241"/>
      <c r="AO243" s="242"/>
      <c r="AP243" s="241"/>
      <c r="AQ243" s="242"/>
      <c r="AR243" s="241"/>
      <c r="AS243" s="242"/>
      <c r="AT243" s="241"/>
      <c r="AU243" s="241"/>
      <c r="AV243" s="256"/>
      <c r="AW243" s="241"/>
      <c r="AX243" s="256"/>
      <c r="AY243" s="241"/>
      <c r="AZ243" s="256"/>
      <c r="BA243" s="239"/>
      <c r="BB243" s="242"/>
      <c r="BC243" s="239"/>
      <c r="BD243" s="242"/>
      <c r="BE243" s="239"/>
      <c r="BF243" s="241"/>
      <c r="BG243" s="239"/>
      <c r="BH243" s="241"/>
      <c r="BI243" s="260"/>
      <c r="BJ243" s="241"/>
      <c r="BK243" s="260"/>
      <c r="BL243" s="239"/>
      <c r="BM243" s="256"/>
      <c r="BN243" s="241"/>
      <c r="BO243" s="243"/>
      <c r="BP243" s="241"/>
      <c r="BQ243" s="239"/>
      <c r="BR243" s="276"/>
      <c r="BS243" s="256"/>
      <c r="BT243" s="260"/>
      <c r="BU243" s="261"/>
      <c r="BV243" s="260"/>
      <c r="BW243" s="239"/>
      <c r="BX243" s="260"/>
      <c r="BY243" s="260"/>
      <c r="BZ243" s="239"/>
      <c r="CA243" s="260"/>
      <c r="CB243" s="239"/>
      <c r="CC243" s="260"/>
      <c r="CD243" s="539"/>
      <c r="CE243" s="239"/>
      <c r="CF243" s="276"/>
      <c r="CG243" s="256"/>
      <c r="CH243" s="259"/>
      <c r="CI243" s="347"/>
      <c r="CJ243" s="540"/>
      <c r="CK243" s="256"/>
      <c r="CL243" s="244">
        <v>1</v>
      </c>
      <c r="CM243" s="274">
        <f t="shared" si="3"/>
        <v>2015</v>
      </c>
      <c r="CN243" s="244">
        <f>IF('Grille de saisie'!CM243&lt;18,0,IF('Grille de saisie'!CM243&lt;40,1,IF('Grille de saisie'!CM243&lt;65,2,IF('Grille de saisie'!CM243&lt;100,3,4))))</f>
        <v>4</v>
      </c>
      <c r="CO243" s="236">
        <f>IF(AND('Grille de saisie'!C243=1,'Grille de saisie'!BZ243=0),1,IF(AND('Grille de saisie'!C243="",'Grille de saisie'!BZ243=""),3,IF(AND('Grille de saisie'!C243=5),3,2)))</f>
        <v>3</v>
      </c>
      <c r="CP243" s="236">
        <f>IF(AND('Grille de saisie'!C243=1,'Grille de saisie'!BZ243=0),1,IF(AND('Grille de saisie'!C243=1,'Grille de saisie'!BZ243=1),2,IF(AND('Grille de saisie'!C243=2,'Grille de saisie'!BZ243=0),2,IF(AND('Grille de saisie'!C243=3,'Grille de saisie'!BZ243=0),3,IF(AND('Grille de saisie'!C243=2,'Grille de saisie'!BZ243=1),3,IF(AND('Grille de saisie'!C243=1,'Grille de saisie'!BZ243=2),3,IF(AND('Grille de saisie'!C243="",'Grille de saisie'!BZ243=""),5,IF(AND('Grille de saisie'!C243=5),5,4))))))))</f>
        <v>5</v>
      </c>
      <c r="CQ243" s="237">
        <f>IF('Grille de saisie'!BZ243="",3,IF('Grille de saisie'!C243=5,3,IF('Grille de saisie'!BZ243=0,1,2)))</f>
        <v>3</v>
      </c>
    </row>
    <row r="244" spans="1:95" ht="15">
      <c r="A244" s="510">
        <v>242</v>
      </c>
      <c r="B244" s="240"/>
      <c r="C244" s="513"/>
      <c r="D244" s="240"/>
      <c r="E244" s="517"/>
      <c r="F244" s="265"/>
      <c r="G244" s="513"/>
      <c r="H244" s="265"/>
      <c r="I244" s="520"/>
      <c r="J244" s="241"/>
      <c r="K244" s="520"/>
      <c r="L244" s="241"/>
      <c r="M244" s="521"/>
      <c r="N244" s="241"/>
      <c r="O244" s="521"/>
      <c r="P244" s="241"/>
      <c r="Q244" s="520"/>
      <c r="R244" s="241"/>
      <c r="S244" s="520"/>
      <c r="T244" s="241"/>
      <c r="U244" s="520"/>
      <c r="V244" s="241"/>
      <c r="W244" s="242"/>
      <c r="X244" s="241"/>
      <c r="Y244" s="242"/>
      <c r="Z244" s="241"/>
      <c r="AA244" s="241"/>
      <c r="AB244" s="275"/>
      <c r="AC244" s="524"/>
      <c r="AD244" s="241"/>
      <c r="AE244" s="241"/>
      <c r="AF244" s="241"/>
      <c r="AG244" s="241"/>
      <c r="AH244" s="241"/>
      <c r="AI244" s="241"/>
      <c r="AJ244" s="529"/>
      <c r="AK244" s="258"/>
      <c r="AL244" s="241"/>
      <c r="AM244" s="242"/>
      <c r="AN244" s="241"/>
      <c r="AO244" s="242"/>
      <c r="AP244" s="241"/>
      <c r="AQ244" s="242"/>
      <c r="AR244" s="241"/>
      <c r="AS244" s="242"/>
      <c r="AT244" s="241"/>
      <c r="AU244" s="241"/>
      <c r="AV244" s="256"/>
      <c r="AW244" s="241"/>
      <c r="AX244" s="256"/>
      <c r="AY244" s="241"/>
      <c r="AZ244" s="256"/>
      <c r="BA244" s="239"/>
      <c r="BB244" s="242"/>
      <c r="BC244" s="239"/>
      <c r="BD244" s="242"/>
      <c r="BE244" s="239"/>
      <c r="BF244" s="241"/>
      <c r="BG244" s="239"/>
      <c r="BH244" s="241"/>
      <c r="BI244" s="260"/>
      <c r="BJ244" s="241"/>
      <c r="BK244" s="260"/>
      <c r="BL244" s="239"/>
      <c r="BM244" s="256"/>
      <c r="BN244" s="241"/>
      <c r="BO244" s="243"/>
      <c r="BP244" s="241"/>
      <c r="BQ244" s="239"/>
      <c r="BR244" s="276"/>
      <c r="BS244" s="256"/>
      <c r="BT244" s="260"/>
      <c r="BU244" s="261"/>
      <c r="BV244" s="260"/>
      <c r="BW244" s="239"/>
      <c r="BX244" s="260"/>
      <c r="BY244" s="260"/>
      <c r="BZ244" s="239"/>
      <c r="CA244" s="260"/>
      <c r="CB244" s="239"/>
      <c r="CC244" s="260"/>
      <c r="CD244" s="539"/>
      <c r="CE244" s="239"/>
      <c r="CF244" s="276"/>
      <c r="CG244" s="256"/>
      <c r="CH244" s="259"/>
      <c r="CI244" s="347"/>
      <c r="CJ244" s="540"/>
      <c r="CK244" s="256"/>
      <c r="CL244" s="244">
        <v>1</v>
      </c>
      <c r="CM244" s="274">
        <f t="shared" si="3"/>
        <v>2015</v>
      </c>
      <c r="CN244" s="244">
        <f>IF('Grille de saisie'!CM244&lt;18,0,IF('Grille de saisie'!CM244&lt;40,1,IF('Grille de saisie'!CM244&lt;65,2,IF('Grille de saisie'!CM244&lt;100,3,4))))</f>
        <v>4</v>
      </c>
      <c r="CO244" s="236">
        <f>IF(AND('Grille de saisie'!C244=1,'Grille de saisie'!BZ244=0),1,IF(AND('Grille de saisie'!C244="",'Grille de saisie'!BZ244=""),3,IF(AND('Grille de saisie'!C244=5),3,2)))</f>
        <v>3</v>
      </c>
      <c r="CP244" s="236">
        <f>IF(AND('Grille de saisie'!C244=1,'Grille de saisie'!BZ244=0),1,IF(AND('Grille de saisie'!C244=1,'Grille de saisie'!BZ244=1),2,IF(AND('Grille de saisie'!C244=2,'Grille de saisie'!BZ244=0),2,IF(AND('Grille de saisie'!C244=3,'Grille de saisie'!BZ244=0),3,IF(AND('Grille de saisie'!C244=2,'Grille de saisie'!BZ244=1),3,IF(AND('Grille de saisie'!C244=1,'Grille de saisie'!BZ244=2),3,IF(AND('Grille de saisie'!C244="",'Grille de saisie'!BZ244=""),5,IF(AND('Grille de saisie'!C244=5),5,4))))))))</f>
        <v>5</v>
      </c>
      <c r="CQ244" s="237">
        <f>IF('Grille de saisie'!BZ244="",3,IF('Grille de saisie'!C244=5,3,IF('Grille de saisie'!BZ244=0,1,2)))</f>
        <v>3</v>
      </c>
    </row>
    <row r="245" spans="1:95" ht="15">
      <c r="A245" s="510">
        <v>243</v>
      </c>
      <c r="B245" s="240"/>
      <c r="C245" s="513"/>
      <c r="D245" s="240"/>
      <c r="E245" s="517"/>
      <c r="F245" s="265"/>
      <c r="G245" s="513"/>
      <c r="H245" s="265"/>
      <c r="I245" s="520"/>
      <c r="J245" s="241"/>
      <c r="K245" s="520"/>
      <c r="L245" s="241"/>
      <c r="M245" s="521"/>
      <c r="N245" s="241"/>
      <c r="O245" s="521"/>
      <c r="P245" s="241"/>
      <c r="Q245" s="520"/>
      <c r="R245" s="241"/>
      <c r="S245" s="520"/>
      <c r="T245" s="241"/>
      <c r="U245" s="520"/>
      <c r="V245" s="241"/>
      <c r="W245" s="242"/>
      <c r="X245" s="241"/>
      <c r="Y245" s="242"/>
      <c r="Z245" s="241"/>
      <c r="AA245" s="241"/>
      <c r="AB245" s="275"/>
      <c r="AC245" s="524"/>
      <c r="AD245" s="241"/>
      <c r="AE245" s="241"/>
      <c r="AF245" s="241"/>
      <c r="AG245" s="241"/>
      <c r="AH245" s="241"/>
      <c r="AI245" s="241"/>
      <c r="AJ245" s="529"/>
      <c r="AK245" s="258"/>
      <c r="AL245" s="241"/>
      <c r="AM245" s="242"/>
      <c r="AN245" s="241"/>
      <c r="AO245" s="242"/>
      <c r="AP245" s="241"/>
      <c r="AQ245" s="242"/>
      <c r="AR245" s="241"/>
      <c r="AS245" s="242"/>
      <c r="AT245" s="241"/>
      <c r="AU245" s="241"/>
      <c r="AV245" s="256"/>
      <c r="AW245" s="241"/>
      <c r="AX245" s="256"/>
      <c r="AY245" s="241"/>
      <c r="AZ245" s="256"/>
      <c r="BA245" s="239"/>
      <c r="BB245" s="242"/>
      <c r="BC245" s="239"/>
      <c r="BD245" s="242"/>
      <c r="BE245" s="239"/>
      <c r="BF245" s="241"/>
      <c r="BG245" s="239"/>
      <c r="BH245" s="241"/>
      <c r="BI245" s="260"/>
      <c r="BJ245" s="241"/>
      <c r="BK245" s="260"/>
      <c r="BL245" s="239"/>
      <c r="BM245" s="256"/>
      <c r="BN245" s="241"/>
      <c r="BO245" s="243"/>
      <c r="BP245" s="241"/>
      <c r="BQ245" s="239"/>
      <c r="BR245" s="276"/>
      <c r="BS245" s="256"/>
      <c r="BT245" s="260"/>
      <c r="BU245" s="261"/>
      <c r="BV245" s="260"/>
      <c r="BW245" s="239"/>
      <c r="BX245" s="260"/>
      <c r="BY245" s="260"/>
      <c r="BZ245" s="239"/>
      <c r="CA245" s="260"/>
      <c r="CB245" s="239"/>
      <c r="CC245" s="260"/>
      <c r="CD245" s="539"/>
      <c r="CE245" s="239"/>
      <c r="CF245" s="276"/>
      <c r="CG245" s="256"/>
      <c r="CH245" s="259"/>
      <c r="CI245" s="347"/>
      <c r="CJ245" s="540"/>
      <c r="CK245" s="256"/>
      <c r="CL245" s="244">
        <v>1</v>
      </c>
      <c r="CM245" s="274">
        <f t="shared" si="3"/>
        <v>2015</v>
      </c>
      <c r="CN245" s="244">
        <f>IF('Grille de saisie'!CM245&lt;18,0,IF('Grille de saisie'!CM245&lt;40,1,IF('Grille de saisie'!CM245&lt;65,2,IF('Grille de saisie'!CM245&lt;100,3,4))))</f>
        <v>4</v>
      </c>
      <c r="CO245" s="236">
        <f>IF(AND('Grille de saisie'!C245=1,'Grille de saisie'!BZ245=0),1,IF(AND('Grille de saisie'!C245="",'Grille de saisie'!BZ245=""),3,IF(AND('Grille de saisie'!C245=5),3,2)))</f>
        <v>3</v>
      </c>
      <c r="CP245" s="236">
        <f>IF(AND('Grille de saisie'!C245=1,'Grille de saisie'!BZ245=0),1,IF(AND('Grille de saisie'!C245=1,'Grille de saisie'!BZ245=1),2,IF(AND('Grille de saisie'!C245=2,'Grille de saisie'!BZ245=0),2,IF(AND('Grille de saisie'!C245=3,'Grille de saisie'!BZ245=0),3,IF(AND('Grille de saisie'!C245=2,'Grille de saisie'!BZ245=1),3,IF(AND('Grille de saisie'!C245=1,'Grille de saisie'!BZ245=2),3,IF(AND('Grille de saisie'!C245="",'Grille de saisie'!BZ245=""),5,IF(AND('Grille de saisie'!C245=5),5,4))))))))</f>
        <v>5</v>
      </c>
      <c r="CQ245" s="237">
        <f>IF('Grille de saisie'!BZ245="",3,IF('Grille de saisie'!C245=5,3,IF('Grille de saisie'!BZ245=0,1,2)))</f>
        <v>3</v>
      </c>
    </row>
    <row r="246" spans="1:95" ht="15">
      <c r="A246" s="511">
        <v>244</v>
      </c>
      <c r="B246" s="240"/>
      <c r="C246" s="513"/>
      <c r="D246" s="240"/>
      <c r="E246" s="517"/>
      <c r="F246" s="265"/>
      <c r="G246" s="513"/>
      <c r="H246" s="265"/>
      <c r="I246" s="520"/>
      <c r="J246" s="241"/>
      <c r="K246" s="520"/>
      <c r="L246" s="241"/>
      <c r="M246" s="521"/>
      <c r="N246" s="241"/>
      <c r="O246" s="521"/>
      <c r="P246" s="241"/>
      <c r="Q246" s="520"/>
      <c r="R246" s="241"/>
      <c r="S246" s="520"/>
      <c r="T246" s="241"/>
      <c r="U246" s="520"/>
      <c r="V246" s="241"/>
      <c r="W246" s="242"/>
      <c r="X246" s="241"/>
      <c r="Y246" s="242"/>
      <c r="Z246" s="241"/>
      <c r="AA246" s="241"/>
      <c r="AB246" s="275"/>
      <c r="AC246" s="524"/>
      <c r="AD246" s="241"/>
      <c r="AE246" s="241"/>
      <c r="AF246" s="241"/>
      <c r="AG246" s="241"/>
      <c r="AH246" s="241"/>
      <c r="AI246" s="241"/>
      <c r="AJ246" s="529"/>
      <c r="AK246" s="258"/>
      <c r="AL246" s="241"/>
      <c r="AM246" s="242"/>
      <c r="AN246" s="241"/>
      <c r="AO246" s="242"/>
      <c r="AP246" s="241"/>
      <c r="AQ246" s="242"/>
      <c r="AR246" s="241"/>
      <c r="AS246" s="242"/>
      <c r="AT246" s="241"/>
      <c r="AU246" s="241"/>
      <c r="AV246" s="256"/>
      <c r="AW246" s="241"/>
      <c r="AX246" s="256"/>
      <c r="AY246" s="241"/>
      <c r="AZ246" s="256"/>
      <c r="BA246" s="239"/>
      <c r="BB246" s="242"/>
      <c r="BC246" s="239"/>
      <c r="BD246" s="242"/>
      <c r="BE246" s="239"/>
      <c r="BF246" s="241"/>
      <c r="BG246" s="239"/>
      <c r="BH246" s="241"/>
      <c r="BI246" s="260"/>
      <c r="BJ246" s="241"/>
      <c r="BK246" s="260"/>
      <c r="BL246" s="239"/>
      <c r="BM246" s="256"/>
      <c r="BN246" s="241"/>
      <c r="BO246" s="243"/>
      <c r="BP246" s="241"/>
      <c r="BQ246" s="239"/>
      <c r="BR246" s="276"/>
      <c r="BS246" s="256"/>
      <c r="BT246" s="260"/>
      <c r="BU246" s="261"/>
      <c r="BV246" s="260"/>
      <c r="BW246" s="239"/>
      <c r="BX246" s="260"/>
      <c r="BY246" s="260"/>
      <c r="BZ246" s="239"/>
      <c r="CA246" s="260"/>
      <c r="CB246" s="239"/>
      <c r="CC246" s="260"/>
      <c r="CD246" s="539"/>
      <c r="CE246" s="239"/>
      <c r="CF246" s="276"/>
      <c r="CG246" s="256"/>
      <c r="CH246" s="259"/>
      <c r="CI246" s="347"/>
      <c r="CJ246" s="540"/>
      <c r="CK246" s="256"/>
      <c r="CL246" s="244">
        <v>1</v>
      </c>
      <c r="CM246" s="274">
        <f t="shared" si="3"/>
        <v>2015</v>
      </c>
      <c r="CN246" s="244">
        <f>IF('Grille de saisie'!CM246&lt;18,0,IF('Grille de saisie'!CM246&lt;40,1,IF('Grille de saisie'!CM246&lt;65,2,IF('Grille de saisie'!CM246&lt;100,3,4))))</f>
        <v>4</v>
      </c>
      <c r="CO246" s="236">
        <f>IF(AND('Grille de saisie'!C246=1,'Grille de saisie'!BZ246=0),1,IF(AND('Grille de saisie'!C246="",'Grille de saisie'!BZ246=""),3,IF(AND('Grille de saisie'!C246=5),3,2)))</f>
        <v>3</v>
      </c>
      <c r="CP246" s="236">
        <f>IF(AND('Grille de saisie'!C246=1,'Grille de saisie'!BZ246=0),1,IF(AND('Grille de saisie'!C246=1,'Grille de saisie'!BZ246=1),2,IF(AND('Grille de saisie'!C246=2,'Grille de saisie'!BZ246=0),2,IF(AND('Grille de saisie'!C246=3,'Grille de saisie'!BZ246=0),3,IF(AND('Grille de saisie'!C246=2,'Grille de saisie'!BZ246=1),3,IF(AND('Grille de saisie'!C246=1,'Grille de saisie'!BZ246=2),3,IF(AND('Grille de saisie'!C246="",'Grille de saisie'!BZ246=""),5,IF(AND('Grille de saisie'!C246=5),5,4))))))))</f>
        <v>5</v>
      </c>
      <c r="CQ246" s="237">
        <f>IF('Grille de saisie'!BZ246="",3,IF('Grille de saisie'!C246=5,3,IF('Grille de saisie'!BZ246=0,1,2)))</f>
        <v>3</v>
      </c>
    </row>
    <row r="247" spans="1:95" ht="15">
      <c r="A247" s="510">
        <v>245</v>
      </c>
      <c r="B247" s="240"/>
      <c r="C247" s="513"/>
      <c r="D247" s="240"/>
      <c r="E247" s="517"/>
      <c r="F247" s="265"/>
      <c r="G247" s="513"/>
      <c r="H247" s="265"/>
      <c r="I247" s="520"/>
      <c r="J247" s="241"/>
      <c r="K247" s="520"/>
      <c r="L247" s="241"/>
      <c r="M247" s="521"/>
      <c r="N247" s="241"/>
      <c r="O247" s="521"/>
      <c r="P247" s="241"/>
      <c r="Q247" s="520"/>
      <c r="R247" s="241"/>
      <c r="S247" s="520"/>
      <c r="T247" s="241"/>
      <c r="U247" s="520"/>
      <c r="V247" s="241"/>
      <c r="W247" s="242"/>
      <c r="X247" s="241"/>
      <c r="Y247" s="242"/>
      <c r="Z247" s="241"/>
      <c r="AA247" s="241"/>
      <c r="AB247" s="275"/>
      <c r="AC247" s="524"/>
      <c r="AD247" s="241"/>
      <c r="AE247" s="241"/>
      <c r="AF247" s="241"/>
      <c r="AG247" s="241"/>
      <c r="AH247" s="241"/>
      <c r="AI247" s="241"/>
      <c r="AJ247" s="529"/>
      <c r="AK247" s="258"/>
      <c r="AL247" s="241"/>
      <c r="AM247" s="242"/>
      <c r="AN247" s="241"/>
      <c r="AO247" s="242"/>
      <c r="AP247" s="241"/>
      <c r="AQ247" s="242"/>
      <c r="AR247" s="241"/>
      <c r="AS247" s="242"/>
      <c r="AT247" s="241"/>
      <c r="AU247" s="241"/>
      <c r="AV247" s="256"/>
      <c r="AW247" s="241"/>
      <c r="AX247" s="256"/>
      <c r="AY247" s="241"/>
      <c r="AZ247" s="256"/>
      <c r="BA247" s="239"/>
      <c r="BB247" s="242"/>
      <c r="BC247" s="239"/>
      <c r="BD247" s="242"/>
      <c r="BE247" s="239"/>
      <c r="BF247" s="241"/>
      <c r="BG247" s="239"/>
      <c r="BH247" s="241"/>
      <c r="BI247" s="260"/>
      <c r="BJ247" s="241"/>
      <c r="BK247" s="260"/>
      <c r="BL247" s="239"/>
      <c r="BM247" s="256"/>
      <c r="BN247" s="241"/>
      <c r="BO247" s="243"/>
      <c r="BP247" s="241"/>
      <c r="BQ247" s="239"/>
      <c r="BR247" s="276"/>
      <c r="BS247" s="256"/>
      <c r="BT247" s="260"/>
      <c r="BU247" s="261"/>
      <c r="BV247" s="260"/>
      <c r="BW247" s="239"/>
      <c r="BX247" s="260"/>
      <c r="BY247" s="260"/>
      <c r="BZ247" s="239"/>
      <c r="CA247" s="260"/>
      <c r="CB247" s="239"/>
      <c r="CC247" s="260"/>
      <c r="CD247" s="539"/>
      <c r="CE247" s="239"/>
      <c r="CF247" s="276"/>
      <c r="CG247" s="256"/>
      <c r="CH247" s="259"/>
      <c r="CI247" s="347"/>
      <c r="CJ247" s="540"/>
      <c r="CK247" s="256"/>
      <c r="CL247" s="244">
        <v>1</v>
      </c>
      <c r="CM247" s="274">
        <f t="shared" si="3"/>
        <v>2015</v>
      </c>
      <c r="CN247" s="244">
        <f>IF('Grille de saisie'!CM247&lt;18,0,IF('Grille de saisie'!CM247&lt;40,1,IF('Grille de saisie'!CM247&lt;65,2,IF('Grille de saisie'!CM247&lt;100,3,4))))</f>
        <v>4</v>
      </c>
      <c r="CO247" s="236">
        <f>IF(AND('Grille de saisie'!C247=1,'Grille de saisie'!BZ247=0),1,IF(AND('Grille de saisie'!C247="",'Grille de saisie'!BZ247=""),3,IF(AND('Grille de saisie'!C247=5),3,2)))</f>
        <v>3</v>
      </c>
      <c r="CP247" s="236">
        <f>IF(AND('Grille de saisie'!C247=1,'Grille de saisie'!BZ247=0),1,IF(AND('Grille de saisie'!C247=1,'Grille de saisie'!BZ247=1),2,IF(AND('Grille de saisie'!C247=2,'Grille de saisie'!BZ247=0),2,IF(AND('Grille de saisie'!C247=3,'Grille de saisie'!BZ247=0),3,IF(AND('Grille de saisie'!C247=2,'Grille de saisie'!BZ247=1),3,IF(AND('Grille de saisie'!C247=1,'Grille de saisie'!BZ247=2),3,IF(AND('Grille de saisie'!C247="",'Grille de saisie'!BZ247=""),5,IF(AND('Grille de saisie'!C247=5),5,4))))))))</f>
        <v>5</v>
      </c>
      <c r="CQ247" s="237">
        <f>IF('Grille de saisie'!BZ247="",3,IF('Grille de saisie'!C247=5,3,IF('Grille de saisie'!BZ247=0,1,2)))</f>
        <v>3</v>
      </c>
    </row>
    <row r="248" spans="1:95" ht="15">
      <c r="A248" s="510">
        <v>246</v>
      </c>
      <c r="B248" s="240"/>
      <c r="C248" s="513"/>
      <c r="D248" s="240"/>
      <c r="E248" s="517"/>
      <c r="F248" s="265"/>
      <c r="G248" s="513"/>
      <c r="H248" s="265"/>
      <c r="I248" s="520"/>
      <c r="J248" s="241"/>
      <c r="K248" s="520"/>
      <c r="L248" s="241"/>
      <c r="M248" s="521"/>
      <c r="N248" s="241"/>
      <c r="O248" s="521"/>
      <c r="P248" s="241"/>
      <c r="Q248" s="520"/>
      <c r="R248" s="241"/>
      <c r="S248" s="520"/>
      <c r="T248" s="241"/>
      <c r="U248" s="520"/>
      <c r="V248" s="241"/>
      <c r="W248" s="242"/>
      <c r="X248" s="241"/>
      <c r="Y248" s="242"/>
      <c r="Z248" s="241"/>
      <c r="AA248" s="241"/>
      <c r="AB248" s="275"/>
      <c r="AC248" s="524"/>
      <c r="AD248" s="241"/>
      <c r="AE248" s="241"/>
      <c r="AF248" s="241"/>
      <c r="AG248" s="241"/>
      <c r="AH248" s="241"/>
      <c r="AI248" s="241"/>
      <c r="AJ248" s="529"/>
      <c r="AK248" s="258"/>
      <c r="AL248" s="241"/>
      <c r="AM248" s="242"/>
      <c r="AN248" s="241"/>
      <c r="AO248" s="242"/>
      <c r="AP248" s="241"/>
      <c r="AQ248" s="242"/>
      <c r="AR248" s="241"/>
      <c r="AS248" s="242"/>
      <c r="AT248" s="241"/>
      <c r="AU248" s="241"/>
      <c r="AV248" s="256"/>
      <c r="AW248" s="241"/>
      <c r="AX248" s="256"/>
      <c r="AY248" s="241"/>
      <c r="AZ248" s="256"/>
      <c r="BA248" s="239"/>
      <c r="BB248" s="242"/>
      <c r="BC248" s="239"/>
      <c r="BD248" s="242"/>
      <c r="BE248" s="239"/>
      <c r="BF248" s="241"/>
      <c r="BG248" s="239"/>
      <c r="BH248" s="241"/>
      <c r="BI248" s="260"/>
      <c r="BJ248" s="241"/>
      <c r="BK248" s="260"/>
      <c r="BL248" s="239"/>
      <c r="BM248" s="256"/>
      <c r="BN248" s="241"/>
      <c r="BO248" s="243"/>
      <c r="BP248" s="241"/>
      <c r="BQ248" s="239"/>
      <c r="BR248" s="276"/>
      <c r="BS248" s="256"/>
      <c r="BT248" s="260"/>
      <c r="BU248" s="261"/>
      <c r="BV248" s="260"/>
      <c r="BW248" s="239"/>
      <c r="BX248" s="260"/>
      <c r="BY248" s="260"/>
      <c r="BZ248" s="239"/>
      <c r="CA248" s="260"/>
      <c r="CB248" s="239"/>
      <c r="CC248" s="260"/>
      <c r="CD248" s="539"/>
      <c r="CE248" s="239"/>
      <c r="CF248" s="276"/>
      <c r="CG248" s="256"/>
      <c r="CH248" s="259"/>
      <c r="CI248" s="347"/>
      <c r="CJ248" s="540"/>
      <c r="CK248" s="256"/>
      <c r="CL248" s="244">
        <v>1</v>
      </c>
      <c r="CM248" s="274">
        <f t="shared" si="3"/>
        <v>2015</v>
      </c>
      <c r="CN248" s="244">
        <f>IF('Grille de saisie'!CM248&lt;18,0,IF('Grille de saisie'!CM248&lt;40,1,IF('Grille de saisie'!CM248&lt;65,2,IF('Grille de saisie'!CM248&lt;100,3,4))))</f>
        <v>4</v>
      </c>
      <c r="CO248" s="236">
        <f>IF(AND('Grille de saisie'!C248=1,'Grille de saisie'!BZ248=0),1,IF(AND('Grille de saisie'!C248="",'Grille de saisie'!BZ248=""),3,IF(AND('Grille de saisie'!C248=5),3,2)))</f>
        <v>3</v>
      </c>
      <c r="CP248" s="236">
        <f>IF(AND('Grille de saisie'!C248=1,'Grille de saisie'!BZ248=0),1,IF(AND('Grille de saisie'!C248=1,'Grille de saisie'!BZ248=1),2,IF(AND('Grille de saisie'!C248=2,'Grille de saisie'!BZ248=0),2,IF(AND('Grille de saisie'!C248=3,'Grille de saisie'!BZ248=0),3,IF(AND('Grille de saisie'!C248=2,'Grille de saisie'!BZ248=1),3,IF(AND('Grille de saisie'!C248=1,'Grille de saisie'!BZ248=2),3,IF(AND('Grille de saisie'!C248="",'Grille de saisie'!BZ248=""),5,IF(AND('Grille de saisie'!C248=5),5,4))))))))</f>
        <v>5</v>
      </c>
      <c r="CQ248" s="237">
        <f>IF('Grille de saisie'!BZ248="",3,IF('Grille de saisie'!C248=5,3,IF('Grille de saisie'!BZ248=0,1,2)))</f>
        <v>3</v>
      </c>
    </row>
    <row r="249" spans="1:95" ht="15">
      <c r="A249" s="511">
        <v>247</v>
      </c>
      <c r="B249" s="240"/>
      <c r="C249" s="513"/>
      <c r="D249" s="240"/>
      <c r="E249" s="517"/>
      <c r="F249" s="265"/>
      <c r="G249" s="513"/>
      <c r="H249" s="265"/>
      <c r="I249" s="520"/>
      <c r="J249" s="241"/>
      <c r="K249" s="520"/>
      <c r="L249" s="241"/>
      <c r="M249" s="521"/>
      <c r="N249" s="241"/>
      <c r="O249" s="521"/>
      <c r="P249" s="241"/>
      <c r="Q249" s="520"/>
      <c r="R249" s="241"/>
      <c r="S249" s="520"/>
      <c r="T249" s="241"/>
      <c r="U249" s="520"/>
      <c r="V249" s="241"/>
      <c r="W249" s="242"/>
      <c r="X249" s="241"/>
      <c r="Y249" s="242"/>
      <c r="Z249" s="241"/>
      <c r="AA249" s="241"/>
      <c r="AB249" s="275"/>
      <c r="AC249" s="524"/>
      <c r="AD249" s="241"/>
      <c r="AE249" s="241"/>
      <c r="AF249" s="241"/>
      <c r="AG249" s="241"/>
      <c r="AH249" s="241"/>
      <c r="AI249" s="241"/>
      <c r="AJ249" s="529"/>
      <c r="AK249" s="258"/>
      <c r="AL249" s="241"/>
      <c r="AM249" s="242"/>
      <c r="AN249" s="241"/>
      <c r="AO249" s="242"/>
      <c r="AP249" s="241"/>
      <c r="AQ249" s="242"/>
      <c r="AR249" s="241"/>
      <c r="AS249" s="242"/>
      <c r="AT249" s="241"/>
      <c r="AU249" s="241"/>
      <c r="AV249" s="256"/>
      <c r="AW249" s="241"/>
      <c r="AX249" s="256"/>
      <c r="AY249" s="241"/>
      <c r="AZ249" s="256"/>
      <c r="BA249" s="239"/>
      <c r="BB249" s="242"/>
      <c r="BC249" s="239"/>
      <c r="BD249" s="242"/>
      <c r="BE249" s="239"/>
      <c r="BF249" s="241"/>
      <c r="BG249" s="239"/>
      <c r="BH249" s="241"/>
      <c r="BI249" s="260"/>
      <c r="BJ249" s="241"/>
      <c r="BK249" s="260"/>
      <c r="BL249" s="239"/>
      <c r="BM249" s="256"/>
      <c r="BN249" s="241"/>
      <c r="BO249" s="243"/>
      <c r="BP249" s="241"/>
      <c r="BQ249" s="239"/>
      <c r="BR249" s="276"/>
      <c r="BS249" s="256"/>
      <c r="BT249" s="260"/>
      <c r="BU249" s="261"/>
      <c r="BV249" s="260"/>
      <c r="BW249" s="239"/>
      <c r="BX249" s="260"/>
      <c r="BY249" s="260"/>
      <c r="BZ249" s="239"/>
      <c r="CA249" s="260"/>
      <c r="CB249" s="239"/>
      <c r="CC249" s="260"/>
      <c r="CD249" s="539"/>
      <c r="CE249" s="239"/>
      <c r="CF249" s="276"/>
      <c r="CG249" s="256"/>
      <c r="CH249" s="259"/>
      <c r="CI249" s="347"/>
      <c r="CJ249" s="540"/>
      <c r="CK249" s="256"/>
      <c r="CL249" s="244">
        <v>1</v>
      </c>
      <c r="CM249" s="274">
        <f t="shared" si="3"/>
        <v>2015</v>
      </c>
      <c r="CN249" s="244">
        <f>IF('Grille de saisie'!CM249&lt;18,0,IF('Grille de saisie'!CM249&lt;40,1,IF('Grille de saisie'!CM249&lt;65,2,IF('Grille de saisie'!CM249&lt;100,3,4))))</f>
        <v>4</v>
      </c>
      <c r="CO249" s="236">
        <f>IF(AND('Grille de saisie'!C249=1,'Grille de saisie'!BZ249=0),1,IF(AND('Grille de saisie'!C249="",'Grille de saisie'!BZ249=""),3,IF(AND('Grille de saisie'!C249=5),3,2)))</f>
        <v>3</v>
      </c>
      <c r="CP249" s="236">
        <f>IF(AND('Grille de saisie'!C249=1,'Grille de saisie'!BZ249=0),1,IF(AND('Grille de saisie'!C249=1,'Grille de saisie'!BZ249=1),2,IF(AND('Grille de saisie'!C249=2,'Grille de saisie'!BZ249=0),2,IF(AND('Grille de saisie'!C249=3,'Grille de saisie'!BZ249=0),3,IF(AND('Grille de saisie'!C249=2,'Grille de saisie'!BZ249=1),3,IF(AND('Grille de saisie'!C249=1,'Grille de saisie'!BZ249=2),3,IF(AND('Grille de saisie'!C249="",'Grille de saisie'!BZ249=""),5,IF(AND('Grille de saisie'!C249=5),5,4))))))))</f>
        <v>5</v>
      </c>
      <c r="CQ249" s="237">
        <f>IF('Grille de saisie'!BZ249="",3,IF('Grille de saisie'!C249=5,3,IF('Grille de saisie'!BZ249=0,1,2)))</f>
        <v>3</v>
      </c>
    </row>
    <row r="250" spans="1:95" ht="15">
      <c r="A250" s="510">
        <v>248</v>
      </c>
      <c r="B250" s="240"/>
      <c r="C250" s="513"/>
      <c r="D250" s="240"/>
      <c r="E250" s="517"/>
      <c r="F250" s="265"/>
      <c r="G250" s="513"/>
      <c r="H250" s="265"/>
      <c r="I250" s="520"/>
      <c r="J250" s="241"/>
      <c r="K250" s="520"/>
      <c r="L250" s="241"/>
      <c r="M250" s="521"/>
      <c r="N250" s="241"/>
      <c r="O250" s="521"/>
      <c r="P250" s="241"/>
      <c r="Q250" s="520"/>
      <c r="R250" s="241"/>
      <c r="S250" s="520"/>
      <c r="T250" s="241"/>
      <c r="U250" s="520"/>
      <c r="V250" s="241"/>
      <c r="W250" s="242"/>
      <c r="X250" s="241"/>
      <c r="Y250" s="242"/>
      <c r="Z250" s="241"/>
      <c r="AA250" s="241"/>
      <c r="AB250" s="275"/>
      <c r="AC250" s="524"/>
      <c r="AD250" s="241"/>
      <c r="AE250" s="241"/>
      <c r="AF250" s="241"/>
      <c r="AG250" s="241"/>
      <c r="AH250" s="241"/>
      <c r="AI250" s="241"/>
      <c r="AJ250" s="529"/>
      <c r="AK250" s="258"/>
      <c r="AL250" s="241"/>
      <c r="AM250" s="242"/>
      <c r="AN250" s="241"/>
      <c r="AO250" s="242"/>
      <c r="AP250" s="241"/>
      <c r="AQ250" s="242"/>
      <c r="AR250" s="241"/>
      <c r="AS250" s="242"/>
      <c r="AT250" s="241"/>
      <c r="AU250" s="241"/>
      <c r="AV250" s="256"/>
      <c r="AW250" s="241"/>
      <c r="AX250" s="256"/>
      <c r="AY250" s="241"/>
      <c r="AZ250" s="256"/>
      <c r="BA250" s="239"/>
      <c r="BB250" s="242"/>
      <c r="BC250" s="239"/>
      <c r="BD250" s="242"/>
      <c r="BE250" s="239"/>
      <c r="BF250" s="241"/>
      <c r="BG250" s="239"/>
      <c r="BH250" s="241"/>
      <c r="BI250" s="260"/>
      <c r="BJ250" s="241"/>
      <c r="BK250" s="260"/>
      <c r="BL250" s="239"/>
      <c r="BM250" s="256"/>
      <c r="BN250" s="241"/>
      <c r="BO250" s="243"/>
      <c r="BP250" s="241"/>
      <c r="BQ250" s="239"/>
      <c r="BR250" s="276"/>
      <c r="BS250" s="256"/>
      <c r="BT250" s="260"/>
      <c r="BU250" s="261"/>
      <c r="BV250" s="260"/>
      <c r="BW250" s="239"/>
      <c r="BX250" s="260"/>
      <c r="BY250" s="260"/>
      <c r="BZ250" s="239"/>
      <c r="CA250" s="260"/>
      <c r="CB250" s="239"/>
      <c r="CC250" s="260"/>
      <c r="CD250" s="539"/>
      <c r="CE250" s="239"/>
      <c r="CF250" s="276"/>
      <c r="CG250" s="256"/>
      <c r="CH250" s="259"/>
      <c r="CI250" s="347"/>
      <c r="CJ250" s="540"/>
      <c r="CK250" s="256"/>
      <c r="CL250" s="244">
        <v>1</v>
      </c>
      <c r="CM250" s="274">
        <f t="shared" si="3"/>
        <v>2015</v>
      </c>
      <c r="CN250" s="244">
        <f>IF('Grille de saisie'!CM250&lt;18,0,IF('Grille de saisie'!CM250&lt;40,1,IF('Grille de saisie'!CM250&lt;65,2,IF('Grille de saisie'!CM250&lt;100,3,4))))</f>
        <v>4</v>
      </c>
      <c r="CO250" s="236">
        <f>IF(AND('Grille de saisie'!C250=1,'Grille de saisie'!BZ250=0),1,IF(AND('Grille de saisie'!C250="",'Grille de saisie'!BZ250=""),3,IF(AND('Grille de saisie'!C250=5),3,2)))</f>
        <v>3</v>
      </c>
      <c r="CP250" s="236">
        <f>IF(AND('Grille de saisie'!C250=1,'Grille de saisie'!BZ250=0),1,IF(AND('Grille de saisie'!C250=1,'Grille de saisie'!BZ250=1),2,IF(AND('Grille de saisie'!C250=2,'Grille de saisie'!BZ250=0),2,IF(AND('Grille de saisie'!C250=3,'Grille de saisie'!BZ250=0),3,IF(AND('Grille de saisie'!C250=2,'Grille de saisie'!BZ250=1),3,IF(AND('Grille de saisie'!C250=1,'Grille de saisie'!BZ250=2),3,IF(AND('Grille de saisie'!C250="",'Grille de saisie'!BZ250=""),5,IF(AND('Grille de saisie'!C250=5),5,4))))))))</f>
        <v>5</v>
      </c>
      <c r="CQ250" s="237">
        <f>IF('Grille de saisie'!BZ250="",3,IF('Grille de saisie'!C250=5,3,IF('Grille de saisie'!BZ250=0,1,2)))</f>
        <v>3</v>
      </c>
    </row>
    <row r="251" spans="1:95" ht="15">
      <c r="A251" s="510">
        <v>249</v>
      </c>
      <c r="B251" s="240"/>
      <c r="C251" s="513"/>
      <c r="D251" s="240"/>
      <c r="E251" s="517"/>
      <c r="F251" s="265"/>
      <c r="G251" s="513"/>
      <c r="H251" s="265"/>
      <c r="I251" s="520"/>
      <c r="J251" s="241"/>
      <c r="K251" s="520"/>
      <c r="L251" s="241"/>
      <c r="M251" s="521"/>
      <c r="N251" s="241"/>
      <c r="O251" s="521"/>
      <c r="P251" s="241"/>
      <c r="Q251" s="520"/>
      <c r="R251" s="241"/>
      <c r="S251" s="520"/>
      <c r="T251" s="241"/>
      <c r="U251" s="520"/>
      <c r="V251" s="241"/>
      <c r="W251" s="242"/>
      <c r="X251" s="241"/>
      <c r="Y251" s="242"/>
      <c r="Z251" s="241"/>
      <c r="AA251" s="241"/>
      <c r="AB251" s="275"/>
      <c r="AC251" s="524"/>
      <c r="AD251" s="241"/>
      <c r="AE251" s="241"/>
      <c r="AF251" s="241"/>
      <c r="AG251" s="241"/>
      <c r="AH251" s="241"/>
      <c r="AI251" s="241"/>
      <c r="AJ251" s="529"/>
      <c r="AK251" s="258"/>
      <c r="AL251" s="241"/>
      <c r="AM251" s="242"/>
      <c r="AN251" s="241"/>
      <c r="AO251" s="242"/>
      <c r="AP251" s="241"/>
      <c r="AQ251" s="242"/>
      <c r="AR251" s="241"/>
      <c r="AS251" s="242"/>
      <c r="AT251" s="241"/>
      <c r="AU251" s="241"/>
      <c r="AV251" s="256"/>
      <c r="AW251" s="241"/>
      <c r="AX251" s="256"/>
      <c r="AY251" s="241"/>
      <c r="AZ251" s="256"/>
      <c r="BA251" s="239"/>
      <c r="BB251" s="242"/>
      <c r="BC251" s="239"/>
      <c r="BD251" s="242"/>
      <c r="BE251" s="239"/>
      <c r="BF251" s="241"/>
      <c r="BG251" s="239"/>
      <c r="BH251" s="241"/>
      <c r="BI251" s="260"/>
      <c r="BJ251" s="241"/>
      <c r="BK251" s="260"/>
      <c r="BL251" s="239"/>
      <c r="BM251" s="256"/>
      <c r="BN251" s="241"/>
      <c r="BO251" s="243"/>
      <c r="BP251" s="241"/>
      <c r="BQ251" s="239"/>
      <c r="BR251" s="276"/>
      <c r="BS251" s="256"/>
      <c r="BT251" s="260"/>
      <c r="BU251" s="261"/>
      <c r="BV251" s="260"/>
      <c r="BW251" s="239"/>
      <c r="BX251" s="260"/>
      <c r="BY251" s="260"/>
      <c r="BZ251" s="239"/>
      <c r="CA251" s="260"/>
      <c r="CB251" s="239"/>
      <c r="CC251" s="260"/>
      <c r="CD251" s="539"/>
      <c r="CE251" s="239"/>
      <c r="CF251" s="276"/>
      <c r="CG251" s="256"/>
      <c r="CH251" s="259"/>
      <c r="CI251" s="347"/>
      <c r="CJ251" s="540"/>
      <c r="CK251" s="256"/>
      <c r="CL251" s="244">
        <v>1</v>
      </c>
      <c r="CM251" s="274">
        <f t="shared" si="3"/>
        <v>2015</v>
      </c>
      <c r="CN251" s="244">
        <f>IF('Grille de saisie'!CM251&lt;18,0,IF('Grille de saisie'!CM251&lt;40,1,IF('Grille de saisie'!CM251&lt;65,2,IF('Grille de saisie'!CM251&lt;100,3,4))))</f>
        <v>4</v>
      </c>
      <c r="CO251" s="236">
        <f>IF(AND('Grille de saisie'!C251=1,'Grille de saisie'!BZ251=0),1,IF(AND('Grille de saisie'!C251="",'Grille de saisie'!BZ251=""),3,IF(AND('Grille de saisie'!C251=5),3,2)))</f>
        <v>3</v>
      </c>
      <c r="CP251" s="236">
        <f>IF(AND('Grille de saisie'!C251=1,'Grille de saisie'!BZ251=0),1,IF(AND('Grille de saisie'!C251=1,'Grille de saisie'!BZ251=1),2,IF(AND('Grille de saisie'!C251=2,'Grille de saisie'!BZ251=0),2,IF(AND('Grille de saisie'!C251=3,'Grille de saisie'!BZ251=0),3,IF(AND('Grille de saisie'!C251=2,'Grille de saisie'!BZ251=1),3,IF(AND('Grille de saisie'!C251=1,'Grille de saisie'!BZ251=2),3,IF(AND('Grille de saisie'!C251="",'Grille de saisie'!BZ251=""),5,IF(AND('Grille de saisie'!C251=5),5,4))))))))</f>
        <v>5</v>
      </c>
      <c r="CQ251" s="237">
        <f>IF('Grille de saisie'!BZ251="",3,IF('Grille de saisie'!C251=5,3,IF('Grille de saisie'!BZ251=0,1,2)))</f>
        <v>3</v>
      </c>
    </row>
    <row r="252" spans="1:95" ht="15">
      <c r="A252" s="511">
        <v>250</v>
      </c>
      <c r="B252" s="240"/>
      <c r="C252" s="513"/>
      <c r="D252" s="240"/>
      <c r="E252" s="517"/>
      <c r="F252" s="265"/>
      <c r="G252" s="513"/>
      <c r="H252" s="265"/>
      <c r="I252" s="520"/>
      <c r="J252" s="241"/>
      <c r="K252" s="520"/>
      <c r="L252" s="241"/>
      <c r="M252" s="521"/>
      <c r="N252" s="241"/>
      <c r="O252" s="521"/>
      <c r="P252" s="241"/>
      <c r="Q252" s="520"/>
      <c r="R252" s="241"/>
      <c r="S252" s="520"/>
      <c r="T252" s="241"/>
      <c r="U252" s="520"/>
      <c r="V252" s="241"/>
      <c r="W252" s="242"/>
      <c r="X252" s="241"/>
      <c r="Y252" s="242"/>
      <c r="Z252" s="241"/>
      <c r="AA252" s="241"/>
      <c r="AB252" s="275"/>
      <c r="AC252" s="524"/>
      <c r="AD252" s="241"/>
      <c r="AE252" s="241"/>
      <c r="AF252" s="241"/>
      <c r="AG252" s="241"/>
      <c r="AH252" s="241"/>
      <c r="AI252" s="241"/>
      <c r="AJ252" s="529"/>
      <c r="AK252" s="258"/>
      <c r="AL252" s="241"/>
      <c r="AM252" s="242"/>
      <c r="AN252" s="241"/>
      <c r="AO252" s="242"/>
      <c r="AP252" s="241"/>
      <c r="AQ252" s="242"/>
      <c r="AR252" s="241"/>
      <c r="AS252" s="242"/>
      <c r="AT252" s="241"/>
      <c r="AU252" s="241"/>
      <c r="AV252" s="256"/>
      <c r="AW252" s="241"/>
      <c r="AX252" s="256"/>
      <c r="AY252" s="241"/>
      <c r="AZ252" s="256"/>
      <c r="BA252" s="239"/>
      <c r="BB252" s="242"/>
      <c r="BC252" s="239"/>
      <c r="BD252" s="242"/>
      <c r="BE252" s="239"/>
      <c r="BF252" s="241"/>
      <c r="BG252" s="239"/>
      <c r="BH252" s="241"/>
      <c r="BI252" s="260"/>
      <c r="BJ252" s="241"/>
      <c r="BK252" s="260"/>
      <c r="BL252" s="239"/>
      <c r="BM252" s="256"/>
      <c r="BN252" s="241"/>
      <c r="BO252" s="243"/>
      <c r="BP252" s="241"/>
      <c r="BQ252" s="239"/>
      <c r="BR252" s="276"/>
      <c r="BS252" s="256"/>
      <c r="BT252" s="260"/>
      <c r="BU252" s="261"/>
      <c r="BV252" s="260"/>
      <c r="BW252" s="239"/>
      <c r="BX252" s="260"/>
      <c r="BY252" s="260"/>
      <c r="BZ252" s="239"/>
      <c r="CA252" s="260"/>
      <c r="CB252" s="239"/>
      <c r="CC252" s="260"/>
      <c r="CD252" s="539"/>
      <c r="CE252" s="239"/>
      <c r="CF252" s="276"/>
      <c r="CG252" s="256"/>
      <c r="CH252" s="259"/>
      <c r="CI252" s="347"/>
      <c r="CJ252" s="540"/>
      <c r="CK252" s="256"/>
      <c r="CL252" s="244">
        <v>1</v>
      </c>
      <c r="CM252" s="274">
        <f t="shared" si="3"/>
        <v>2015</v>
      </c>
      <c r="CN252" s="244">
        <f>IF('Grille de saisie'!CM252&lt;18,0,IF('Grille de saisie'!CM252&lt;40,1,IF('Grille de saisie'!CM252&lt;65,2,IF('Grille de saisie'!CM252&lt;100,3,4))))</f>
        <v>4</v>
      </c>
      <c r="CO252" s="236">
        <f>IF(AND('Grille de saisie'!C252=1,'Grille de saisie'!BZ252=0),1,IF(AND('Grille de saisie'!C252="",'Grille de saisie'!BZ252=""),3,IF(AND('Grille de saisie'!C252=5),3,2)))</f>
        <v>3</v>
      </c>
      <c r="CP252" s="236">
        <f>IF(AND('Grille de saisie'!C252=1,'Grille de saisie'!BZ252=0),1,IF(AND('Grille de saisie'!C252=1,'Grille de saisie'!BZ252=1),2,IF(AND('Grille de saisie'!C252=2,'Grille de saisie'!BZ252=0),2,IF(AND('Grille de saisie'!C252=3,'Grille de saisie'!BZ252=0),3,IF(AND('Grille de saisie'!C252=2,'Grille de saisie'!BZ252=1),3,IF(AND('Grille de saisie'!C252=1,'Grille de saisie'!BZ252=2),3,IF(AND('Grille de saisie'!C252="",'Grille de saisie'!BZ252=""),5,IF(AND('Grille de saisie'!C252=5),5,4))))))))</f>
        <v>5</v>
      </c>
      <c r="CQ252" s="237">
        <f>IF('Grille de saisie'!BZ252="",3,IF('Grille de saisie'!C252=5,3,IF('Grille de saisie'!BZ252=0,1,2)))</f>
        <v>3</v>
      </c>
    </row>
    <row r="253" spans="1:95" ht="15">
      <c r="A253" s="510">
        <v>251</v>
      </c>
      <c r="B253" s="240"/>
      <c r="C253" s="513"/>
      <c r="D253" s="240"/>
      <c r="E253" s="517"/>
      <c r="F253" s="265"/>
      <c r="G253" s="513"/>
      <c r="H253" s="265"/>
      <c r="I253" s="520"/>
      <c r="J253" s="241"/>
      <c r="K253" s="520"/>
      <c r="L253" s="241"/>
      <c r="M253" s="521"/>
      <c r="N253" s="241"/>
      <c r="O253" s="521"/>
      <c r="P253" s="241"/>
      <c r="Q253" s="520"/>
      <c r="R253" s="241"/>
      <c r="S253" s="520"/>
      <c r="T253" s="241"/>
      <c r="U253" s="520"/>
      <c r="V253" s="241"/>
      <c r="W253" s="242"/>
      <c r="X253" s="241"/>
      <c r="Y253" s="242"/>
      <c r="Z253" s="241"/>
      <c r="AA253" s="241"/>
      <c r="AB253" s="275"/>
      <c r="AC253" s="524"/>
      <c r="AD253" s="241"/>
      <c r="AE253" s="241"/>
      <c r="AF253" s="241"/>
      <c r="AG253" s="241"/>
      <c r="AH253" s="241"/>
      <c r="AI253" s="241"/>
      <c r="AJ253" s="529"/>
      <c r="AK253" s="258"/>
      <c r="AL253" s="241"/>
      <c r="AM253" s="242"/>
      <c r="AN253" s="241"/>
      <c r="AO253" s="242"/>
      <c r="AP253" s="241"/>
      <c r="AQ253" s="242"/>
      <c r="AR253" s="241"/>
      <c r="AS253" s="242"/>
      <c r="AT253" s="241"/>
      <c r="AU253" s="241"/>
      <c r="AV253" s="256"/>
      <c r="AW253" s="241"/>
      <c r="AX253" s="256"/>
      <c r="AY253" s="241"/>
      <c r="AZ253" s="256"/>
      <c r="BA253" s="239"/>
      <c r="BB253" s="242"/>
      <c r="BC253" s="239"/>
      <c r="BD253" s="242"/>
      <c r="BE253" s="239"/>
      <c r="BF253" s="241"/>
      <c r="BG253" s="239"/>
      <c r="BH253" s="241"/>
      <c r="BI253" s="260"/>
      <c r="BJ253" s="241"/>
      <c r="BK253" s="260"/>
      <c r="BL253" s="239"/>
      <c r="BM253" s="256"/>
      <c r="BN253" s="241"/>
      <c r="BO253" s="243"/>
      <c r="BP253" s="241"/>
      <c r="BQ253" s="239"/>
      <c r="BR253" s="276"/>
      <c r="BS253" s="256"/>
      <c r="BT253" s="260"/>
      <c r="BU253" s="261"/>
      <c r="BV253" s="260"/>
      <c r="BW253" s="239"/>
      <c r="BX253" s="260"/>
      <c r="BY253" s="260"/>
      <c r="BZ253" s="239"/>
      <c r="CA253" s="260"/>
      <c r="CB253" s="239"/>
      <c r="CC253" s="260"/>
      <c r="CD253" s="539"/>
      <c r="CE253" s="239"/>
      <c r="CF253" s="276"/>
      <c r="CG253" s="256"/>
      <c r="CH253" s="259"/>
      <c r="CI253" s="347"/>
      <c r="CJ253" s="540"/>
      <c r="CK253" s="256"/>
      <c r="CL253" s="244">
        <v>1</v>
      </c>
      <c r="CM253" s="274">
        <f t="shared" si="3"/>
        <v>2015</v>
      </c>
      <c r="CN253" s="244">
        <f>IF('Grille de saisie'!CM253&lt;18,0,IF('Grille de saisie'!CM253&lt;40,1,IF('Grille de saisie'!CM253&lt;65,2,IF('Grille de saisie'!CM253&lt;100,3,4))))</f>
        <v>4</v>
      </c>
      <c r="CO253" s="236">
        <f>IF(AND('Grille de saisie'!C253=1,'Grille de saisie'!BZ253=0),1,IF(AND('Grille de saisie'!C253="",'Grille de saisie'!BZ253=""),3,IF(AND('Grille de saisie'!C253=5),3,2)))</f>
        <v>3</v>
      </c>
      <c r="CP253" s="236">
        <f>IF(AND('Grille de saisie'!C253=1,'Grille de saisie'!BZ253=0),1,IF(AND('Grille de saisie'!C253=1,'Grille de saisie'!BZ253=1),2,IF(AND('Grille de saisie'!C253=2,'Grille de saisie'!BZ253=0),2,IF(AND('Grille de saisie'!C253=3,'Grille de saisie'!BZ253=0),3,IF(AND('Grille de saisie'!C253=2,'Grille de saisie'!BZ253=1),3,IF(AND('Grille de saisie'!C253=1,'Grille de saisie'!BZ253=2),3,IF(AND('Grille de saisie'!C253="",'Grille de saisie'!BZ253=""),5,IF(AND('Grille de saisie'!C253=5),5,4))))))))</f>
        <v>5</v>
      </c>
      <c r="CQ253" s="237">
        <f>IF('Grille de saisie'!BZ253="",3,IF('Grille de saisie'!C253=5,3,IF('Grille de saisie'!BZ253=0,1,2)))</f>
        <v>3</v>
      </c>
    </row>
    <row r="254" spans="1:95" ht="15">
      <c r="A254" s="510">
        <v>252</v>
      </c>
      <c r="B254" s="240"/>
      <c r="C254" s="513"/>
      <c r="D254" s="240"/>
      <c r="E254" s="517"/>
      <c r="F254" s="265"/>
      <c r="G254" s="513"/>
      <c r="H254" s="265"/>
      <c r="I254" s="520"/>
      <c r="J254" s="241"/>
      <c r="K254" s="520"/>
      <c r="L254" s="241"/>
      <c r="M254" s="521"/>
      <c r="N254" s="241"/>
      <c r="O254" s="521"/>
      <c r="P254" s="241"/>
      <c r="Q254" s="520"/>
      <c r="R254" s="241"/>
      <c r="S254" s="520"/>
      <c r="T254" s="241"/>
      <c r="U254" s="520"/>
      <c r="V254" s="241"/>
      <c r="W254" s="242"/>
      <c r="X254" s="241"/>
      <c r="Y254" s="242"/>
      <c r="Z254" s="241"/>
      <c r="AA254" s="241"/>
      <c r="AB254" s="275"/>
      <c r="AC254" s="524"/>
      <c r="AD254" s="241"/>
      <c r="AE254" s="241"/>
      <c r="AF254" s="241"/>
      <c r="AG254" s="241"/>
      <c r="AH254" s="241"/>
      <c r="AI254" s="241"/>
      <c r="AJ254" s="529"/>
      <c r="AK254" s="258"/>
      <c r="AL254" s="241"/>
      <c r="AM254" s="242"/>
      <c r="AN254" s="241"/>
      <c r="AO254" s="242"/>
      <c r="AP254" s="241"/>
      <c r="AQ254" s="242"/>
      <c r="AR254" s="241"/>
      <c r="AS254" s="242"/>
      <c r="AT254" s="241"/>
      <c r="AU254" s="241"/>
      <c r="AV254" s="256"/>
      <c r="AW254" s="241"/>
      <c r="AX254" s="256"/>
      <c r="AY254" s="241"/>
      <c r="AZ254" s="256"/>
      <c r="BA254" s="239"/>
      <c r="BB254" s="242"/>
      <c r="BC254" s="239"/>
      <c r="BD254" s="242"/>
      <c r="BE254" s="239"/>
      <c r="BF254" s="241"/>
      <c r="BG254" s="239"/>
      <c r="BH254" s="241"/>
      <c r="BI254" s="260"/>
      <c r="BJ254" s="241"/>
      <c r="BK254" s="260"/>
      <c r="BL254" s="239"/>
      <c r="BM254" s="256"/>
      <c r="BN254" s="241"/>
      <c r="BO254" s="243"/>
      <c r="BP254" s="241"/>
      <c r="BQ254" s="239"/>
      <c r="BR254" s="276"/>
      <c r="BS254" s="256"/>
      <c r="BT254" s="260"/>
      <c r="BU254" s="261"/>
      <c r="BV254" s="260"/>
      <c r="BW254" s="239"/>
      <c r="BX254" s="260"/>
      <c r="BY254" s="260"/>
      <c r="BZ254" s="239"/>
      <c r="CA254" s="260"/>
      <c r="CB254" s="239"/>
      <c r="CC254" s="260"/>
      <c r="CD254" s="539"/>
      <c r="CE254" s="239"/>
      <c r="CF254" s="276"/>
      <c r="CG254" s="256"/>
      <c r="CH254" s="259"/>
      <c r="CI254" s="347"/>
      <c r="CJ254" s="540"/>
      <c r="CK254" s="256"/>
      <c r="CL254" s="244">
        <v>1</v>
      </c>
      <c r="CM254" s="274">
        <f t="shared" si="3"/>
        <v>2015</v>
      </c>
      <c r="CN254" s="244">
        <f>IF('Grille de saisie'!CM254&lt;18,0,IF('Grille de saisie'!CM254&lt;40,1,IF('Grille de saisie'!CM254&lt;65,2,IF('Grille de saisie'!CM254&lt;100,3,4))))</f>
        <v>4</v>
      </c>
      <c r="CO254" s="236">
        <f>IF(AND('Grille de saisie'!C254=1,'Grille de saisie'!BZ254=0),1,IF(AND('Grille de saisie'!C254="",'Grille de saisie'!BZ254=""),3,IF(AND('Grille de saisie'!C254=5),3,2)))</f>
        <v>3</v>
      </c>
      <c r="CP254" s="236">
        <f>IF(AND('Grille de saisie'!C254=1,'Grille de saisie'!BZ254=0),1,IF(AND('Grille de saisie'!C254=1,'Grille de saisie'!BZ254=1),2,IF(AND('Grille de saisie'!C254=2,'Grille de saisie'!BZ254=0),2,IF(AND('Grille de saisie'!C254=3,'Grille de saisie'!BZ254=0),3,IF(AND('Grille de saisie'!C254=2,'Grille de saisie'!BZ254=1),3,IF(AND('Grille de saisie'!C254=1,'Grille de saisie'!BZ254=2),3,IF(AND('Grille de saisie'!C254="",'Grille de saisie'!BZ254=""),5,IF(AND('Grille de saisie'!C254=5),5,4))))))))</f>
        <v>5</v>
      </c>
      <c r="CQ254" s="237">
        <f>IF('Grille de saisie'!BZ254="",3,IF('Grille de saisie'!C254=5,3,IF('Grille de saisie'!BZ254=0,1,2)))</f>
        <v>3</v>
      </c>
    </row>
    <row r="255" spans="1:95" ht="15">
      <c r="A255" s="511">
        <v>253</v>
      </c>
      <c r="B255" s="240"/>
      <c r="C255" s="513"/>
      <c r="D255" s="240"/>
      <c r="E255" s="517"/>
      <c r="F255" s="265"/>
      <c r="G255" s="513"/>
      <c r="H255" s="265"/>
      <c r="I255" s="520"/>
      <c r="J255" s="241"/>
      <c r="K255" s="520"/>
      <c r="L255" s="241"/>
      <c r="M255" s="521"/>
      <c r="N255" s="241"/>
      <c r="O255" s="521"/>
      <c r="P255" s="241"/>
      <c r="Q255" s="520"/>
      <c r="R255" s="241"/>
      <c r="S255" s="520"/>
      <c r="T255" s="241"/>
      <c r="U255" s="520"/>
      <c r="V255" s="241"/>
      <c r="W255" s="242"/>
      <c r="X255" s="241"/>
      <c r="Y255" s="242"/>
      <c r="Z255" s="241"/>
      <c r="AA255" s="241"/>
      <c r="AB255" s="275"/>
      <c r="AC255" s="524"/>
      <c r="AD255" s="241"/>
      <c r="AE255" s="241"/>
      <c r="AF255" s="241"/>
      <c r="AG255" s="241"/>
      <c r="AH255" s="241"/>
      <c r="AI255" s="241"/>
      <c r="AJ255" s="529"/>
      <c r="AK255" s="258"/>
      <c r="AL255" s="241"/>
      <c r="AM255" s="242"/>
      <c r="AN255" s="241"/>
      <c r="AO255" s="242"/>
      <c r="AP255" s="241"/>
      <c r="AQ255" s="242"/>
      <c r="AR255" s="241"/>
      <c r="AS255" s="242"/>
      <c r="AT255" s="241"/>
      <c r="AU255" s="241"/>
      <c r="AV255" s="256"/>
      <c r="AW255" s="241"/>
      <c r="AX255" s="256"/>
      <c r="AY255" s="241"/>
      <c r="AZ255" s="256"/>
      <c r="BA255" s="239"/>
      <c r="BB255" s="242"/>
      <c r="BC255" s="239"/>
      <c r="BD255" s="242"/>
      <c r="BE255" s="239"/>
      <c r="BF255" s="241"/>
      <c r="BG255" s="239"/>
      <c r="BH255" s="241"/>
      <c r="BI255" s="260"/>
      <c r="BJ255" s="241"/>
      <c r="BK255" s="260"/>
      <c r="BL255" s="239"/>
      <c r="BM255" s="256"/>
      <c r="BN255" s="241"/>
      <c r="BO255" s="243"/>
      <c r="BP255" s="241"/>
      <c r="BQ255" s="239"/>
      <c r="BR255" s="276"/>
      <c r="BS255" s="256"/>
      <c r="BT255" s="260"/>
      <c r="BU255" s="261"/>
      <c r="BV255" s="260"/>
      <c r="BW255" s="239"/>
      <c r="BX255" s="260"/>
      <c r="BY255" s="260"/>
      <c r="BZ255" s="239"/>
      <c r="CA255" s="260"/>
      <c r="CB255" s="239"/>
      <c r="CC255" s="260"/>
      <c r="CD255" s="539"/>
      <c r="CE255" s="239"/>
      <c r="CF255" s="276"/>
      <c r="CG255" s="256"/>
      <c r="CH255" s="259"/>
      <c r="CI255" s="347"/>
      <c r="CJ255" s="540"/>
      <c r="CK255" s="256"/>
      <c r="CL255" s="244">
        <v>1</v>
      </c>
      <c r="CM255" s="274">
        <f t="shared" si="3"/>
        <v>2015</v>
      </c>
      <c r="CN255" s="244">
        <f>IF('Grille de saisie'!CM255&lt;18,0,IF('Grille de saisie'!CM255&lt;40,1,IF('Grille de saisie'!CM255&lt;65,2,IF('Grille de saisie'!CM255&lt;100,3,4))))</f>
        <v>4</v>
      </c>
      <c r="CO255" s="236">
        <f>IF(AND('Grille de saisie'!C255=1,'Grille de saisie'!BZ255=0),1,IF(AND('Grille de saisie'!C255="",'Grille de saisie'!BZ255=""),3,IF(AND('Grille de saisie'!C255=5),3,2)))</f>
        <v>3</v>
      </c>
      <c r="CP255" s="236">
        <f>IF(AND('Grille de saisie'!C255=1,'Grille de saisie'!BZ255=0),1,IF(AND('Grille de saisie'!C255=1,'Grille de saisie'!BZ255=1),2,IF(AND('Grille de saisie'!C255=2,'Grille de saisie'!BZ255=0),2,IF(AND('Grille de saisie'!C255=3,'Grille de saisie'!BZ255=0),3,IF(AND('Grille de saisie'!C255=2,'Grille de saisie'!BZ255=1),3,IF(AND('Grille de saisie'!C255=1,'Grille de saisie'!BZ255=2),3,IF(AND('Grille de saisie'!C255="",'Grille de saisie'!BZ255=""),5,IF(AND('Grille de saisie'!C255=5),5,4))))))))</f>
        <v>5</v>
      </c>
      <c r="CQ255" s="237">
        <f>IF('Grille de saisie'!BZ255="",3,IF('Grille de saisie'!C255=5,3,IF('Grille de saisie'!BZ255=0,1,2)))</f>
        <v>3</v>
      </c>
    </row>
    <row r="256" spans="1:95" ht="15">
      <c r="A256" s="510">
        <v>254</v>
      </c>
      <c r="B256" s="240"/>
      <c r="C256" s="513"/>
      <c r="D256" s="240"/>
      <c r="E256" s="517"/>
      <c r="F256" s="265"/>
      <c r="G256" s="513"/>
      <c r="H256" s="265"/>
      <c r="I256" s="520"/>
      <c r="J256" s="241"/>
      <c r="K256" s="520"/>
      <c r="L256" s="241"/>
      <c r="M256" s="521"/>
      <c r="N256" s="241"/>
      <c r="O256" s="521"/>
      <c r="P256" s="241"/>
      <c r="Q256" s="520"/>
      <c r="R256" s="241"/>
      <c r="S256" s="520"/>
      <c r="T256" s="241"/>
      <c r="U256" s="520"/>
      <c r="V256" s="241"/>
      <c r="W256" s="242"/>
      <c r="X256" s="241"/>
      <c r="Y256" s="242"/>
      <c r="Z256" s="241"/>
      <c r="AA256" s="241"/>
      <c r="AB256" s="275"/>
      <c r="AC256" s="524"/>
      <c r="AD256" s="241"/>
      <c r="AE256" s="241"/>
      <c r="AF256" s="241"/>
      <c r="AG256" s="241"/>
      <c r="AH256" s="241"/>
      <c r="AI256" s="241"/>
      <c r="AJ256" s="529"/>
      <c r="AK256" s="258"/>
      <c r="AL256" s="241"/>
      <c r="AM256" s="242"/>
      <c r="AN256" s="241"/>
      <c r="AO256" s="242"/>
      <c r="AP256" s="241"/>
      <c r="AQ256" s="242"/>
      <c r="AR256" s="241"/>
      <c r="AS256" s="242"/>
      <c r="AT256" s="241"/>
      <c r="AU256" s="241"/>
      <c r="AV256" s="256"/>
      <c r="AW256" s="241"/>
      <c r="AX256" s="256"/>
      <c r="AY256" s="241"/>
      <c r="AZ256" s="256"/>
      <c r="BA256" s="239"/>
      <c r="BB256" s="242"/>
      <c r="BC256" s="239"/>
      <c r="BD256" s="242"/>
      <c r="BE256" s="239"/>
      <c r="BF256" s="241"/>
      <c r="BG256" s="239"/>
      <c r="BH256" s="241"/>
      <c r="BI256" s="260"/>
      <c r="BJ256" s="241"/>
      <c r="BK256" s="260"/>
      <c r="BL256" s="239"/>
      <c r="BM256" s="256"/>
      <c r="BN256" s="241"/>
      <c r="BO256" s="243"/>
      <c r="BP256" s="241"/>
      <c r="BQ256" s="239"/>
      <c r="BR256" s="276"/>
      <c r="BS256" s="256"/>
      <c r="BT256" s="260"/>
      <c r="BU256" s="261"/>
      <c r="BV256" s="260"/>
      <c r="BW256" s="239"/>
      <c r="BX256" s="260"/>
      <c r="BY256" s="260"/>
      <c r="BZ256" s="239"/>
      <c r="CA256" s="260"/>
      <c r="CB256" s="239"/>
      <c r="CC256" s="260"/>
      <c r="CD256" s="539"/>
      <c r="CE256" s="239"/>
      <c r="CF256" s="276"/>
      <c r="CG256" s="256"/>
      <c r="CH256" s="259"/>
      <c r="CI256" s="347"/>
      <c r="CJ256" s="540"/>
      <c r="CK256" s="256"/>
      <c r="CL256" s="244">
        <v>1</v>
      </c>
      <c r="CM256" s="274">
        <f t="shared" si="3"/>
        <v>2015</v>
      </c>
      <c r="CN256" s="244">
        <f>IF('Grille de saisie'!CM256&lt;18,0,IF('Grille de saisie'!CM256&lt;40,1,IF('Grille de saisie'!CM256&lt;65,2,IF('Grille de saisie'!CM256&lt;100,3,4))))</f>
        <v>4</v>
      </c>
      <c r="CO256" s="236">
        <f>IF(AND('Grille de saisie'!C256=1,'Grille de saisie'!BZ256=0),1,IF(AND('Grille de saisie'!C256="",'Grille de saisie'!BZ256=""),3,IF(AND('Grille de saisie'!C256=5),3,2)))</f>
        <v>3</v>
      </c>
      <c r="CP256" s="236">
        <f>IF(AND('Grille de saisie'!C256=1,'Grille de saisie'!BZ256=0),1,IF(AND('Grille de saisie'!C256=1,'Grille de saisie'!BZ256=1),2,IF(AND('Grille de saisie'!C256=2,'Grille de saisie'!BZ256=0),2,IF(AND('Grille de saisie'!C256=3,'Grille de saisie'!BZ256=0),3,IF(AND('Grille de saisie'!C256=2,'Grille de saisie'!BZ256=1),3,IF(AND('Grille de saisie'!C256=1,'Grille de saisie'!BZ256=2),3,IF(AND('Grille de saisie'!C256="",'Grille de saisie'!BZ256=""),5,IF(AND('Grille de saisie'!C256=5),5,4))))))))</f>
        <v>5</v>
      </c>
      <c r="CQ256" s="237">
        <f>IF('Grille de saisie'!BZ256="",3,IF('Grille de saisie'!C256=5,3,IF('Grille de saisie'!BZ256=0,1,2)))</f>
        <v>3</v>
      </c>
    </row>
    <row r="257" spans="1:95" ht="15">
      <c r="A257" s="510">
        <v>255</v>
      </c>
      <c r="B257" s="240"/>
      <c r="C257" s="513"/>
      <c r="D257" s="240"/>
      <c r="E257" s="517"/>
      <c r="F257" s="265"/>
      <c r="G257" s="513"/>
      <c r="H257" s="265"/>
      <c r="I257" s="520"/>
      <c r="J257" s="241"/>
      <c r="K257" s="520"/>
      <c r="L257" s="241"/>
      <c r="M257" s="521"/>
      <c r="N257" s="241"/>
      <c r="O257" s="521"/>
      <c r="P257" s="241"/>
      <c r="Q257" s="520"/>
      <c r="R257" s="241"/>
      <c r="S257" s="520"/>
      <c r="T257" s="241"/>
      <c r="U257" s="520"/>
      <c r="V257" s="241"/>
      <c r="W257" s="242"/>
      <c r="X257" s="241"/>
      <c r="Y257" s="242"/>
      <c r="Z257" s="241"/>
      <c r="AA257" s="241"/>
      <c r="AB257" s="275"/>
      <c r="AC257" s="524"/>
      <c r="AD257" s="241"/>
      <c r="AE257" s="241"/>
      <c r="AF257" s="241"/>
      <c r="AG257" s="241"/>
      <c r="AH257" s="241"/>
      <c r="AI257" s="241"/>
      <c r="AJ257" s="529"/>
      <c r="AK257" s="258"/>
      <c r="AL257" s="241"/>
      <c r="AM257" s="242"/>
      <c r="AN257" s="241"/>
      <c r="AO257" s="242"/>
      <c r="AP257" s="241"/>
      <c r="AQ257" s="242"/>
      <c r="AR257" s="241"/>
      <c r="AS257" s="242"/>
      <c r="AT257" s="241"/>
      <c r="AU257" s="241"/>
      <c r="AV257" s="256"/>
      <c r="AW257" s="241"/>
      <c r="AX257" s="256"/>
      <c r="AY257" s="241"/>
      <c r="AZ257" s="256"/>
      <c r="BA257" s="239"/>
      <c r="BB257" s="242"/>
      <c r="BC257" s="239"/>
      <c r="BD257" s="242"/>
      <c r="BE257" s="239"/>
      <c r="BF257" s="241"/>
      <c r="BG257" s="239"/>
      <c r="BH257" s="241"/>
      <c r="BI257" s="260"/>
      <c r="BJ257" s="241"/>
      <c r="BK257" s="260"/>
      <c r="BL257" s="239"/>
      <c r="BM257" s="256"/>
      <c r="BN257" s="241"/>
      <c r="BO257" s="243"/>
      <c r="BP257" s="241"/>
      <c r="BQ257" s="239"/>
      <c r="BR257" s="276"/>
      <c r="BS257" s="256"/>
      <c r="BT257" s="260"/>
      <c r="BU257" s="261"/>
      <c r="BV257" s="260"/>
      <c r="BW257" s="239"/>
      <c r="BX257" s="260"/>
      <c r="BY257" s="260"/>
      <c r="BZ257" s="239"/>
      <c r="CA257" s="260"/>
      <c r="CB257" s="239"/>
      <c r="CC257" s="260"/>
      <c r="CD257" s="539"/>
      <c r="CE257" s="239"/>
      <c r="CF257" s="276"/>
      <c r="CG257" s="256"/>
      <c r="CH257" s="259"/>
      <c r="CI257" s="347"/>
      <c r="CJ257" s="540"/>
      <c r="CK257" s="256"/>
      <c r="CL257" s="244">
        <v>1</v>
      </c>
      <c r="CM257" s="274">
        <f t="shared" si="3"/>
        <v>2015</v>
      </c>
      <c r="CN257" s="244">
        <f>IF('Grille de saisie'!CM257&lt;18,0,IF('Grille de saisie'!CM257&lt;40,1,IF('Grille de saisie'!CM257&lt;65,2,IF('Grille de saisie'!CM257&lt;100,3,4))))</f>
        <v>4</v>
      </c>
      <c r="CO257" s="236">
        <f>IF(AND('Grille de saisie'!C257=1,'Grille de saisie'!BZ257=0),1,IF(AND('Grille de saisie'!C257="",'Grille de saisie'!BZ257=""),3,IF(AND('Grille de saisie'!C257=5),3,2)))</f>
        <v>3</v>
      </c>
      <c r="CP257" s="236">
        <f>IF(AND('Grille de saisie'!C257=1,'Grille de saisie'!BZ257=0),1,IF(AND('Grille de saisie'!C257=1,'Grille de saisie'!BZ257=1),2,IF(AND('Grille de saisie'!C257=2,'Grille de saisie'!BZ257=0),2,IF(AND('Grille de saisie'!C257=3,'Grille de saisie'!BZ257=0),3,IF(AND('Grille de saisie'!C257=2,'Grille de saisie'!BZ257=1),3,IF(AND('Grille de saisie'!C257=1,'Grille de saisie'!BZ257=2),3,IF(AND('Grille de saisie'!C257="",'Grille de saisie'!BZ257=""),5,IF(AND('Grille de saisie'!C257=5),5,4))))))))</f>
        <v>5</v>
      </c>
      <c r="CQ257" s="237">
        <f>IF('Grille de saisie'!BZ257="",3,IF('Grille de saisie'!C257=5,3,IF('Grille de saisie'!BZ257=0,1,2)))</f>
        <v>3</v>
      </c>
    </row>
    <row r="258" spans="1:95" ht="15">
      <c r="A258" s="511">
        <v>256</v>
      </c>
      <c r="B258" s="240"/>
      <c r="C258" s="513"/>
      <c r="D258" s="240"/>
      <c r="E258" s="517"/>
      <c r="F258" s="265"/>
      <c r="G258" s="513"/>
      <c r="H258" s="265"/>
      <c r="I258" s="520"/>
      <c r="J258" s="241"/>
      <c r="K258" s="520"/>
      <c r="L258" s="241"/>
      <c r="M258" s="521"/>
      <c r="N258" s="241"/>
      <c r="O258" s="521"/>
      <c r="P258" s="241"/>
      <c r="Q258" s="520"/>
      <c r="R258" s="241"/>
      <c r="S258" s="520"/>
      <c r="T258" s="241"/>
      <c r="U258" s="520"/>
      <c r="V258" s="241"/>
      <c r="W258" s="242"/>
      <c r="X258" s="241"/>
      <c r="Y258" s="242"/>
      <c r="Z258" s="241"/>
      <c r="AA258" s="241"/>
      <c r="AB258" s="275"/>
      <c r="AC258" s="524"/>
      <c r="AD258" s="241"/>
      <c r="AE258" s="241"/>
      <c r="AF258" s="241"/>
      <c r="AG258" s="241"/>
      <c r="AH258" s="241"/>
      <c r="AI258" s="241"/>
      <c r="AJ258" s="529"/>
      <c r="AK258" s="258"/>
      <c r="AL258" s="241"/>
      <c r="AM258" s="242"/>
      <c r="AN258" s="241"/>
      <c r="AO258" s="242"/>
      <c r="AP258" s="241"/>
      <c r="AQ258" s="242"/>
      <c r="AR258" s="241"/>
      <c r="AS258" s="242"/>
      <c r="AT258" s="241"/>
      <c r="AU258" s="241"/>
      <c r="AV258" s="256"/>
      <c r="AW258" s="241"/>
      <c r="AX258" s="256"/>
      <c r="AY258" s="241"/>
      <c r="AZ258" s="256"/>
      <c r="BA258" s="239"/>
      <c r="BB258" s="242"/>
      <c r="BC258" s="239"/>
      <c r="BD258" s="242"/>
      <c r="BE258" s="239"/>
      <c r="BF258" s="241"/>
      <c r="BG258" s="239"/>
      <c r="BH258" s="241"/>
      <c r="BI258" s="260"/>
      <c r="BJ258" s="241"/>
      <c r="BK258" s="260"/>
      <c r="BL258" s="239"/>
      <c r="BM258" s="256"/>
      <c r="BN258" s="241"/>
      <c r="BO258" s="243"/>
      <c r="BP258" s="241"/>
      <c r="BQ258" s="239"/>
      <c r="BR258" s="276"/>
      <c r="BS258" s="256"/>
      <c r="BT258" s="260"/>
      <c r="BU258" s="261"/>
      <c r="BV258" s="260"/>
      <c r="BW258" s="239"/>
      <c r="BX258" s="260"/>
      <c r="BY258" s="260"/>
      <c r="BZ258" s="239"/>
      <c r="CA258" s="260"/>
      <c r="CB258" s="239"/>
      <c r="CC258" s="260"/>
      <c r="CD258" s="539"/>
      <c r="CE258" s="239"/>
      <c r="CF258" s="276"/>
      <c r="CG258" s="256"/>
      <c r="CH258" s="259"/>
      <c r="CI258" s="347"/>
      <c r="CJ258" s="540"/>
      <c r="CK258" s="256"/>
      <c r="CL258" s="244">
        <v>1</v>
      </c>
      <c r="CM258" s="274">
        <f t="shared" si="3"/>
        <v>2015</v>
      </c>
      <c r="CN258" s="244">
        <f>IF('Grille de saisie'!CM258&lt;18,0,IF('Grille de saisie'!CM258&lt;40,1,IF('Grille de saisie'!CM258&lt;65,2,IF('Grille de saisie'!CM258&lt;100,3,4))))</f>
        <v>4</v>
      </c>
      <c r="CO258" s="236">
        <f>IF(AND('Grille de saisie'!C258=1,'Grille de saisie'!BZ258=0),1,IF(AND('Grille de saisie'!C258="",'Grille de saisie'!BZ258=""),3,IF(AND('Grille de saisie'!C258=5),3,2)))</f>
        <v>3</v>
      </c>
      <c r="CP258" s="236">
        <f>IF(AND('Grille de saisie'!C258=1,'Grille de saisie'!BZ258=0),1,IF(AND('Grille de saisie'!C258=1,'Grille de saisie'!BZ258=1),2,IF(AND('Grille de saisie'!C258=2,'Grille de saisie'!BZ258=0),2,IF(AND('Grille de saisie'!C258=3,'Grille de saisie'!BZ258=0),3,IF(AND('Grille de saisie'!C258=2,'Grille de saisie'!BZ258=1),3,IF(AND('Grille de saisie'!C258=1,'Grille de saisie'!BZ258=2),3,IF(AND('Grille de saisie'!C258="",'Grille de saisie'!BZ258=""),5,IF(AND('Grille de saisie'!C258=5),5,4))))))))</f>
        <v>5</v>
      </c>
      <c r="CQ258" s="237">
        <f>IF('Grille de saisie'!BZ258="",3,IF('Grille de saisie'!C258=5,3,IF('Grille de saisie'!BZ258=0,1,2)))</f>
        <v>3</v>
      </c>
    </row>
    <row r="259" spans="1:95" ht="15">
      <c r="A259" s="510">
        <v>257</v>
      </c>
      <c r="B259" s="240"/>
      <c r="C259" s="513"/>
      <c r="D259" s="240"/>
      <c r="E259" s="517"/>
      <c r="F259" s="265"/>
      <c r="G259" s="513"/>
      <c r="H259" s="265"/>
      <c r="I259" s="520"/>
      <c r="J259" s="241"/>
      <c r="K259" s="520"/>
      <c r="L259" s="241"/>
      <c r="M259" s="521"/>
      <c r="N259" s="241"/>
      <c r="O259" s="521"/>
      <c r="P259" s="241"/>
      <c r="Q259" s="520"/>
      <c r="R259" s="241"/>
      <c r="S259" s="520"/>
      <c r="T259" s="241"/>
      <c r="U259" s="520"/>
      <c r="V259" s="241"/>
      <c r="W259" s="242"/>
      <c r="X259" s="241"/>
      <c r="Y259" s="242"/>
      <c r="Z259" s="241"/>
      <c r="AA259" s="241"/>
      <c r="AB259" s="275"/>
      <c r="AC259" s="524"/>
      <c r="AD259" s="241"/>
      <c r="AE259" s="241"/>
      <c r="AF259" s="241"/>
      <c r="AG259" s="241"/>
      <c r="AH259" s="241"/>
      <c r="AI259" s="241"/>
      <c r="AJ259" s="529"/>
      <c r="AK259" s="258"/>
      <c r="AL259" s="241"/>
      <c r="AM259" s="242"/>
      <c r="AN259" s="241"/>
      <c r="AO259" s="242"/>
      <c r="AP259" s="241"/>
      <c r="AQ259" s="242"/>
      <c r="AR259" s="241"/>
      <c r="AS259" s="242"/>
      <c r="AT259" s="241"/>
      <c r="AU259" s="241"/>
      <c r="AV259" s="256"/>
      <c r="AW259" s="241"/>
      <c r="AX259" s="256"/>
      <c r="AY259" s="241"/>
      <c r="AZ259" s="256"/>
      <c r="BA259" s="239"/>
      <c r="BB259" s="242"/>
      <c r="BC259" s="239"/>
      <c r="BD259" s="242"/>
      <c r="BE259" s="239"/>
      <c r="BF259" s="241"/>
      <c r="BG259" s="239"/>
      <c r="BH259" s="241"/>
      <c r="BI259" s="260"/>
      <c r="BJ259" s="241"/>
      <c r="BK259" s="260"/>
      <c r="BL259" s="239"/>
      <c r="BM259" s="256"/>
      <c r="BN259" s="241"/>
      <c r="BO259" s="243"/>
      <c r="BP259" s="241"/>
      <c r="BQ259" s="239"/>
      <c r="BR259" s="276"/>
      <c r="BS259" s="256"/>
      <c r="BT259" s="260"/>
      <c r="BU259" s="261"/>
      <c r="BV259" s="260"/>
      <c r="BW259" s="239"/>
      <c r="BX259" s="260"/>
      <c r="BY259" s="260"/>
      <c r="BZ259" s="239"/>
      <c r="CA259" s="260"/>
      <c r="CB259" s="239"/>
      <c r="CC259" s="260"/>
      <c r="CD259" s="539"/>
      <c r="CE259" s="239"/>
      <c r="CF259" s="276"/>
      <c r="CG259" s="256"/>
      <c r="CH259" s="259"/>
      <c r="CI259" s="347"/>
      <c r="CJ259" s="540"/>
      <c r="CK259" s="256"/>
      <c r="CL259" s="244">
        <v>1</v>
      </c>
      <c r="CM259" s="274">
        <f t="shared" si="3"/>
        <v>2015</v>
      </c>
      <c r="CN259" s="244">
        <f>IF('Grille de saisie'!CM259&lt;18,0,IF('Grille de saisie'!CM259&lt;40,1,IF('Grille de saisie'!CM259&lt;65,2,IF('Grille de saisie'!CM259&lt;100,3,4))))</f>
        <v>4</v>
      </c>
      <c r="CO259" s="236">
        <f>IF(AND('Grille de saisie'!C259=1,'Grille de saisie'!BZ259=0),1,IF(AND('Grille de saisie'!C259="",'Grille de saisie'!BZ259=""),3,IF(AND('Grille de saisie'!C259=5),3,2)))</f>
        <v>3</v>
      </c>
      <c r="CP259" s="236">
        <f>IF(AND('Grille de saisie'!C259=1,'Grille de saisie'!BZ259=0),1,IF(AND('Grille de saisie'!C259=1,'Grille de saisie'!BZ259=1),2,IF(AND('Grille de saisie'!C259=2,'Grille de saisie'!BZ259=0),2,IF(AND('Grille de saisie'!C259=3,'Grille de saisie'!BZ259=0),3,IF(AND('Grille de saisie'!C259=2,'Grille de saisie'!BZ259=1),3,IF(AND('Grille de saisie'!C259=1,'Grille de saisie'!BZ259=2),3,IF(AND('Grille de saisie'!C259="",'Grille de saisie'!BZ259=""),5,IF(AND('Grille de saisie'!C259=5),5,4))))))))</f>
        <v>5</v>
      </c>
      <c r="CQ259" s="237">
        <f>IF('Grille de saisie'!BZ259="",3,IF('Grille de saisie'!C259=5,3,IF('Grille de saisie'!BZ259=0,1,2)))</f>
        <v>3</v>
      </c>
    </row>
    <row r="260" spans="1:95" ht="15">
      <c r="A260" s="510">
        <v>258</v>
      </c>
      <c r="B260" s="240"/>
      <c r="C260" s="513"/>
      <c r="D260" s="240"/>
      <c r="E260" s="517"/>
      <c r="F260" s="265"/>
      <c r="G260" s="513"/>
      <c r="H260" s="265"/>
      <c r="I260" s="520"/>
      <c r="J260" s="241"/>
      <c r="K260" s="520"/>
      <c r="L260" s="241"/>
      <c r="M260" s="521"/>
      <c r="N260" s="241"/>
      <c r="O260" s="521"/>
      <c r="P260" s="241"/>
      <c r="Q260" s="520"/>
      <c r="R260" s="241"/>
      <c r="S260" s="520"/>
      <c r="T260" s="241"/>
      <c r="U260" s="520"/>
      <c r="V260" s="241"/>
      <c r="W260" s="242"/>
      <c r="X260" s="241"/>
      <c r="Y260" s="242"/>
      <c r="Z260" s="241"/>
      <c r="AA260" s="241"/>
      <c r="AB260" s="275"/>
      <c r="AC260" s="524"/>
      <c r="AD260" s="241"/>
      <c r="AE260" s="241"/>
      <c r="AF260" s="241"/>
      <c r="AG260" s="241"/>
      <c r="AH260" s="241"/>
      <c r="AI260" s="241"/>
      <c r="AJ260" s="529"/>
      <c r="AK260" s="258"/>
      <c r="AL260" s="241"/>
      <c r="AM260" s="242"/>
      <c r="AN260" s="241"/>
      <c r="AO260" s="242"/>
      <c r="AP260" s="241"/>
      <c r="AQ260" s="242"/>
      <c r="AR260" s="241"/>
      <c r="AS260" s="242"/>
      <c r="AT260" s="241"/>
      <c r="AU260" s="241"/>
      <c r="AV260" s="256"/>
      <c r="AW260" s="241"/>
      <c r="AX260" s="256"/>
      <c r="AY260" s="241"/>
      <c r="AZ260" s="256"/>
      <c r="BA260" s="239"/>
      <c r="BB260" s="242"/>
      <c r="BC260" s="239"/>
      <c r="BD260" s="242"/>
      <c r="BE260" s="239"/>
      <c r="BF260" s="241"/>
      <c r="BG260" s="239"/>
      <c r="BH260" s="241"/>
      <c r="BI260" s="260"/>
      <c r="BJ260" s="241"/>
      <c r="BK260" s="260"/>
      <c r="BL260" s="239"/>
      <c r="BM260" s="256"/>
      <c r="BN260" s="241"/>
      <c r="BO260" s="243"/>
      <c r="BP260" s="241"/>
      <c r="BQ260" s="239"/>
      <c r="BR260" s="276"/>
      <c r="BS260" s="256"/>
      <c r="BT260" s="260"/>
      <c r="BU260" s="261"/>
      <c r="BV260" s="260"/>
      <c r="BW260" s="239"/>
      <c r="BX260" s="260"/>
      <c r="BY260" s="260"/>
      <c r="BZ260" s="239"/>
      <c r="CA260" s="260"/>
      <c r="CB260" s="239"/>
      <c r="CC260" s="260"/>
      <c r="CD260" s="539"/>
      <c r="CE260" s="239"/>
      <c r="CF260" s="276"/>
      <c r="CG260" s="256"/>
      <c r="CH260" s="259"/>
      <c r="CI260" s="347"/>
      <c r="CJ260" s="540"/>
      <c r="CK260" s="256"/>
      <c r="CL260" s="244">
        <v>1</v>
      </c>
      <c r="CM260" s="274">
        <f t="shared" ref="CM260:CM323" si="4">$A$1-CB260</f>
        <v>2015</v>
      </c>
      <c r="CN260" s="244">
        <f>IF('Grille de saisie'!CM260&lt;18,0,IF('Grille de saisie'!CM260&lt;40,1,IF('Grille de saisie'!CM260&lt;65,2,IF('Grille de saisie'!CM260&lt;100,3,4))))</f>
        <v>4</v>
      </c>
      <c r="CO260" s="236">
        <f>IF(AND('Grille de saisie'!C260=1,'Grille de saisie'!BZ260=0),1,IF(AND('Grille de saisie'!C260="",'Grille de saisie'!BZ260=""),3,IF(AND('Grille de saisie'!C260=5),3,2)))</f>
        <v>3</v>
      </c>
      <c r="CP260" s="236">
        <f>IF(AND('Grille de saisie'!C260=1,'Grille de saisie'!BZ260=0),1,IF(AND('Grille de saisie'!C260=1,'Grille de saisie'!BZ260=1),2,IF(AND('Grille de saisie'!C260=2,'Grille de saisie'!BZ260=0),2,IF(AND('Grille de saisie'!C260=3,'Grille de saisie'!BZ260=0),3,IF(AND('Grille de saisie'!C260=2,'Grille de saisie'!BZ260=1),3,IF(AND('Grille de saisie'!C260=1,'Grille de saisie'!BZ260=2),3,IF(AND('Grille de saisie'!C260="",'Grille de saisie'!BZ260=""),5,IF(AND('Grille de saisie'!C260=5),5,4))))))))</f>
        <v>5</v>
      </c>
      <c r="CQ260" s="237">
        <f>IF('Grille de saisie'!BZ260="",3,IF('Grille de saisie'!C260=5,3,IF('Grille de saisie'!BZ260=0,1,2)))</f>
        <v>3</v>
      </c>
    </row>
    <row r="261" spans="1:95" ht="15">
      <c r="A261" s="511">
        <v>259</v>
      </c>
      <c r="B261" s="240"/>
      <c r="C261" s="513"/>
      <c r="D261" s="240"/>
      <c r="E261" s="517"/>
      <c r="F261" s="265"/>
      <c r="G261" s="513"/>
      <c r="H261" s="265"/>
      <c r="I261" s="520"/>
      <c r="J261" s="241"/>
      <c r="K261" s="520"/>
      <c r="L261" s="241"/>
      <c r="M261" s="521"/>
      <c r="N261" s="241"/>
      <c r="O261" s="521"/>
      <c r="P261" s="241"/>
      <c r="Q261" s="520"/>
      <c r="R261" s="241"/>
      <c r="S261" s="520"/>
      <c r="T261" s="241"/>
      <c r="U261" s="520"/>
      <c r="V261" s="241"/>
      <c r="W261" s="242"/>
      <c r="X261" s="241"/>
      <c r="Y261" s="242"/>
      <c r="Z261" s="241"/>
      <c r="AA261" s="241"/>
      <c r="AB261" s="275"/>
      <c r="AC261" s="524"/>
      <c r="AD261" s="241"/>
      <c r="AE261" s="241"/>
      <c r="AF261" s="241"/>
      <c r="AG261" s="241"/>
      <c r="AH261" s="241"/>
      <c r="AI261" s="241"/>
      <c r="AJ261" s="529"/>
      <c r="AK261" s="258"/>
      <c r="AL261" s="241"/>
      <c r="AM261" s="242"/>
      <c r="AN261" s="241"/>
      <c r="AO261" s="242"/>
      <c r="AP261" s="241"/>
      <c r="AQ261" s="242"/>
      <c r="AR261" s="241"/>
      <c r="AS261" s="242"/>
      <c r="AT261" s="241"/>
      <c r="AU261" s="241"/>
      <c r="AV261" s="256"/>
      <c r="AW261" s="241"/>
      <c r="AX261" s="256"/>
      <c r="AY261" s="241"/>
      <c r="AZ261" s="256"/>
      <c r="BA261" s="239"/>
      <c r="BB261" s="242"/>
      <c r="BC261" s="239"/>
      <c r="BD261" s="242"/>
      <c r="BE261" s="239"/>
      <c r="BF261" s="241"/>
      <c r="BG261" s="239"/>
      <c r="BH261" s="241"/>
      <c r="BI261" s="260"/>
      <c r="BJ261" s="241"/>
      <c r="BK261" s="260"/>
      <c r="BL261" s="239"/>
      <c r="BM261" s="256"/>
      <c r="BN261" s="241"/>
      <c r="BO261" s="243"/>
      <c r="BP261" s="241"/>
      <c r="BQ261" s="239"/>
      <c r="BR261" s="276"/>
      <c r="BS261" s="256"/>
      <c r="BT261" s="260"/>
      <c r="BU261" s="261"/>
      <c r="BV261" s="260"/>
      <c r="BW261" s="239"/>
      <c r="BX261" s="260"/>
      <c r="BY261" s="260"/>
      <c r="BZ261" s="239"/>
      <c r="CA261" s="260"/>
      <c r="CB261" s="239"/>
      <c r="CC261" s="260"/>
      <c r="CD261" s="539"/>
      <c r="CE261" s="239"/>
      <c r="CF261" s="276"/>
      <c r="CG261" s="256"/>
      <c r="CH261" s="259"/>
      <c r="CI261" s="347"/>
      <c r="CJ261" s="540"/>
      <c r="CK261" s="256"/>
      <c r="CL261" s="244">
        <v>1</v>
      </c>
      <c r="CM261" s="274">
        <f t="shared" si="4"/>
        <v>2015</v>
      </c>
      <c r="CN261" s="244">
        <f>IF('Grille de saisie'!CM261&lt;18,0,IF('Grille de saisie'!CM261&lt;40,1,IF('Grille de saisie'!CM261&lt;65,2,IF('Grille de saisie'!CM261&lt;100,3,4))))</f>
        <v>4</v>
      </c>
      <c r="CO261" s="236">
        <f>IF(AND('Grille de saisie'!C261=1,'Grille de saisie'!BZ261=0),1,IF(AND('Grille de saisie'!C261="",'Grille de saisie'!BZ261=""),3,IF(AND('Grille de saisie'!C261=5),3,2)))</f>
        <v>3</v>
      </c>
      <c r="CP261" s="236">
        <f>IF(AND('Grille de saisie'!C261=1,'Grille de saisie'!BZ261=0),1,IF(AND('Grille de saisie'!C261=1,'Grille de saisie'!BZ261=1),2,IF(AND('Grille de saisie'!C261=2,'Grille de saisie'!BZ261=0),2,IF(AND('Grille de saisie'!C261=3,'Grille de saisie'!BZ261=0),3,IF(AND('Grille de saisie'!C261=2,'Grille de saisie'!BZ261=1),3,IF(AND('Grille de saisie'!C261=1,'Grille de saisie'!BZ261=2),3,IF(AND('Grille de saisie'!C261="",'Grille de saisie'!BZ261=""),5,IF(AND('Grille de saisie'!C261=5),5,4))))))))</f>
        <v>5</v>
      </c>
      <c r="CQ261" s="237">
        <f>IF('Grille de saisie'!BZ261="",3,IF('Grille de saisie'!C261=5,3,IF('Grille de saisie'!BZ261=0,1,2)))</f>
        <v>3</v>
      </c>
    </row>
    <row r="262" spans="1:95" ht="15">
      <c r="A262" s="510">
        <v>260</v>
      </c>
      <c r="B262" s="240"/>
      <c r="C262" s="513"/>
      <c r="D262" s="240"/>
      <c r="E262" s="517"/>
      <c r="F262" s="265"/>
      <c r="G262" s="513"/>
      <c r="H262" s="265"/>
      <c r="I262" s="520"/>
      <c r="J262" s="241"/>
      <c r="K262" s="520"/>
      <c r="L262" s="241"/>
      <c r="M262" s="521"/>
      <c r="N262" s="241"/>
      <c r="O262" s="521"/>
      <c r="P262" s="241"/>
      <c r="Q262" s="520"/>
      <c r="R262" s="241"/>
      <c r="S262" s="520"/>
      <c r="T262" s="241"/>
      <c r="U262" s="520"/>
      <c r="V262" s="241"/>
      <c r="W262" s="242"/>
      <c r="X262" s="241"/>
      <c r="Y262" s="242"/>
      <c r="Z262" s="241"/>
      <c r="AA262" s="241"/>
      <c r="AB262" s="275"/>
      <c r="AC262" s="524"/>
      <c r="AD262" s="241"/>
      <c r="AE262" s="241"/>
      <c r="AF262" s="241"/>
      <c r="AG262" s="241"/>
      <c r="AH262" s="241"/>
      <c r="AI262" s="241"/>
      <c r="AJ262" s="529"/>
      <c r="AK262" s="258"/>
      <c r="AL262" s="241"/>
      <c r="AM262" s="242"/>
      <c r="AN262" s="241"/>
      <c r="AO262" s="242"/>
      <c r="AP262" s="241"/>
      <c r="AQ262" s="242"/>
      <c r="AR262" s="241"/>
      <c r="AS262" s="242"/>
      <c r="AT262" s="241"/>
      <c r="AU262" s="241"/>
      <c r="AV262" s="256"/>
      <c r="AW262" s="241"/>
      <c r="AX262" s="256"/>
      <c r="AY262" s="241"/>
      <c r="AZ262" s="256"/>
      <c r="BA262" s="239"/>
      <c r="BB262" s="242"/>
      <c r="BC262" s="239"/>
      <c r="BD262" s="242"/>
      <c r="BE262" s="239"/>
      <c r="BF262" s="241"/>
      <c r="BG262" s="239"/>
      <c r="BH262" s="241"/>
      <c r="BI262" s="260"/>
      <c r="BJ262" s="241"/>
      <c r="BK262" s="260"/>
      <c r="BL262" s="239"/>
      <c r="BM262" s="256"/>
      <c r="BN262" s="241"/>
      <c r="BO262" s="243"/>
      <c r="BP262" s="241"/>
      <c r="BQ262" s="239"/>
      <c r="BR262" s="276"/>
      <c r="BS262" s="256"/>
      <c r="BT262" s="260"/>
      <c r="BU262" s="261"/>
      <c r="BV262" s="260"/>
      <c r="BW262" s="239"/>
      <c r="BX262" s="260"/>
      <c r="BY262" s="260"/>
      <c r="BZ262" s="239"/>
      <c r="CA262" s="260"/>
      <c r="CB262" s="239"/>
      <c r="CC262" s="260"/>
      <c r="CD262" s="539"/>
      <c r="CE262" s="239"/>
      <c r="CF262" s="276"/>
      <c r="CG262" s="256"/>
      <c r="CH262" s="259"/>
      <c r="CI262" s="347"/>
      <c r="CJ262" s="540"/>
      <c r="CK262" s="256"/>
      <c r="CL262" s="244">
        <v>1</v>
      </c>
      <c r="CM262" s="274">
        <f t="shared" si="4"/>
        <v>2015</v>
      </c>
      <c r="CN262" s="244">
        <f>IF('Grille de saisie'!CM262&lt;18,0,IF('Grille de saisie'!CM262&lt;40,1,IF('Grille de saisie'!CM262&lt;65,2,IF('Grille de saisie'!CM262&lt;100,3,4))))</f>
        <v>4</v>
      </c>
      <c r="CO262" s="236">
        <f>IF(AND('Grille de saisie'!C262=1,'Grille de saisie'!BZ262=0),1,IF(AND('Grille de saisie'!C262="",'Grille de saisie'!BZ262=""),3,IF(AND('Grille de saisie'!C262=5),3,2)))</f>
        <v>3</v>
      </c>
      <c r="CP262" s="236">
        <f>IF(AND('Grille de saisie'!C262=1,'Grille de saisie'!BZ262=0),1,IF(AND('Grille de saisie'!C262=1,'Grille de saisie'!BZ262=1),2,IF(AND('Grille de saisie'!C262=2,'Grille de saisie'!BZ262=0),2,IF(AND('Grille de saisie'!C262=3,'Grille de saisie'!BZ262=0),3,IF(AND('Grille de saisie'!C262=2,'Grille de saisie'!BZ262=1),3,IF(AND('Grille de saisie'!C262=1,'Grille de saisie'!BZ262=2),3,IF(AND('Grille de saisie'!C262="",'Grille de saisie'!BZ262=""),5,IF(AND('Grille de saisie'!C262=5),5,4))))))))</f>
        <v>5</v>
      </c>
      <c r="CQ262" s="237">
        <f>IF('Grille de saisie'!BZ262="",3,IF('Grille de saisie'!C262=5,3,IF('Grille de saisie'!BZ262=0,1,2)))</f>
        <v>3</v>
      </c>
    </row>
    <row r="263" spans="1:95" ht="15">
      <c r="A263" s="510">
        <v>261</v>
      </c>
      <c r="B263" s="240"/>
      <c r="C263" s="513"/>
      <c r="D263" s="240"/>
      <c r="E263" s="517"/>
      <c r="F263" s="265"/>
      <c r="G263" s="513"/>
      <c r="H263" s="265"/>
      <c r="I263" s="520"/>
      <c r="J263" s="241"/>
      <c r="K263" s="520"/>
      <c r="L263" s="241"/>
      <c r="M263" s="521"/>
      <c r="N263" s="241"/>
      <c r="O263" s="521"/>
      <c r="P263" s="241"/>
      <c r="Q263" s="520"/>
      <c r="R263" s="241"/>
      <c r="S263" s="520"/>
      <c r="T263" s="241"/>
      <c r="U263" s="520"/>
      <c r="V263" s="241"/>
      <c r="W263" s="242"/>
      <c r="X263" s="241"/>
      <c r="Y263" s="242"/>
      <c r="Z263" s="241"/>
      <c r="AA263" s="241"/>
      <c r="AB263" s="275"/>
      <c r="AC263" s="524"/>
      <c r="AD263" s="241"/>
      <c r="AE263" s="241"/>
      <c r="AF263" s="241"/>
      <c r="AG263" s="241"/>
      <c r="AH263" s="241"/>
      <c r="AI263" s="241"/>
      <c r="AJ263" s="529"/>
      <c r="AK263" s="258"/>
      <c r="AL263" s="241"/>
      <c r="AM263" s="242"/>
      <c r="AN263" s="241"/>
      <c r="AO263" s="242"/>
      <c r="AP263" s="241"/>
      <c r="AQ263" s="242"/>
      <c r="AR263" s="241"/>
      <c r="AS263" s="242"/>
      <c r="AT263" s="241"/>
      <c r="AU263" s="241"/>
      <c r="AV263" s="256"/>
      <c r="AW263" s="241"/>
      <c r="AX263" s="256"/>
      <c r="AY263" s="241"/>
      <c r="AZ263" s="256"/>
      <c r="BA263" s="239"/>
      <c r="BB263" s="242"/>
      <c r="BC263" s="239"/>
      <c r="BD263" s="242"/>
      <c r="BE263" s="239"/>
      <c r="BF263" s="241"/>
      <c r="BG263" s="239"/>
      <c r="BH263" s="241"/>
      <c r="BI263" s="260"/>
      <c r="BJ263" s="241"/>
      <c r="BK263" s="260"/>
      <c r="BL263" s="239"/>
      <c r="BM263" s="256"/>
      <c r="BN263" s="241"/>
      <c r="BO263" s="243"/>
      <c r="BP263" s="241"/>
      <c r="BQ263" s="239"/>
      <c r="BR263" s="276"/>
      <c r="BS263" s="256"/>
      <c r="BT263" s="260"/>
      <c r="BU263" s="261"/>
      <c r="BV263" s="260"/>
      <c r="BW263" s="239"/>
      <c r="BX263" s="260"/>
      <c r="BY263" s="260"/>
      <c r="BZ263" s="239"/>
      <c r="CA263" s="260"/>
      <c r="CB263" s="239"/>
      <c r="CC263" s="260"/>
      <c r="CD263" s="539"/>
      <c r="CE263" s="239"/>
      <c r="CF263" s="276"/>
      <c r="CG263" s="256"/>
      <c r="CH263" s="259"/>
      <c r="CI263" s="347"/>
      <c r="CJ263" s="540"/>
      <c r="CK263" s="256"/>
      <c r="CL263" s="244">
        <v>1</v>
      </c>
      <c r="CM263" s="274">
        <f t="shared" si="4"/>
        <v>2015</v>
      </c>
      <c r="CN263" s="244">
        <f>IF('Grille de saisie'!CM263&lt;18,0,IF('Grille de saisie'!CM263&lt;40,1,IF('Grille de saisie'!CM263&lt;65,2,IF('Grille de saisie'!CM263&lt;100,3,4))))</f>
        <v>4</v>
      </c>
      <c r="CO263" s="236">
        <f>IF(AND('Grille de saisie'!C263=1,'Grille de saisie'!BZ263=0),1,IF(AND('Grille de saisie'!C263="",'Grille de saisie'!BZ263=""),3,IF(AND('Grille de saisie'!C263=5),3,2)))</f>
        <v>3</v>
      </c>
      <c r="CP263" s="236">
        <f>IF(AND('Grille de saisie'!C263=1,'Grille de saisie'!BZ263=0),1,IF(AND('Grille de saisie'!C263=1,'Grille de saisie'!BZ263=1),2,IF(AND('Grille de saisie'!C263=2,'Grille de saisie'!BZ263=0),2,IF(AND('Grille de saisie'!C263=3,'Grille de saisie'!BZ263=0),3,IF(AND('Grille de saisie'!C263=2,'Grille de saisie'!BZ263=1),3,IF(AND('Grille de saisie'!C263=1,'Grille de saisie'!BZ263=2),3,IF(AND('Grille de saisie'!C263="",'Grille de saisie'!BZ263=""),5,IF(AND('Grille de saisie'!C263=5),5,4))))))))</f>
        <v>5</v>
      </c>
      <c r="CQ263" s="237">
        <f>IF('Grille de saisie'!BZ263="",3,IF('Grille de saisie'!C263=5,3,IF('Grille de saisie'!BZ263=0,1,2)))</f>
        <v>3</v>
      </c>
    </row>
    <row r="264" spans="1:95" ht="15">
      <c r="A264" s="511">
        <v>262</v>
      </c>
      <c r="B264" s="240"/>
      <c r="C264" s="513"/>
      <c r="D264" s="240"/>
      <c r="E264" s="517"/>
      <c r="F264" s="265"/>
      <c r="G264" s="513"/>
      <c r="H264" s="265"/>
      <c r="I264" s="520"/>
      <c r="J264" s="241"/>
      <c r="K264" s="520"/>
      <c r="L264" s="241"/>
      <c r="M264" s="521"/>
      <c r="N264" s="241"/>
      <c r="O264" s="521"/>
      <c r="P264" s="241"/>
      <c r="Q264" s="520"/>
      <c r="R264" s="241"/>
      <c r="S264" s="520"/>
      <c r="T264" s="241"/>
      <c r="U264" s="520"/>
      <c r="V264" s="241"/>
      <c r="W264" s="242"/>
      <c r="X264" s="241"/>
      <c r="Y264" s="242"/>
      <c r="Z264" s="241"/>
      <c r="AA264" s="241"/>
      <c r="AB264" s="275"/>
      <c r="AC264" s="524"/>
      <c r="AD264" s="241"/>
      <c r="AE264" s="241"/>
      <c r="AF264" s="241"/>
      <c r="AG264" s="241"/>
      <c r="AH264" s="241"/>
      <c r="AI264" s="241"/>
      <c r="AJ264" s="529"/>
      <c r="AK264" s="258"/>
      <c r="AL264" s="241"/>
      <c r="AM264" s="242"/>
      <c r="AN264" s="241"/>
      <c r="AO264" s="242"/>
      <c r="AP264" s="241"/>
      <c r="AQ264" s="242"/>
      <c r="AR264" s="241"/>
      <c r="AS264" s="242"/>
      <c r="AT264" s="241"/>
      <c r="AU264" s="241"/>
      <c r="AV264" s="256"/>
      <c r="AW264" s="241"/>
      <c r="AX264" s="256"/>
      <c r="AY264" s="241"/>
      <c r="AZ264" s="256"/>
      <c r="BA264" s="239"/>
      <c r="BB264" s="242"/>
      <c r="BC264" s="239"/>
      <c r="BD264" s="242"/>
      <c r="BE264" s="239"/>
      <c r="BF264" s="241"/>
      <c r="BG264" s="239"/>
      <c r="BH264" s="241"/>
      <c r="BI264" s="260"/>
      <c r="BJ264" s="241"/>
      <c r="BK264" s="260"/>
      <c r="BL264" s="239"/>
      <c r="BM264" s="256"/>
      <c r="BN264" s="241"/>
      <c r="BO264" s="243"/>
      <c r="BP264" s="241"/>
      <c r="BQ264" s="239"/>
      <c r="BR264" s="276"/>
      <c r="BS264" s="256"/>
      <c r="BT264" s="260"/>
      <c r="BU264" s="261"/>
      <c r="BV264" s="260"/>
      <c r="BW264" s="239"/>
      <c r="BX264" s="260"/>
      <c r="BY264" s="260"/>
      <c r="BZ264" s="239"/>
      <c r="CA264" s="260"/>
      <c r="CB264" s="239"/>
      <c r="CC264" s="260"/>
      <c r="CD264" s="539"/>
      <c r="CE264" s="239"/>
      <c r="CF264" s="276"/>
      <c r="CG264" s="256"/>
      <c r="CH264" s="259"/>
      <c r="CI264" s="347"/>
      <c r="CJ264" s="540"/>
      <c r="CK264" s="256"/>
      <c r="CL264" s="244">
        <v>1</v>
      </c>
      <c r="CM264" s="274">
        <f t="shared" si="4"/>
        <v>2015</v>
      </c>
      <c r="CN264" s="244">
        <f>IF('Grille de saisie'!CM264&lt;18,0,IF('Grille de saisie'!CM264&lt;40,1,IF('Grille de saisie'!CM264&lt;65,2,IF('Grille de saisie'!CM264&lt;100,3,4))))</f>
        <v>4</v>
      </c>
      <c r="CO264" s="236">
        <f>IF(AND('Grille de saisie'!C264=1,'Grille de saisie'!BZ264=0),1,IF(AND('Grille de saisie'!C264="",'Grille de saisie'!BZ264=""),3,IF(AND('Grille de saisie'!C264=5),3,2)))</f>
        <v>3</v>
      </c>
      <c r="CP264" s="236">
        <f>IF(AND('Grille de saisie'!C264=1,'Grille de saisie'!BZ264=0),1,IF(AND('Grille de saisie'!C264=1,'Grille de saisie'!BZ264=1),2,IF(AND('Grille de saisie'!C264=2,'Grille de saisie'!BZ264=0),2,IF(AND('Grille de saisie'!C264=3,'Grille de saisie'!BZ264=0),3,IF(AND('Grille de saisie'!C264=2,'Grille de saisie'!BZ264=1),3,IF(AND('Grille de saisie'!C264=1,'Grille de saisie'!BZ264=2),3,IF(AND('Grille de saisie'!C264="",'Grille de saisie'!BZ264=""),5,IF(AND('Grille de saisie'!C264=5),5,4))))))))</f>
        <v>5</v>
      </c>
      <c r="CQ264" s="237">
        <f>IF('Grille de saisie'!BZ264="",3,IF('Grille de saisie'!C264=5,3,IF('Grille de saisie'!BZ264=0,1,2)))</f>
        <v>3</v>
      </c>
    </row>
    <row r="265" spans="1:95" ht="15">
      <c r="A265" s="510">
        <v>263</v>
      </c>
      <c r="B265" s="240"/>
      <c r="C265" s="513"/>
      <c r="D265" s="240"/>
      <c r="E265" s="517"/>
      <c r="F265" s="265"/>
      <c r="G265" s="513"/>
      <c r="H265" s="265"/>
      <c r="I265" s="520"/>
      <c r="J265" s="241"/>
      <c r="K265" s="520"/>
      <c r="L265" s="241"/>
      <c r="M265" s="521"/>
      <c r="N265" s="241"/>
      <c r="O265" s="521"/>
      <c r="P265" s="241"/>
      <c r="Q265" s="520"/>
      <c r="R265" s="241"/>
      <c r="S265" s="520"/>
      <c r="T265" s="241"/>
      <c r="U265" s="520"/>
      <c r="V265" s="241"/>
      <c r="W265" s="242"/>
      <c r="X265" s="241"/>
      <c r="Y265" s="242"/>
      <c r="Z265" s="241"/>
      <c r="AA265" s="241"/>
      <c r="AB265" s="275"/>
      <c r="AC265" s="524"/>
      <c r="AD265" s="241"/>
      <c r="AE265" s="241"/>
      <c r="AF265" s="241"/>
      <c r="AG265" s="241"/>
      <c r="AH265" s="241"/>
      <c r="AI265" s="241"/>
      <c r="AJ265" s="529"/>
      <c r="AK265" s="258"/>
      <c r="AL265" s="241"/>
      <c r="AM265" s="242"/>
      <c r="AN265" s="241"/>
      <c r="AO265" s="242"/>
      <c r="AP265" s="241"/>
      <c r="AQ265" s="242"/>
      <c r="AR265" s="241"/>
      <c r="AS265" s="242"/>
      <c r="AT265" s="241"/>
      <c r="AU265" s="241"/>
      <c r="AV265" s="256"/>
      <c r="AW265" s="241"/>
      <c r="AX265" s="256"/>
      <c r="AY265" s="241"/>
      <c r="AZ265" s="256"/>
      <c r="BA265" s="239"/>
      <c r="BB265" s="242"/>
      <c r="BC265" s="239"/>
      <c r="BD265" s="242"/>
      <c r="BE265" s="239"/>
      <c r="BF265" s="241"/>
      <c r="BG265" s="239"/>
      <c r="BH265" s="241"/>
      <c r="BI265" s="260"/>
      <c r="BJ265" s="241"/>
      <c r="BK265" s="260"/>
      <c r="BL265" s="239"/>
      <c r="BM265" s="256"/>
      <c r="BN265" s="241"/>
      <c r="BO265" s="243"/>
      <c r="BP265" s="241"/>
      <c r="BQ265" s="239"/>
      <c r="BR265" s="276"/>
      <c r="BS265" s="256"/>
      <c r="BT265" s="260"/>
      <c r="BU265" s="261"/>
      <c r="BV265" s="260"/>
      <c r="BW265" s="239"/>
      <c r="BX265" s="260"/>
      <c r="BY265" s="260"/>
      <c r="BZ265" s="239"/>
      <c r="CA265" s="260"/>
      <c r="CB265" s="239"/>
      <c r="CC265" s="260"/>
      <c r="CD265" s="539"/>
      <c r="CE265" s="239"/>
      <c r="CF265" s="276"/>
      <c r="CG265" s="256"/>
      <c r="CH265" s="259"/>
      <c r="CI265" s="347"/>
      <c r="CJ265" s="540"/>
      <c r="CK265" s="256"/>
      <c r="CL265" s="244">
        <v>1</v>
      </c>
      <c r="CM265" s="274">
        <f t="shared" si="4"/>
        <v>2015</v>
      </c>
      <c r="CN265" s="244">
        <f>IF('Grille de saisie'!CM265&lt;18,0,IF('Grille de saisie'!CM265&lt;40,1,IF('Grille de saisie'!CM265&lt;65,2,IF('Grille de saisie'!CM265&lt;100,3,4))))</f>
        <v>4</v>
      </c>
      <c r="CO265" s="236">
        <f>IF(AND('Grille de saisie'!C265=1,'Grille de saisie'!BZ265=0),1,IF(AND('Grille de saisie'!C265="",'Grille de saisie'!BZ265=""),3,IF(AND('Grille de saisie'!C265=5),3,2)))</f>
        <v>3</v>
      </c>
      <c r="CP265" s="236">
        <f>IF(AND('Grille de saisie'!C265=1,'Grille de saisie'!BZ265=0),1,IF(AND('Grille de saisie'!C265=1,'Grille de saisie'!BZ265=1),2,IF(AND('Grille de saisie'!C265=2,'Grille de saisie'!BZ265=0),2,IF(AND('Grille de saisie'!C265=3,'Grille de saisie'!BZ265=0),3,IF(AND('Grille de saisie'!C265=2,'Grille de saisie'!BZ265=1),3,IF(AND('Grille de saisie'!C265=1,'Grille de saisie'!BZ265=2),3,IF(AND('Grille de saisie'!C265="",'Grille de saisie'!BZ265=""),5,IF(AND('Grille de saisie'!C265=5),5,4))))))))</f>
        <v>5</v>
      </c>
      <c r="CQ265" s="237">
        <f>IF('Grille de saisie'!BZ265="",3,IF('Grille de saisie'!C265=5,3,IF('Grille de saisie'!BZ265=0,1,2)))</f>
        <v>3</v>
      </c>
    </row>
    <row r="266" spans="1:95" ht="15">
      <c r="A266" s="510">
        <v>264</v>
      </c>
      <c r="B266" s="240"/>
      <c r="C266" s="513"/>
      <c r="D266" s="240"/>
      <c r="E266" s="517"/>
      <c r="F266" s="265"/>
      <c r="G266" s="513"/>
      <c r="H266" s="265"/>
      <c r="I266" s="520"/>
      <c r="J266" s="241"/>
      <c r="K266" s="520"/>
      <c r="L266" s="241"/>
      <c r="M266" s="521"/>
      <c r="N266" s="241"/>
      <c r="O266" s="521"/>
      <c r="P266" s="241"/>
      <c r="Q266" s="520"/>
      <c r="R266" s="241"/>
      <c r="S266" s="520"/>
      <c r="T266" s="241"/>
      <c r="U266" s="520"/>
      <c r="V266" s="241"/>
      <c r="W266" s="242"/>
      <c r="X266" s="241"/>
      <c r="Y266" s="242"/>
      <c r="Z266" s="241"/>
      <c r="AA266" s="241"/>
      <c r="AB266" s="275"/>
      <c r="AC266" s="524"/>
      <c r="AD266" s="241"/>
      <c r="AE266" s="241"/>
      <c r="AF266" s="241"/>
      <c r="AG266" s="241"/>
      <c r="AH266" s="241"/>
      <c r="AI266" s="241"/>
      <c r="AJ266" s="529"/>
      <c r="AK266" s="258"/>
      <c r="AL266" s="241"/>
      <c r="AM266" s="242"/>
      <c r="AN266" s="241"/>
      <c r="AO266" s="242"/>
      <c r="AP266" s="241"/>
      <c r="AQ266" s="242"/>
      <c r="AR266" s="241"/>
      <c r="AS266" s="242"/>
      <c r="AT266" s="241"/>
      <c r="AU266" s="241"/>
      <c r="AV266" s="256"/>
      <c r="AW266" s="241"/>
      <c r="AX266" s="256"/>
      <c r="AY266" s="241"/>
      <c r="AZ266" s="256"/>
      <c r="BA266" s="239"/>
      <c r="BB266" s="242"/>
      <c r="BC266" s="239"/>
      <c r="BD266" s="242"/>
      <c r="BE266" s="239"/>
      <c r="BF266" s="241"/>
      <c r="BG266" s="239"/>
      <c r="BH266" s="241"/>
      <c r="BI266" s="260"/>
      <c r="BJ266" s="241"/>
      <c r="BK266" s="260"/>
      <c r="BL266" s="239"/>
      <c r="BM266" s="256"/>
      <c r="BN266" s="241"/>
      <c r="BO266" s="243"/>
      <c r="BP266" s="241"/>
      <c r="BQ266" s="239"/>
      <c r="BR266" s="276"/>
      <c r="BS266" s="256"/>
      <c r="BT266" s="260"/>
      <c r="BU266" s="261"/>
      <c r="BV266" s="260"/>
      <c r="BW266" s="239"/>
      <c r="BX266" s="260"/>
      <c r="BY266" s="260"/>
      <c r="BZ266" s="239"/>
      <c r="CA266" s="260"/>
      <c r="CB266" s="239"/>
      <c r="CC266" s="260"/>
      <c r="CD266" s="539"/>
      <c r="CE266" s="239"/>
      <c r="CF266" s="276"/>
      <c r="CG266" s="256"/>
      <c r="CH266" s="259"/>
      <c r="CI266" s="347"/>
      <c r="CJ266" s="540"/>
      <c r="CK266" s="256"/>
      <c r="CL266" s="244">
        <v>1</v>
      </c>
      <c r="CM266" s="274">
        <f t="shared" si="4"/>
        <v>2015</v>
      </c>
      <c r="CN266" s="244">
        <f>IF('Grille de saisie'!CM266&lt;18,0,IF('Grille de saisie'!CM266&lt;40,1,IF('Grille de saisie'!CM266&lt;65,2,IF('Grille de saisie'!CM266&lt;100,3,4))))</f>
        <v>4</v>
      </c>
      <c r="CO266" s="236">
        <f>IF(AND('Grille de saisie'!C266=1,'Grille de saisie'!BZ266=0),1,IF(AND('Grille de saisie'!C266="",'Grille de saisie'!BZ266=""),3,IF(AND('Grille de saisie'!C266=5),3,2)))</f>
        <v>3</v>
      </c>
      <c r="CP266" s="236">
        <f>IF(AND('Grille de saisie'!C266=1,'Grille de saisie'!BZ266=0),1,IF(AND('Grille de saisie'!C266=1,'Grille de saisie'!BZ266=1),2,IF(AND('Grille de saisie'!C266=2,'Grille de saisie'!BZ266=0),2,IF(AND('Grille de saisie'!C266=3,'Grille de saisie'!BZ266=0),3,IF(AND('Grille de saisie'!C266=2,'Grille de saisie'!BZ266=1),3,IF(AND('Grille de saisie'!C266=1,'Grille de saisie'!BZ266=2),3,IF(AND('Grille de saisie'!C266="",'Grille de saisie'!BZ266=""),5,IF(AND('Grille de saisie'!C266=5),5,4))))))))</f>
        <v>5</v>
      </c>
      <c r="CQ266" s="237">
        <f>IF('Grille de saisie'!BZ266="",3,IF('Grille de saisie'!C266=5,3,IF('Grille de saisie'!BZ266=0,1,2)))</f>
        <v>3</v>
      </c>
    </row>
    <row r="267" spans="1:95" ht="15">
      <c r="A267" s="511">
        <v>265</v>
      </c>
      <c r="B267" s="240"/>
      <c r="C267" s="513"/>
      <c r="D267" s="240"/>
      <c r="E267" s="517"/>
      <c r="F267" s="265"/>
      <c r="G267" s="513"/>
      <c r="H267" s="265"/>
      <c r="I267" s="520"/>
      <c r="J267" s="241"/>
      <c r="K267" s="520"/>
      <c r="L267" s="241"/>
      <c r="M267" s="521"/>
      <c r="N267" s="241"/>
      <c r="O267" s="521"/>
      <c r="P267" s="241"/>
      <c r="Q267" s="520"/>
      <c r="R267" s="241"/>
      <c r="S267" s="520"/>
      <c r="T267" s="241"/>
      <c r="U267" s="520"/>
      <c r="V267" s="241"/>
      <c r="W267" s="242"/>
      <c r="X267" s="241"/>
      <c r="Y267" s="242"/>
      <c r="Z267" s="241"/>
      <c r="AA267" s="241"/>
      <c r="AB267" s="275"/>
      <c r="AC267" s="524"/>
      <c r="AD267" s="241"/>
      <c r="AE267" s="241"/>
      <c r="AF267" s="241"/>
      <c r="AG267" s="241"/>
      <c r="AH267" s="241"/>
      <c r="AI267" s="241"/>
      <c r="AJ267" s="529"/>
      <c r="AK267" s="258"/>
      <c r="AL267" s="241"/>
      <c r="AM267" s="242"/>
      <c r="AN267" s="241"/>
      <c r="AO267" s="242"/>
      <c r="AP267" s="241"/>
      <c r="AQ267" s="242"/>
      <c r="AR267" s="241"/>
      <c r="AS267" s="242"/>
      <c r="AT267" s="241"/>
      <c r="AU267" s="241"/>
      <c r="AV267" s="256"/>
      <c r="AW267" s="241"/>
      <c r="AX267" s="256"/>
      <c r="AY267" s="241"/>
      <c r="AZ267" s="256"/>
      <c r="BA267" s="239"/>
      <c r="BB267" s="242"/>
      <c r="BC267" s="239"/>
      <c r="BD267" s="242"/>
      <c r="BE267" s="239"/>
      <c r="BF267" s="241"/>
      <c r="BG267" s="239"/>
      <c r="BH267" s="241"/>
      <c r="BI267" s="260"/>
      <c r="BJ267" s="241"/>
      <c r="BK267" s="260"/>
      <c r="BL267" s="239"/>
      <c r="BM267" s="256"/>
      <c r="BN267" s="241"/>
      <c r="BO267" s="243"/>
      <c r="BP267" s="241"/>
      <c r="BQ267" s="239"/>
      <c r="BR267" s="276"/>
      <c r="BS267" s="256"/>
      <c r="BT267" s="260"/>
      <c r="BU267" s="261"/>
      <c r="BV267" s="260"/>
      <c r="BW267" s="239"/>
      <c r="BX267" s="260"/>
      <c r="BY267" s="260"/>
      <c r="BZ267" s="239"/>
      <c r="CA267" s="260"/>
      <c r="CB267" s="239"/>
      <c r="CC267" s="260"/>
      <c r="CD267" s="539"/>
      <c r="CE267" s="239"/>
      <c r="CF267" s="276"/>
      <c r="CG267" s="256"/>
      <c r="CH267" s="259"/>
      <c r="CI267" s="347"/>
      <c r="CJ267" s="540"/>
      <c r="CK267" s="256"/>
      <c r="CL267" s="244">
        <v>1</v>
      </c>
      <c r="CM267" s="274">
        <f t="shared" si="4"/>
        <v>2015</v>
      </c>
      <c r="CN267" s="244">
        <f>IF('Grille de saisie'!CM267&lt;18,0,IF('Grille de saisie'!CM267&lt;40,1,IF('Grille de saisie'!CM267&lt;65,2,IF('Grille de saisie'!CM267&lt;100,3,4))))</f>
        <v>4</v>
      </c>
      <c r="CO267" s="236">
        <f>IF(AND('Grille de saisie'!C267=1,'Grille de saisie'!BZ267=0),1,IF(AND('Grille de saisie'!C267="",'Grille de saisie'!BZ267=""),3,IF(AND('Grille de saisie'!C267=5),3,2)))</f>
        <v>3</v>
      </c>
      <c r="CP267" s="236">
        <f>IF(AND('Grille de saisie'!C267=1,'Grille de saisie'!BZ267=0),1,IF(AND('Grille de saisie'!C267=1,'Grille de saisie'!BZ267=1),2,IF(AND('Grille de saisie'!C267=2,'Grille de saisie'!BZ267=0),2,IF(AND('Grille de saisie'!C267=3,'Grille de saisie'!BZ267=0),3,IF(AND('Grille de saisie'!C267=2,'Grille de saisie'!BZ267=1),3,IF(AND('Grille de saisie'!C267=1,'Grille de saisie'!BZ267=2),3,IF(AND('Grille de saisie'!C267="",'Grille de saisie'!BZ267=""),5,IF(AND('Grille de saisie'!C267=5),5,4))))))))</f>
        <v>5</v>
      </c>
      <c r="CQ267" s="237">
        <f>IF('Grille de saisie'!BZ267="",3,IF('Grille de saisie'!C267=5,3,IF('Grille de saisie'!BZ267=0,1,2)))</f>
        <v>3</v>
      </c>
    </row>
    <row r="268" spans="1:95" ht="15">
      <c r="A268" s="510">
        <v>266</v>
      </c>
      <c r="B268" s="240"/>
      <c r="C268" s="513"/>
      <c r="D268" s="240"/>
      <c r="E268" s="517"/>
      <c r="F268" s="265"/>
      <c r="G268" s="513"/>
      <c r="H268" s="265"/>
      <c r="I268" s="520"/>
      <c r="J268" s="241"/>
      <c r="K268" s="520"/>
      <c r="L268" s="241"/>
      <c r="M268" s="521"/>
      <c r="N268" s="241"/>
      <c r="O268" s="521"/>
      <c r="P268" s="241"/>
      <c r="Q268" s="520"/>
      <c r="R268" s="241"/>
      <c r="S268" s="520"/>
      <c r="T268" s="241"/>
      <c r="U268" s="520"/>
      <c r="V268" s="241"/>
      <c r="W268" s="242"/>
      <c r="X268" s="241"/>
      <c r="Y268" s="242"/>
      <c r="Z268" s="241"/>
      <c r="AA268" s="241"/>
      <c r="AB268" s="275"/>
      <c r="AC268" s="524"/>
      <c r="AD268" s="241"/>
      <c r="AE268" s="241"/>
      <c r="AF268" s="241"/>
      <c r="AG268" s="241"/>
      <c r="AH268" s="241"/>
      <c r="AI268" s="241"/>
      <c r="AJ268" s="529"/>
      <c r="AK268" s="258"/>
      <c r="AL268" s="241"/>
      <c r="AM268" s="242"/>
      <c r="AN268" s="241"/>
      <c r="AO268" s="242"/>
      <c r="AP268" s="241"/>
      <c r="AQ268" s="242"/>
      <c r="AR268" s="241"/>
      <c r="AS268" s="242"/>
      <c r="AT268" s="241"/>
      <c r="AU268" s="241"/>
      <c r="AV268" s="256"/>
      <c r="AW268" s="241"/>
      <c r="AX268" s="256"/>
      <c r="AY268" s="241"/>
      <c r="AZ268" s="256"/>
      <c r="BA268" s="239"/>
      <c r="BB268" s="242"/>
      <c r="BC268" s="239"/>
      <c r="BD268" s="242"/>
      <c r="BE268" s="239"/>
      <c r="BF268" s="241"/>
      <c r="BG268" s="239"/>
      <c r="BH268" s="241"/>
      <c r="BI268" s="260"/>
      <c r="BJ268" s="241"/>
      <c r="BK268" s="260"/>
      <c r="BL268" s="239"/>
      <c r="BM268" s="256"/>
      <c r="BN268" s="241"/>
      <c r="BO268" s="243"/>
      <c r="BP268" s="241"/>
      <c r="BQ268" s="239"/>
      <c r="BR268" s="276"/>
      <c r="BS268" s="256"/>
      <c r="BT268" s="260"/>
      <c r="BU268" s="261"/>
      <c r="BV268" s="260"/>
      <c r="BW268" s="239"/>
      <c r="BX268" s="260"/>
      <c r="BY268" s="260"/>
      <c r="BZ268" s="239"/>
      <c r="CA268" s="260"/>
      <c r="CB268" s="239"/>
      <c r="CC268" s="260"/>
      <c r="CD268" s="539"/>
      <c r="CE268" s="239"/>
      <c r="CF268" s="276"/>
      <c r="CG268" s="256"/>
      <c r="CH268" s="259"/>
      <c r="CI268" s="347"/>
      <c r="CJ268" s="540"/>
      <c r="CK268" s="256"/>
      <c r="CL268" s="244">
        <v>1</v>
      </c>
      <c r="CM268" s="274">
        <f t="shared" si="4"/>
        <v>2015</v>
      </c>
      <c r="CN268" s="244">
        <f>IF('Grille de saisie'!CM268&lt;18,0,IF('Grille de saisie'!CM268&lt;40,1,IF('Grille de saisie'!CM268&lt;65,2,IF('Grille de saisie'!CM268&lt;100,3,4))))</f>
        <v>4</v>
      </c>
      <c r="CO268" s="236">
        <f>IF(AND('Grille de saisie'!C268=1,'Grille de saisie'!BZ268=0),1,IF(AND('Grille de saisie'!C268="",'Grille de saisie'!BZ268=""),3,IF(AND('Grille de saisie'!C268=5),3,2)))</f>
        <v>3</v>
      </c>
      <c r="CP268" s="236">
        <f>IF(AND('Grille de saisie'!C268=1,'Grille de saisie'!BZ268=0),1,IF(AND('Grille de saisie'!C268=1,'Grille de saisie'!BZ268=1),2,IF(AND('Grille de saisie'!C268=2,'Grille de saisie'!BZ268=0),2,IF(AND('Grille de saisie'!C268=3,'Grille de saisie'!BZ268=0),3,IF(AND('Grille de saisie'!C268=2,'Grille de saisie'!BZ268=1),3,IF(AND('Grille de saisie'!C268=1,'Grille de saisie'!BZ268=2),3,IF(AND('Grille de saisie'!C268="",'Grille de saisie'!BZ268=""),5,IF(AND('Grille de saisie'!C268=5),5,4))))))))</f>
        <v>5</v>
      </c>
      <c r="CQ268" s="237">
        <f>IF('Grille de saisie'!BZ268="",3,IF('Grille de saisie'!C268=5,3,IF('Grille de saisie'!BZ268=0,1,2)))</f>
        <v>3</v>
      </c>
    </row>
    <row r="269" spans="1:95" ht="15">
      <c r="A269" s="510">
        <v>267</v>
      </c>
      <c r="B269" s="240"/>
      <c r="C269" s="513"/>
      <c r="D269" s="240"/>
      <c r="E269" s="517"/>
      <c r="F269" s="265"/>
      <c r="G269" s="513"/>
      <c r="H269" s="265"/>
      <c r="I269" s="520"/>
      <c r="J269" s="241"/>
      <c r="K269" s="520"/>
      <c r="L269" s="241"/>
      <c r="M269" s="521"/>
      <c r="N269" s="241"/>
      <c r="O269" s="521"/>
      <c r="P269" s="241"/>
      <c r="Q269" s="520"/>
      <c r="R269" s="241"/>
      <c r="S269" s="520"/>
      <c r="T269" s="241"/>
      <c r="U269" s="520"/>
      <c r="V269" s="241"/>
      <c r="W269" s="242"/>
      <c r="X269" s="241"/>
      <c r="Y269" s="242"/>
      <c r="Z269" s="241"/>
      <c r="AA269" s="241"/>
      <c r="AB269" s="275"/>
      <c r="AC269" s="524"/>
      <c r="AD269" s="241"/>
      <c r="AE269" s="241"/>
      <c r="AF269" s="241"/>
      <c r="AG269" s="241"/>
      <c r="AH269" s="241"/>
      <c r="AI269" s="241"/>
      <c r="AJ269" s="529"/>
      <c r="AK269" s="258"/>
      <c r="AL269" s="241"/>
      <c r="AM269" s="242"/>
      <c r="AN269" s="241"/>
      <c r="AO269" s="242"/>
      <c r="AP269" s="241"/>
      <c r="AQ269" s="242"/>
      <c r="AR269" s="241"/>
      <c r="AS269" s="242"/>
      <c r="AT269" s="241"/>
      <c r="AU269" s="241"/>
      <c r="AV269" s="256"/>
      <c r="AW269" s="241"/>
      <c r="AX269" s="256"/>
      <c r="AY269" s="241"/>
      <c r="AZ269" s="256"/>
      <c r="BA269" s="239"/>
      <c r="BB269" s="242"/>
      <c r="BC269" s="239"/>
      <c r="BD269" s="242"/>
      <c r="BE269" s="239"/>
      <c r="BF269" s="241"/>
      <c r="BG269" s="239"/>
      <c r="BH269" s="241"/>
      <c r="BI269" s="260"/>
      <c r="BJ269" s="241"/>
      <c r="BK269" s="260"/>
      <c r="BL269" s="239"/>
      <c r="BM269" s="256"/>
      <c r="BN269" s="241"/>
      <c r="BO269" s="243"/>
      <c r="BP269" s="241"/>
      <c r="BQ269" s="239"/>
      <c r="BR269" s="276"/>
      <c r="BS269" s="256"/>
      <c r="BT269" s="260"/>
      <c r="BU269" s="261"/>
      <c r="BV269" s="260"/>
      <c r="BW269" s="239"/>
      <c r="BX269" s="260"/>
      <c r="BY269" s="260"/>
      <c r="BZ269" s="239"/>
      <c r="CA269" s="260"/>
      <c r="CB269" s="239"/>
      <c r="CC269" s="260"/>
      <c r="CD269" s="539"/>
      <c r="CE269" s="239"/>
      <c r="CF269" s="276"/>
      <c r="CG269" s="256"/>
      <c r="CH269" s="259"/>
      <c r="CI269" s="347"/>
      <c r="CJ269" s="540"/>
      <c r="CK269" s="256"/>
      <c r="CL269" s="244">
        <v>1</v>
      </c>
      <c r="CM269" s="274">
        <f t="shared" si="4"/>
        <v>2015</v>
      </c>
      <c r="CN269" s="244">
        <f>IF('Grille de saisie'!CM269&lt;18,0,IF('Grille de saisie'!CM269&lt;40,1,IF('Grille de saisie'!CM269&lt;65,2,IF('Grille de saisie'!CM269&lt;100,3,4))))</f>
        <v>4</v>
      </c>
      <c r="CO269" s="236">
        <f>IF(AND('Grille de saisie'!C269=1,'Grille de saisie'!BZ269=0),1,IF(AND('Grille de saisie'!C269="",'Grille de saisie'!BZ269=""),3,IF(AND('Grille de saisie'!C269=5),3,2)))</f>
        <v>3</v>
      </c>
      <c r="CP269" s="236">
        <f>IF(AND('Grille de saisie'!C269=1,'Grille de saisie'!BZ269=0),1,IF(AND('Grille de saisie'!C269=1,'Grille de saisie'!BZ269=1),2,IF(AND('Grille de saisie'!C269=2,'Grille de saisie'!BZ269=0),2,IF(AND('Grille de saisie'!C269=3,'Grille de saisie'!BZ269=0),3,IF(AND('Grille de saisie'!C269=2,'Grille de saisie'!BZ269=1),3,IF(AND('Grille de saisie'!C269=1,'Grille de saisie'!BZ269=2),3,IF(AND('Grille de saisie'!C269="",'Grille de saisie'!BZ269=""),5,IF(AND('Grille de saisie'!C269=5),5,4))))))))</f>
        <v>5</v>
      </c>
      <c r="CQ269" s="237">
        <f>IF('Grille de saisie'!BZ269="",3,IF('Grille de saisie'!C269=5,3,IF('Grille de saisie'!BZ269=0,1,2)))</f>
        <v>3</v>
      </c>
    </row>
    <row r="270" spans="1:95" ht="15">
      <c r="A270" s="511">
        <v>268</v>
      </c>
      <c r="B270" s="240"/>
      <c r="C270" s="513"/>
      <c r="D270" s="240"/>
      <c r="E270" s="517"/>
      <c r="F270" s="265"/>
      <c r="G270" s="513"/>
      <c r="H270" s="265"/>
      <c r="I270" s="520"/>
      <c r="J270" s="241"/>
      <c r="K270" s="520"/>
      <c r="L270" s="241"/>
      <c r="M270" s="521"/>
      <c r="N270" s="241"/>
      <c r="O270" s="521"/>
      <c r="P270" s="241"/>
      <c r="Q270" s="520"/>
      <c r="R270" s="241"/>
      <c r="S270" s="520"/>
      <c r="T270" s="241"/>
      <c r="U270" s="520"/>
      <c r="V270" s="241"/>
      <c r="W270" s="242"/>
      <c r="X270" s="241"/>
      <c r="Y270" s="242"/>
      <c r="Z270" s="241"/>
      <c r="AA270" s="241"/>
      <c r="AB270" s="275"/>
      <c r="AC270" s="524"/>
      <c r="AD270" s="241"/>
      <c r="AE270" s="241"/>
      <c r="AF270" s="241"/>
      <c r="AG270" s="241"/>
      <c r="AH270" s="241"/>
      <c r="AI270" s="241"/>
      <c r="AJ270" s="529"/>
      <c r="AK270" s="258"/>
      <c r="AL270" s="241"/>
      <c r="AM270" s="242"/>
      <c r="AN270" s="241"/>
      <c r="AO270" s="242"/>
      <c r="AP270" s="241"/>
      <c r="AQ270" s="242"/>
      <c r="AR270" s="241"/>
      <c r="AS270" s="242"/>
      <c r="AT270" s="241"/>
      <c r="AU270" s="241"/>
      <c r="AV270" s="256"/>
      <c r="AW270" s="241"/>
      <c r="AX270" s="256"/>
      <c r="AY270" s="241"/>
      <c r="AZ270" s="256"/>
      <c r="BA270" s="239"/>
      <c r="BB270" s="242"/>
      <c r="BC270" s="239"/>
      <c r="BD270" s="242"/>
      <c r="BE270" s="239"/>
      <c r="BF270" s="241"/>
      <c r="BG270" s="239"/>
      <c r="BH270" s="241"/>
      <c r="BI270" s="260"/>
      <c r="BJ270" s="241"/>
      <c r="BK270" s="260"/>
      <c r="BL270" s="239"/>
      <c r="BM270" s="256"/>
      <c r="BN270" s="241"/>
      <c r="BO270" s="243"/>
      <c r="BP270" s="241"/>
      <c r="BQ270" s="239"/>
      <c r="BR270" s="276"/>
      <c r="BS270" s="256"/>
      <c r="BT270" s="260"/>
      <c r="BU270" s="261"/>
      <c r="BV270" s="260"/>
      <c r="BW270" s="239"/>
      <c r="BX270" s="260"/>
      <c r="BY270" s="260"/>
      <c r="BZ270" s="239"/>
      <c r="CA270" s="260"/>
      <c r="CB270" s="239"/>
      <c r="CC270" s="260"/>
      <c r="CD270" s="539"/>
      <c r="CE270" s="239"/>
      <c r="CF270" s="276"/>
      <c r="CG270" s="256"/>
      <c r="CH270" s="259"/>
      <c r="CI270" s="347"/>
      <c r="CJ270" s="540"/>
      <c r="CK270" s="256"/>
      <c r="CL270" s="244">
        <v>1</v>
      </c>
      <c r="CM270" s="274">
        <f t="shared" si="4"/>
        <v>2015</v>
      </c>
      <c r="CN270" s="244">
        <f>IF('Grille de saisie'!CM270&lt;18,0,IF('Grille de saisie'!CM270&lt;40,1,IF('Grille de saisie'!CM270&lt;65,2,IF('Grille de saisie'!CM270&lt;100,3,4))))</f>
        <v>4</v>
      </c>
      <c r="CO270" s="236">
        <f>IF(AND('Grille de saisie'!C270=1,'Grille de saisie'!BZ270=0),1,IF(AND('Grille de saisie'!C270="",'Grille de saisie'!BZ270=""),3,IF(AND('Grille de saisie'!C270=5),3,2)))</f>
        <v>3</v>
      </c>
      <c r="CP270" s="236">
        <f>IF(AND('Grille de saisie'!C270=1,'Grille de saisie'!BZ270=0),1,IF(AND('Grille de saisie'!C270=1,'Grille de saisie'!BZ270=1),2,IF(AND('Grille de saisie'!C270=2,'Grille de saisie'!BZ270=0),2,IF(AND('Grille de saisie'!C270=3,'Grille de saisie'!BZ270=0),3,IF(AND('Grille de saisie'!C270=2,'Grille de saisie'!BZ270=1),3,IF(AND('Grille de saisie'!C270=1,'Grille de saisie'!BZ270=2),3,IF(AND('Grille de saisie'!C270="",'Grille de saisie'!BZ270=""),5,IF(AND('Grille de saisie'!C270=5),5,4))))))))</f>
        <v>5</v>
      </c>
      <c r="CQ270" s="237">
        <f>IF('Grille de saisie'!BZ270="",3,IF('Grille de saisie'!C270=5,3,IF('Grille de saisie'!BZ270=0,1,2)))</f>
        <v>3</v>
      </c>
    </row>
    <row r="271" spans="1:95" ht="15">
      <c r="A271" s="510">
        <v>269</v>
      </c>
      <c r="B271" s="240"/>
      <c r="C271" s="513"/>
      <c r="D271" s="240"/>
      <c r="E271" s="517"/>
      <c r="F271" s="265"/>
      <c r="G271" s="513"/>
      <c r="H271" s="265"/>
      <c r="I271" s="520"/>
      <c r="J271" s="241"/>
      <c r="K271" s="520"/>
      <c r="L271" s="241"/>
      <c r="M271" s="521"/>
      <c r="N271" s="241"/>
      <c r="O271" s="521"/>
      <c r="P271" s="241"/>
      <c r="Q271" s="520"/>
      <c r="R271" s="241"/>
      <c r="S271" s="520"/>
      <c r="T271" s="241"/>
      <c r="U271" s="520"/>
      <c r="V271" s="241"/>
      <c r="W271" s="242"/>
      <c r="X271" s="241"/>
      <c r="Y271" s="242"/>
      <c r="Z271" s="241"/>
      <c r="AA271" s="241"/>
      <c r="AB271" s="275"/>
      <c r="AC271" s="524"/>
      <c r="AD271" s="241"/>
      <c r="AE271" s="241"/>
      <c r="AF271" s="241"/>
      <c r="AG271" s="241"/>
      <c r="AH271" s="241"/>
      <c r="AI271" s="241"/>
      <c r="AJ271" s="529"/>
      <c r="AK271" s="258"/>
      <c r="AL271" s="241"/>
      <c r="AM271" s="242"/>
      <c r="AN271" s="241"/>
      <c r="AO271" s="242"/>
      <c r="AP271" s="241"/>
      <c r="AQ271" s="242"/>
      <c r="AR271" s="241"/>
      <c r="AS271" s="242"/>
      <c r="AT271" s="241"/>
      <c r="AU271" s="241"/>
      <c r="AV271" s="256"/>
      <c r="AW271" s="241"/>
      <c r="AX271" s="256"/>
      <c r="AY271" s="241"/>
      <c r="AZ271" s="256"/>
      <c r="BA271" s="239"/>
      <c r="BB271" s="242"/>
      <c r="BC271" s="239"/>
      <c r="BD271" s="242"/>
      <c r="BE271" s="239"/>
      <c r="BF271" s="241"/>
      <c r="BG271" s="239"/>
      <c r="BH271" s="241"/>
      <c r="BI271" s="260"/>
      <c r="BJ271" s="241"/>
      <c r="BK271" s="260"/>
      <c r="BL271" s="239"/>
      <c r="BM271" s="256"/>
      <c r="BN271" s="241"/>
      <c r="BO271" s="243"/>
      <c r="BP271" s="241"/>
      <c r="BQ271" s="239"/>
      <c r="BR271" s="276"/>
      <c r="BS271" s="256"/>
      <c r="BT271" s="260"/>
      <c r="BU271" s="261"/>
      <c r="BV271" s="260"/>
      <c r="BW271" s="239"/>
      <c r="BX271" s="260"/>
      <c r="BY271" s="260"/>
      <c r="BZ271" s="239"/>
      <c r="CA271" s="260"/>
      <c r="CB271" s="239"/>
      <c r="CC271" s="260"/>
      <c r="CD271" s="539"/>
      <c r="CE271" s="239"/>
      <c r="CF271" s="276"/>
      <c r="CG271" s="256"/>
      <c r="CH271" s="259"/>
      <c r="CI271" s="347"/>
      <c r="CJ271" s="540"/>
      <c r="CK271" s="256"/>
      <c r="CL271" s="244">
        <v>1</v>
      </c>
      <c r="CM271" s="274">
        <f t="shared" si="4"/>
        <v>2015</v>
      </c>
      <c r="CN271" s="244">
        <f>IF('Grille de saisie'!CM271&lt;18,0,IF('Grille de saisie'!CM271&lt;40,1,IF('Grille de saisie'!CM271&lt;65,2,IF('Grille de saisie'!CM271&lt;100,3,4))))</f>
        <v>4</v>
      </c>
      <c r="CO271" s="236">
        <f>IF(AND('Grille de saisie'!C271=1,'Grille de saisie'!BZ271=0),1,IF(AND('Grille de saisie'!C271="",'Grille de saisie'!BZ271=""),3,IF(AND('Grille de saisie'!C271=5),3,2)))</f>
        <v>3</v>
      </c>
      <c r="CP271" s="236">
        <f>IF(AND('Grille de saisie'!C271=1,'Grille de saisie'!BZ271=0),1,IF(AND('Grille de saisie'!C271=1,'Grille de saisie'!BZ271=1),2,IF(AND('Grille de saisie'!C271=2,'Grille de saisie'!BZ271=0),2,IF(AND('Grille de saisie'!C271=3,'Grille de saisie'!BZ271=0),3,IF(AND('Grille de saisie'!C271=2,'Grille de saisie'!BZ271=1),3,IF(AND('Grille de saisie'!C271=1,'Grille de saisie'!BZ271=2),3,IF(AND('Grille de saisie'!C271="",'Grille de saisie'!BZ271=""),5,IF(AND('Grille de saisie'!C271=5),5,4))))))))</f>
        <v>5</v>
      </c>
      <c r="CQ271" s="237">
        <f>IF('Grille de saisie'!BZ271="",3,IF('Grille de saisie'!C271=5,3,IF('Grille de saisie'!BZ271=0,1,2)))</f>
        <v>3</v>
      </c>
    </row>
    <row r="272" spans="1:95" ht="15">
      <c r="A272" s="510">
        <v>270</v>
      </c>
      <c r="B272" s="240"/>
      <c r="C272" s="513"/>
      <c r="D272" s="240"/>
      <c r="E272" s="517"/>
      <c r="F272" s="265"/>
      <c r="G272" s="513"/>
      <c r="H272" s="265"/>
      <c r="I272" s="520"/>
      <c r="J272" s="241"/>
      <c r="K272" s="520"/>
      <c r="L272" s="241"/>
      <c r="M272" s="521"/>
      <c r="N272" s="241"/>
      <c r="O272" s="521"/>
      <c r="P272" s="241"/>
      <c r="Q272" s="520"/>
      <c r="R272" s="241"/>
      <c r="S272" s="520"/>
      <c r="T272" s="241"/>
      <c r="U272" s="520"/>
      <c r="V272" s="241"/>
      <c r="W272" s="242"/>
      <c r="X272" s="241"/>
      <c r="Y272" s="242"/>
      <c r="Z272" s="241"/>
      <c r="AA272" s="241"/>
      <c r="AB272" s="275"/>
      <c r="AC272" s="524"/>
      <c r="AD272" s="241"/>
      <c r="AE272" s="241"/>
      <c r="AF272" s="241"/>
      <c r="AG272" s="241"/>
      <c r="AH272" s="241"/>
      <c r="AI272" s="241"/>
      <c r="AJ272" s="529"/>
      <c r="AK272" s="258"/>
      <c r="AL272" s="241"/>
      <c r="AM272" s="242"/>
      <c r="AN272" s="241"/>
      <c r="AO272" s="242"/>
      <c r="AP272" s="241"/>
      <c r="AQ272" s="242"/>
      <c r="AR272" s="241"/>
      <c r="AS272" s="242"/>
      <c r="AT272" s="241"/>
      <c r="AU272" s="241"/>
      <c r="AV272" s="256"/>
      <c r="AW272" s="241"/>
      <c r="AX272" s="256"/>
      <c r="AY272" s="241"/>
      <c r="AZ272" s="256"/>
      <c r="BA272" s="239"/>
      <c r="BB272" s="242"/>
      <c r="BC272" s="239"/>
      <c r="BD272" s="242"/>
      <c r="BE272" s="239"/>
      <c r="BF272" s="241"/>
      <c r="BG272" s="239"/>
      <c r="BH272" s="241"/>
      <c r="BI272" s="260"/>
      <c r="BJ272" s="241"/>
      <c r="BK272" s="260"/>
      <c r="BL272" s="239"/>
      <c r="BM272" s="256"/>
      <c r="BN272" s="241"/>
      <c r="BO272" s="243"/>
      <c r="BP272" s="241"/>
      <c r="BQ272" s="239"/>
      <c r="BR272" s="276"/>
      <c r="BS272" s="256"/>
      <c r="BT272" s="260"/>
      <c r="BU272" s="261"/>
      <c r="BV272" s="260"/>
      <c r="BW272" s="239"/>
      <c r="BX272" s="260"/>
      <c r="BY272" s="260"/>
      <c r="BZ272" s="239"/>
      <c r="CA272" s="260"/>
      <c r="CB272" s="239"/>
      <c r="CC272" s="260"/>
      <c r="CD272" s="539"/>
      <c r="CE272" s="239"/>
      <c r="CF272" s="276"/>
      <c r="CG272" s="256"/>
      <c r="CH272" s="259"/>
      <c r="CI272" s="347"/>
      <c r="CJ272" s="540"/>
      <c r="CK272" s="256"/>
      <c r="CL272" s="244">
        <v>1</v>
      </c>
      <c r="CM272" s="274">
        <f t="shared" si="4"/>
        <v>2015</v>
      </c>
      <c r="CN272" s="244">
        <f>IF('Grille de saisie'!CM272&lt;18,0,IF('Grille de saisie'!CM272&lt;40,1,IF('Grille de saisie'!CM272&lt;65,2,IF('Grille de saisie'!CM272&lt;100,3,4))))</f>
        <v>4</v>
      </c>
      <c r="CO272" s="236">
        <f>IF(AND('Grille de saisie'!C272=1,'Grille de saisie'!BZ272=0),1,IF(AND('Grille de saisie'!C272="",'Grille de saisie'!BZ272=""),3,IF(AND('Grille de saisie'!C272=5),3,2)))</f>
        <v>3</v>
      </c>
      <c r="CP272" s="236">
        <f>IF(AND('Grille de saisie'!C272=1,'Grille de saisie'!BZ272=0),1,IF(AND('Grille de saisie'!C272=1,'Grille de saisie'!BZ272=1),2,IF(AND('Grille de saisie'!C272=2,'Grille de saisie'!BZ272=0),2,IF(AND('Grille de saisie'!C272=3,'Grille de saisie'!BZ272=0),3,IF(AND('Grille de saisie'!C272=2,'Grille de saisie'!BZ272=1),3,IF(AND('Grille de saisie'!C272=1,'Grille de saisie'!BZ272=2),3,IF(AND('Grille de saisie'!C272="",'Grille de saisie'!BZ272=""),5,IF(AND('Grille de saisie'!C272=5),5,4))))))))</f>
        <v>5</v>
      </c>
      <c r="CQ272" s="237">
        <f>IF('Grille de saisie'!BZ272="",3,IF('Grille de saisie'!C272=5,3,IF('Grille de saisie'!BZ272=0,1,2)))</f>
        <v>3</v>
      </c>
    </row>
    <row r="273" spans="1:95" ht="15">
      <c r="A273" s="511">
        <v>271</v>
      </c>
      <c r="B273" s="240"/>
      <c r="C273" s="513"/>
      <c r="D273" s="240"/>
      <c r="E273" s="517"/>
      <c r="F273" s="265"/>
      <c r="G273" s="513"/>
      <c r="H273" s="265"/>
      <c r="I273" s="520"/>
      <c r="J273" s="241"/>
      <c r="K273" s="520"/>
      <c r="L273" s="241"/>
      <c r="M273" s="521"/>
      <c r="N273" s="241"/>
      <c r="O273" s="521"/>
      <c r="P273" s="241"/>
      <c r="Q273" s="520"/>
      <c r="R273" s="241"/>
      <c r="S273" s="520"/>
      <c r="T273" s="241"/>
      <c r="U273" s="520"/>
      <c r="V273" s="241"/>
      <c r="W273" s="242"/>
      <c r="X273" s="241"/>
      <c r="Y273" s="242"/>
      <c r="Z273" s="241"/>
      <c r="AA273" s="241"/>
      <c r="AB273" s="275"/>
      <c r="AC273" s="524"/>
      <c r="AD273" s="241"/>
      <c r="AE273" s="241"/>
      <c r="AF273" s="241"/>
      <c r="AG273" s="241"/>
      <c r="AH273" s="241"/>
      <c r="AI273" s="241"/>
      <c r="AJ273" s="529"/>
      <c r="AK273" s="258"/>
      <c r="AL273" s="241"/>
      <c r="AM273" s="242"/>
      <c r="AN273" s="241"/>
      <c r="AO273" s="242"/>
      <c r="AP273" s="241"/>
      <c r="AQ273" s="242"/>
      <c r="AR273" s="241"/>
      <c r="AS273" s="242"/>
      <c r="AT273" s="241"/>
      <c r="AU273" s="241"/>
      <c r="AV273" s="256"/>
      <c r="AW273" s="241"/>
      <c r="AX273" s="256"/>
      <c r="AY273" s="241"/>
      <c r="AZ273" s="256"/>
      <c r="BA273" s="239"/>
      <c r="BB273" s="242"/>
      <c r="BC273" s="239"/>
      <c r="BD273" s="242"/>
      <c r="BE273" s="239"/>
      <c r="BF273" s="241"/>
      <c r="BG273" s="239"/>
      <c r="BH273" s="241"/>
      <c r="BI273" s="260"/>
      <c r="BJ273" s="241"/>
      <c r="BK273" s="260"/>
      <c r="BL273" s="239"/>
      <c r="BM273" s="256"/>
      <c r="BN273" s="241"/>
      <c r="BO273" s="243"/>
      <c r="BP273" s="241"/>
      <c r="BQ273" s="239"/>
      <c r="BR273" s="276"/>
      <c r="BS273" s="256"/>
      <c r="BT273" s="260"/>
      <c r="BU273" s="261"/>
      <c r="BV273" s="260"/>
      <c r="BW273" s="239"/>
      <c r="BX273" s="260"/>
      <c r="BY273" s="260"/>
      <c r="BZ273" s="239"/>
      <c r="CA273" s="260"/>
      <c r="CB273" s="239"/>
      <c r="CC273" s="260"/>
      <c r="CD273" s="539"/>
      <c r="CE273" s="239"/>
      <c r="CF273" s="276"/>
      <c r="CG273" s="256"/>
      <c r="CH273" s="259"/>
      <c r="CI273" s="347"/>
      <c r="CJ273" s="540"/>
      <c r="CK273" s="256"/>
      <c r="CL273" s="244">
        <v>1</v>
      </c>
      <c r="CM273" s="274">
        <f t="shared" si="4"/>
        <v>2015</v>
      </c>
      <c r="CN273" s="244">
        <f>IF('Grille de saisie'!CM273&lt;18,0,IF('Grille de saisie'!CM273&lt;40,1,IF('Grille de saisie'!CM273&lt;65,2,IF('Grille de saisie'!CM273&lt;100,3,4))))</f>
        <v>4</v>
      </c>
      <c r="CO273" s="236">
        <f>IF(AND('Grille de saisie'!C273=1,'Grille de saisie'!BZ273=0),1,IF(AND('Grille de saisie'!C273="",'Grille de saisie'!BZ273=""),3,IF(AND('Grille de saisie'!C273=5),3,2)))</f>
        <v>3</v>
      </c>
      <c r="CP273" s="236">
        <f>IF(AND('Grille de saisie'!C273=1,'Grille de saisie'!BZ273=0),1,IF(AND('Grille de saisie'!C273=1,'Grille de saisie'!BZ273=1),2,IF(AND('Grille de saisie'!C273=2,'Grille de saisie'!BZ273=0),2,IF(AND('Grille de saisie'!C273=3,'Grille de saisie'!BZ273=0),3,IF(AND('Grille de saisie'!C273=2,'Grille de saisie'!BZ273=1),3,IF(AND('Grille de saisie'!C273=1,'Grille de saisie'!BZ273=2),3,IF(AND('Grille de saisie'!C273="",'Grille de saisie'!BZ273=""),5,IF(AND('Grille de saisie'!C273=5),5,4))))))))</f>
        <v>5</v>
      </c>
      <c r="CQ273" s="237">
        <f>IF('Grille de saisie'!BZ273="",3,IF('Grille de saisie'!C273=5,3,IF('Grille de saisie'!BZ273=0,1,2)))</f>
        <v>3</v>
      </c>
    </row>
    <row r="274" spans="1:95" ht="15">
      <c r="A274" s="510">
        <v>272</v>
      </c>
      <c r="B274" s="240"/>
      <c r="C274" s="513"/>
      <c r="D274" s="240"/>
      <c r="E274" s="517"/>
      <c r="F274" s="265"/>
      <c r="G274" s="513"/>
      <c r="H274" s="265"/>
      <c r="I274" s="520"/>
      <c r="J274" s="241"/>
      <c r="K274" s="520"/>
      <c r="L274" s="241"/>
      <c r="M274" s="521"/>
      <c r="N274" s="241"/>
      <c r="O274" s="521"/>
      <c r="P274" s="241"/>
      <c r="Q274" s="520"/>
      <c r="R274" s="241"/>
      <c r="S274" s="520"/>
      <c r="T274" s="241"/>
      <c r="U274" s="520"/>
      <c r="V274" s="241"/>
      <c r="W274" s="242"/>
      <c r="X274" s="241"/>
      <c r="Y274" s="242"/>
      <c r="Z274" s="241"/>
      <c r="AA274" s="241"/>
      <c r="AB274" s="275"/>
      <c r="AC274" s="524"/>
      <c r="AD274" s="241"/>
      <c r="AE274" s="241"/>
      <c r="AF274" s="241"/>
      <c r="AG274" s="241"/>
      <c r="AH274" s="241"/>
      <c r="AI274" s="241"/>
      <c r="AJ274" s="529"/>
      <c r="AK274" s="258"/>
      <c r="AL274" s="241"/>
      <c r="AM274" s="242"/>
      <c r="AN274" s="241"/>
      <c r="AO274" s="242"/>
      <c r="AP274" s="241"/>
      <c r="AQ274" s="242"/>
      <c r="AR274" s="241"/>
      <c r="AS274" s="242"/>
      <c r="AT274" s="241"/>
      <c r="AU274" s="241"/>
      <c r="AV274" s="256"/>
      <c r="AW274" s="241"/>
      <c r="AX274" s="256"/>
      <c r="AY274" s="241"/>
      <c r="AZ274" s="256"/>
      <c r="BA274" s="239"/>
      <c r="BB274" s="242"/>
      <c r="BC274" s="239"/>
      <c r="BD274" s="242"/>
      <c r="BE274" s="239"/>
      <c r="BF274" s="241"/>
      <c r="BG274" s="239"/>
      <c r="BH274" s="241"/>
      <c r="BI274" s="260"/>
      <c r="BJ274" s="241"/>
      <c r="BK274" s="260"/>
      <c r="BL274" s="239"/>
      <c r="BM274" s="256"/>
      <c r="BN274" s="241"/>
      <c r="BO274" s="243"/>
      <c r="BP274" s="241"/>
      <c r="BQ274" s="239"/>
      <c r="BR274" s="276"/>
      <c r="BS274" s="256"/>
      <c r="BT274" s="260"/>
      <c r="BU274" s="261"/>
      <c r="BV274" s="260"/>
      <c r="BW274" s="239"/>
      <c r="BX274" s="260"/>
      <c r="BY274" s="260"/>
      <c r="BZ274" s="239"/>
      <c r="CA274" s="260"/>
      <c r="CB274" s="239"/>
      <c r="CC274" s="260"/>
      <c r="CD274" s="539"/>
      <c r="CE274" s="239"/>
      <c r="CF274" s="276"/>
      <c r="CG274" s="256"/>
      <c r="CH274" s="259"/>
      <c r="CI274" s="347"/>
      <c r="CJ274" s="540"/>
      <c r="CK274" s="256"/>
      <c r="CL274" s="244">
        <v>1</v>
      </c>
      <c r="CM274" s="274">
        <f t="shared" si="4"/>
        <v>2015</v>
      </c>
      <c r="CN274" s="244">
        <f>IF('Grille de saisie'!CM274&lt;18,0,IF('Grille de saisie'!CM274&lt;40,1,IF('Grille de saisie'!CM274&lt;65,2,IF('Grille de saisie'!CM274&lt;100,3,4))))</f>
        <v>4</v>
      </c>
      <c r="CO274" s="236">
        <f>IF(AND('Grille de saisie'!C274=1,'Grille de saisie'!BZ274=0),1,IF(AND('Grille de saisie'!C274="",'Grille de saisie'!BZ274=""),3,IF(AND('Grille de saisie'!C274=5),3,2)))</f>
        <v>3</v>
      </c>
      <c r="CP274" s="236">
        <f>IF(AND('Grille de saisie'!C274=1,'Grille de saisie'!BZ274=0),1,IF(AND('Grille de saisie'!C274=1,'Grille de saisie'!BZ274=1),2,IF(AND('Grille de saisie'!C274=2,'Grille de saisie'!BZ274=0),2,IF(AND('Grille de saisie'!C274=3,'Grille de saisie'!BZ274=0),3,IF(AND('Grille de saisie'!C274=2,'Grille de saisie'!BZ274=1),3,IF(AND('Grille de saisie'!C274=1,'Grille de saisie'!BZ274=2),3,IF(AND('Grille de saisie'!C274="",'Grille de saisie'!BZ274=""),5,IF(AND('Grille de saisie'!C274=5),5,4))))))))</f>
        <v>5</v>
      </c>
      <c r="CQ274" s="237">
        <f>IF('Grille de saisie'!BZ274="",3,IF('Grille de saisie'!C274=5,3,IF('Grille de saisie'!BZ274=0,1,2)))</f>
        <v>3</v>
      </c>
    </row>
    <row r="275" spans="1:95" ht="15">
      <c r="A275" s="510">
        <v>273</v>
      </c>
      <c r="B275" s="240"/>
      <c r="C275" s="513"/>
      <c r="D275" s="240"/>
      <c r="E275" s="517"/>
      <c r="F275" s="265"/>
      <c r="G275" s="513"/>
      <c r="H275" s="265"/>
      <c r="I275" s="520"/>
      <c r="J275" s="241"/>
      <c r="K275" s="520"/>
      <c r="L275" s="241"/>
      <c r="M275" s="521"/>
      <c r="N275" s="241"/>
      <c r="O275" s="521"/>
      <c r="P275" s="241"/>
      <c r="Q275" s="520"/>
      <c r="R275" s="241"/>
      <c r="S275" s="520"/>
      <c r="T275" s="241"/>
      <c r="U275" s="520"/>
      <c r="V275" s="241"/>
      <c r="W275" s="242"/>
      <c r="X275" s="241"/>
      <c r="Y275" s="242"/>
      <c r="Z275" s="241"/>
      <c r="AA275" s="241"/>
      <c r="AB275" s="275"/>
      <c r="AC275" s="524"/>
      <c r="AD275" s="241"/>
      <c r="AE275" s="241"/>
      <c r="AF275" s="241"/>
      <c r="AG275" s="241"/>
      <c r="AH275" s="241"/>
      <c r="AI275" s="241"/>
      <c r="AJ275" s="529"/>
      <c r="AK275" s="258"/>
      <c r="AL275" s="241"/>
      <c r="AM275" s="242"/>
      <c r="AN275" s="241"/>
      <c r="AO275" s="242"/>
      <c r="AP275" s="241"/>
      <c r="AQ275" s="242"/>
      <c r="AR275" s="241"/>
      <c r="AS275" s="242"/>
      <c r="AT275" s="241"/>
      <c r="AU275" s="241"/>
      <c r="AV275" s="256"/>
      <c r="AW275" s="241"/>
      <c r="AX275" s="256"/>
      <c r="AY275" s="241"/>
      <c r="AZ275" s="256"/>
      <c r="BA275" s="239"/>
      <c r="BB275" s="242"/>
      <c r="BC275" s="239"/>
      <c r="BD275" s="242"/>
      <c r="BE275" s="239"/>
      <c r="BF275" s="241"/>
      <c r="BG275" s="239"/>
      <c r="BH275" s="241"/>
      <c r="BI275" s="260"/>
      <c r="BJ275" s="241"/>
      <c r="BK275" s="260"/>
      <c r="BL275" s="239"/>
      <c r="BM275" s="256"/>
      <c r="BN275" s="241"/>
      <c r="BO275" s="243"/>
      <c r="BP275" s="241"/>
      <c r="BQ275" s="239"/>
      <c r="BR275" s="276"/>
      <c r="BS275" s="256"/>
      <c r="BT275" s="260"/>
      <c r="BU275" s="261"/>
      <c r="BV275" s="260"/>
      <c r="BW275" s="239"/>
      <c r="BX275" s="260"/>
      <c r="BY275" s="260"/>
      <c r="BZ275" s="239"/>
      <c r="CA275" s="260"/>
      <c r="CB275" s="239"/>
      <c r="CC275" s="260"/>
      <c r="CD275" s="539"/>
      <c r="CE275" s="239"/>
      <c r="CF275" s="276"/>
      <c r="CG275" s="256"/>
      <c r="CH275" s="259"/>
      <c r="CI275" s="347"/>
      <c r="CJ275" s="540"/>
      <c r="CK275" s="256"/>
      <c r="CL275" s="244">
        <v>1</v>
      </c>
      <c r="CM275" s="274">
        <f t="shared" si="4"/>
        <v>2015</v>
      </c>
      <c r="CN275" s="244">
        <f>IF('Grille de saisie'!CM275&lt;18,0,IF('Grille de saisie'!CM275&lt;40,1,IF('Grille de saisie'!CM275&lt;65,2,IF('Grille de saisie'!CM275&lt;100,3,4))))</f>
        <v>4</v>
      </c>
      <c r="CO275" s="236">
        <f>IF(AND('Grille de saisie'!C275=1,'Grille de saisie'!BZ275=0),1,IF(AND('Grille de saisie'!C275="",'Grille de saisie'!BZ275=""),3,IF(AND('Grille de saisie'!C275=5),3,2)))</f>
        <v>3</v>
      </c>
      <c r="CP275" s="236">
        <f>IF(AND('Grille de saisie'!C275=1,'Grille de saisie'!BZ275=0),1,IF(AND('Grille de saisie'!C275=1,'Grille de saisie'!BZ275=1),2,IF(AND('Grille de saisie'!C275=2,'Grille de saisie'!BZ275=0),2,IF(AND('Grille de saisie'!C275=3,'Grille de saisie'!BZ275=0),3,IF(AND('Grille de saisie'!C275=2,'Grille de saisie'!BZ275=1),3,IF(AND('Grille de saisie'!C275=1,'Grille de saisie'!BZ275=2),3,IF(AND('Grille de saisie'!C275="",'Grille de saisie'!BZ275=""),5,IF(AND('Grille de saisie'!C275=5),5,4))))))))</f>
        <v>5</v>
      </c>
      <c r="CQ275" s="237">
        <f>IF('Grille de saisie'!BZ275="",3,IF('Grille de saisie'!C275=5,3,IF('Grille de saisie'!BZ275=0,1,2)))</f>
        <v>3</v>
      </c>
    </row>
    <row r="276" spans="1:95" ht="15">
      <c r="A276" s="511">
        <v>274</v>
      </c>
      <c r="B276" s="240"/>
      <c r="C276" s="513"/>
      <c r="D276" s="240"/>
      <c r="E276" s="517"/>
      <c r="F276" s="265"/>
      <c r="G276" s="513"/>
      <c r="H276" s="265"/>
      <c r="I276" s="520"/>
      <c r="J276" s="241"/>
      <c r="K276" s="520"/>
      <c r="L276" s="241"/>
      <c r="M276" s="521"/>
      <c r="N276" s="241"/>
      <c r="O276" s="521"/>
      <c r="P276" s="241"/>
      <c r="Q276" s="520"/>
      <c r="R276" s="241"/>
      <c r="S276" s="520"/>
      <c r="T276" s="241"/>
      <c r="U276" s="520"/>
      <c r="V276" s="241"/>
      <c r="W276" s="242"/>
      <c r="X276" s="241"/>
      <c r="Y276" s="242"/>
      <c r="Z276" s="241"/>
      <c r="AA276" s="241"/>
      <c r="AB276" s="275"/>
      <c r="AC276" s="524"/>
      <c r="AD276" s="241"/>
      <c r="AE276" s="241"/>
      <c r="AF276" s="241"/>
      <c r="AG276" s="241"/>
      <c r="AH276" s="241"/>
      <c r="AI276" s="241"/>
      <c r="AJ276" s="529"/>
      <c r="AK276" s="258"/>
      <c r="AL276" s="241"/>
      <c r="AM276" s="242"/>
      <c r="AN276" s="241"/>
      <c r="AO276" s="242"/>
      <c r="AP276" s="241"/>
      <c r="AQ276" s="242"/>
      <c r="AR276" s="241"/>
      <c r="AS276" s="242"/>
      <c r="AT276" s="241"/>
      <c r="AU276" s="241"/>
      <c r="AV276" s="256"/>
      <c r="AW276" s="241"/>
      <c r="AX276" s="256"/>
      <c r="AY276" s="241"/>
      <c r="AZ276" s="256"/>
      <c r="BA276" s="239"/>
      <c r="BB276" s="242"/>
      <c r="BC276" s="239"/>
      <c r="BD276" s="242"/>
      <c r="BE276" s="239"/>
      <c r="BF276" s="241"/>
      <c r="BG276" s="239"/>
      <c r="BH276" s="241"/>
      <c r="BI276" s="260"/>
      <c r="BJ276" s="241"/>
      <c r="BK276" s="260"/>
      <c r="BL276" s="239"/>
      <c r="BM276" s="256"/>
      <c r="BN276" s="241"/>
      <c r="BO276" s="243"/>
      <c r="BP276" s="241"/>
      <c r="BQ276" s="239"/>
      <c r="BR276" s="276"/>
      <c r="BS276" s="256"/>
      <c r="BT276" s="260"/>
      <c r="BU276" s="261"/>
      <c r="BV276" s="260"/>
      <c r="BW276" s="239"/>
      <c r="BX276" s="260"/>
      <c r="BY276" s="260"/>
      <c r="BZ276" s="239"/>
      <c r="CA276" s="260"/>
      <c r="CB276" s="239"/>
      <c r="CC276" s="260"/>
      <c r="CD276" s="539"/>
      <c r="CE276" s="239"/>
      <c r="CF276" s="276"/>
      <c r="CG276" s="256"/>
      <c r="CH276" s="259"/>
      <c r="CI276" s="347"/>
      <c r="CJ276" s="540"/>
      <c r="CK276" s="256"/>
      <c r="CL276" s="244">
        <v>1</v>
      </c>
      <c r="CM276" s="274">
        <f t="shared" si="4"/>
        <v>2015</v>
      </c>
      <c r="CN276" s="244">
        <f>IF('Grille de saisie'!CM276&lt;18,0,IF('Grille de saisie'!CM276&lt;40,1,IF('Grille de saisie'!CM276&lt;65,2,IF('Grille de saisie'!CM276&lt;100,3,4))))</f>
        <v>4</v>
      </c>
      <c r="CO276" s="236">
        <f>IF(AND('Grille de saisie'!C276=1,'Grille de saisie'!BZ276=0),1,IF(AND('Grille de saisie'!C276="",'Grille de saisie'!BZ276=""),3,IF(AND('Grille de saisie'!C276=5),3,2)))</f>
        <v>3</v>
      </c>
      <c r="CP276" s="236">
        <f>IF(AND('Grille de saisie'!C276=1,'Grille de saisie'!BZ276=0),1,IF(AND('Grille de saisie'!C276=1,'Grille de saisie'!BZ276=1),2,IF(AND('Grille de saisie'!C276=2,'Grille de saisie'!BZ276=0),2,IF(AND('Grille de saisie'!C276=3,'Grille de saisie'!BZ276=0),3,IF(AND('Grille de saisie'!C276=2,'Grille de saisie'!BZ276=1),3,IF(AND('Grille de saisie'!C276=1,'Grille de saisie'!BZ276=2),3,IF(AND('Grille de saisie'!C276="",'Grille de saisie'!BZ276=""),5,IF(AND('Grille de saisie'!C276=5),5,4))))))))</f>
        <v>5</v>
      </c>
      <c r="CQ276" s="237">
        <f>IF('Grille de saisie'!BZ276="",3,IF('Grille de saisie'!C276=5,3,IF('Grille de saisie'!BZ276=0,1,2)))</f>
        <v>3</v>
      </c>
    </row>
    <row r="277" spans="1:95" ht="15">
      <c r="A277" s="510">
        <v>275</v>
      </c>
      <c r="B277" s="240"/>
      <c r="C277" s="513"/>
      <c r="D277" s="240"/>
      <c r="E277" s="517"/>
      <c r="F277" s="265"/>
      <c r="G277" s="513"/>
      <c r="H277" s="265"/>
      <c r="I277" s="520"/>
      <c r="J277" s="241"/>
      <c r="K277" s="520"/>
      <c r="L277" s="241"/>
      <c r="M277" s="521"/>
      <c r="N277" s="241"/>
      <c r="O277" s="521"/>
      <c r="P277" s="241"/>
      <c r="Q277" s="520"/>
      <c r="R277" s="241"/>
      <c r="S277" s="520"/>
      <c r="T277" s="241"/>
      <c r="U277" s="520"/>
      <c r="V277" s="241"/>
      <c r="W277" s="242"/>
      <c r="X277" s="241"/>
      <c r="Y277" s="242"/>
      <c r="Z277" s="241"/>
      <c r="AA277" s="241"/>
      <c r="AB277" s="275"/>
      <c r="AC277" s="524"/>
      <c r="AD277" s="241"/>
      <c r="AE277" s="241"/>
      <c r="AF277" s="241"/>
      <c r="AG277" s="241"/>
      <c r="AH277" s="241"/>
      <c r="AI277" s="241"/>
      <c r="AJ277" s="529"/>
      <c r="AK277" s="258"/>
      <c r="AL277" s="241"/>
      <c r="AM277" s="242"/>
      <c r="AN277" s="241"/>
      <c r="AO277" s="242"/>
      <c r="AP277" s="241"/>
      <c r="AQ277" s="242"/>
      <c r="AR277" s="241"/>
      <c r="AS277" s="242"/>
      <c r="AT277" s="241"/>
      <c r="AU277" s="241"/>
      <c r="AV277" s="256"/>
      <c r="AW277" s="241"/>
      <c r="AX277" s="256"/>
      <c r="AY277" s="241"/>
      <c r="AZ277" s="256"/>
      <c r="BA277" s="239"/>
      <c r="BB277" s="242"/>
      <c r="BC277" s="239"/>
      <c r="BD277" s="242"/>
      <c r="BE277" s="239"/>
      <c r="BF277" s="241"/>
      <c r="BG277" s="239"/>
      <c r="BH277" s="241"/>
      <c r="BI277" s="260"/>
      <c r="BJ277" s="241"/>
      <c r="BK277" s="260"/>
      <c r="BL277" s="239"/>
      <c r="BM277" s="256"/>
      <c r="BN277" s="241"/>
      <c r="BO277" s="243"/>
      <c r="BP277" s="241"/>
      <c r="BQ277" s="239"/>
      <c r="BR277" s="276"/>
      <c r="BS277" s="256"/>
      <c r="BT277" s="260"/>
      <c r="BU277" s="261"/>
      <c r="BV277" s="260"/>
      <c r="BW277" s="239"/>
      <c r="BX277" s="260"/>
      <c r="BY277" s="260"/>
      <c r="BZ277" s="239"/>
      <c r="CA277" s="260"/>
      <c r="CB277" s="239"/>
      <c r="CC277" s="260"/>
      <c r="CD277" s="539"/>
      <c r="CE277" s="239"/>
      <c r="CF277" s="276"/>
      <c r="CG277" s="256"/>
      <c r="CH277" s="259"/>
      <c r="CI277" s="347"/>
      <c r="CJ277" s="540"/>
      <c r="CK277" s="256"/>
      <c r="CL277" s="244">
        <v>1</v>
      </c>
      <c r="CM277" s="274">
        <f t="shared" si="4"/>
        <v>2015</v>
      </c>
      <c r="CN277" s="244">
        <f>IF('Grille de saisie'!CM277&lt;18,0,IF('Grille de saisie'!CM277&lt;40,1,IF('Grille de saisie'!CM277&lt;65,2,IF('Grille de saisie'!CM277&lt;100,3,4))))</f>
        <v>4</v>
      </c>
      <c r="CO277" s="236">
        <f>IF(AND('Grille de saisie'!C277=1,'Grille de saisie'!BZ277=0),1,IF(AND('Grille de saisie'!C277="",'Grille de saisie'!BZ277=""),3,IF(AND('Grille de saisie'!C277=5),3,2)))</f>
        <v>3</v>
      </c>
      <c r="CP277" s="236">
        <f>IF(AND('Grille de saisie'!C277=1,'Grille de saisie'!BZ277=0),1,IF(AND('Grille de saisie'!C277=1,'Grille de saisie'!BZ277=1),2,IF(AND('Grille de saisie'!C277=2,'Grille de saisie'!BZ277=0),2,IF(AND('Grille de saisie'!C277=3,'Grille de saisie'!BZ277=0),3,IF(AND('Grille de saisie'!C277=2,'Grille de saisie'!BZ277=1),3,IF(AND('Grille de saisie'!C277=1,'Grille de saisie'!BZ277=2),3,IF(AND('Grille de saisie'!C277="",'Grille de saisie'!BZ277=""),5,IF(AND('Grille de saisie'!C277=5),5,4))))))))</f>
        <v>5</v>
      </c>
      <c r="CQ277" s="237">
        <f>IF('Grille de saisie'!BZ277="",3,IF('Grille de saisie'!C277=5,3,IF('Grille de saisie'!BZ277=0,1,2)))</f>
        <v>3</v>
      </c>
    </row>
    <row r="278" spans="1:95" ht="15">
      <c r="A278" s="510">
        <v>276</v>
      </c>
      <c r="B278" s="240"/>
      <c r="C278" s="513"/>
      <c r="D278" s="240"/>
      <c r="E278" s="517"/>
      <c r="F278" s="265"/>
      <c r="G278" s="513"/>
      <c r="H278" s="265"/>
      <c r="I278" s="520"/>
      <c r="J278" s="241"/>
      <c r="K278" s="520"/>
      <c r="L278" s="241"/>
      <c r="M278" s="521"/>
      <c r="N278" s="241"/>
      <c r="O278" s="521"/>
      <c r="P278" s="241"/>
      <c r="Q278" s="520"/>
      <c r="R278" s="241"/>
      <c r="S278" s="520"/>
      <c r="T278" s="241"/>
      <c r="U278" s="520"/>
      <c r="V278" s="241"/>
      <c r="W278" s="242"/>
      <c r="X278" s="241"/>
      <c r="Y278" s="242"/>
      <c r="Z278" s="241"/>
      <c r="AA278" s="241"/>
      <c r="AB278" s="275"/>
      <c r="AC278" s="524"/>
      <c r="AD278" s="241"/>
      <c r="AE278" s="241"/>
      <c r="AF278" s="241"/>
      <c r="AG278" s="241"/>
      <c r="AH278" s="241"/>
      <c r="AI278" s="241"/>
      <c r="AJ278" s="529"/>
      <c r="AK278" s="258"/>
      <c r="AL278" s="241"/>
      <c r="AM278" s="242"/>
      <c r="AN278" s="241"/>
      <c r="AO278" s="242"/>
      <c r="AP278" s="241"/>
      <c r="AQ278" s="242"/>
      <c r="AR278" s="241"/>
      <c r="AS278" s="242"/>
      <c r="AT278" s="241"/>
      <c r="AU278" s="241"/>
      <c r="AV278" s="256"/>
      <c r="AW278" s="241"/>
      <c r="AX278" s="256"/>
      <c r="AY278" s="241"/>
      <c r="AZ278" s="256"/>
      <c r="BA278" s="239"/>
      <c r="BB278" s="242"/>
      <c r="BC278" s="239"/>
      <c r="BD278" s="242"/>
      <c r="BE278" s="239"/>
      <c r="BF278" s="241"/>
      <c r="BG278" s="239"/>
      <c r="BH278" s="241"/>
      <c r="BI278" s="260"/>
      <c r="BJ278" s="241"/>
      <c r="BK278" s="260"/>
      <c r="BL278" s="239"/>
      <c r="BM278" s="256"/>
      <c r="BN278" s="241"/>
      <c r="BO278" s="243"/>
      <c r="BP278" s="241"/>
      <c r="BQ278" s="239"/>
      <c r="BR278" s="276"/>
      <c r="BS278" s="256"/>
      <c r="BT278" s="260"/>
      <c r="BU278" s="261"/>
      <c r="BV278" s="260"/>
      <c r="BW278" s="239"/>
      <c r="BX278" s="260"/>
      <c r="BY278" s="260"/>
      <c r="BZ278" s="239"/>
      <c r="CA278" s="260"/>
      <c r="CB278" s="239"/>
      <c r="CC278" s="260"/>
      <c r="CD278" s="539"/>
      <c r="CE278" s="239"/>
      <c r="CF278" s="276"/>
      <c r="CG278" s="256"/>
      <c r="CH278" s="259"/>
      <c r="CI278" s="347"/>
      <c r="CJ278" s="540"/>
      <c r="CK278" s="256"/>
      <c r="CL278" s="244">
        <v>1</v>
      </c>
      <c r="CM278" s="274">
        <f t="shared" si="4"/>
        <v>2015</v>
      </c>
      <c r="CN278" s="244">
        <f>IF('Grille de saisie'!CM278&lt;18,0,IF('Grille de saisie'!CM278&lt;40,1,IF('Grille de saisie'!CM278&lt;65,2,IF('Grille de saisie'!CM278&lt;100,3,4))))</f>
        <v>4</v>
      </c>
      <c r="CO278" s="236">
        <f>IF(AND('Grille de saisie'!C278=1,'Grille de saisie'!BZ278=0),1,IF(AND('Grille de saisie'!C278="",'Grille de saisie'!BZ278=""),3,IF(AND('Grille de saisie'!C278=5),3,2)))</f>
        <v>3</v>
      </c>
      <c r="CP278" s="236">
        <f>IF(AND('Grille de saisie'!C278=1,'Grille de saisie'!BZ278=0),1,IF(AND('Grille de saisie'!C278=1,'Grille de saisie'!BZ278=1),2,IF(AND('Grille de saisie'!C278=2,'Grille de saisie'!BZ278=0),2,IF(AND('Grille de saisie'!C278=3,'Grille de saisie'!BZ278=0),3,IF(AND('Grille de saisie'!C278=2,'Grille de saisie'!BZ278=1),3,IF(AND('Grille de saisie'!C278=1,'Grille de saisie'!BZ278=2),3,IF(AND('Grille de saisie'!C278="",'Grille de saisie'!BZ278=""),5,IF(AND('Grille de saisie'!C278=5),5,4))))))))</f>
        <v>5</v>
      </c>
      <c r="CQ278" s="237">
        <f>IF('Grille de saisie'!BZ278="",3,IF('Grille de saisie'!C278=5,3,IF('Grille de saisie'!BZ278=0,1,2)))</f>
        <v>3</v>
      </c>
    </row>
    <row r="279" spans="1:95" ht="15">
      <c r="A279" s="511">
        <v>277</v>
      </c>
      <c r="B279" s="240"/>
      <c r="C279" s="513"/>
      <c r="D279" s="240"/>
      <c r="E279" s="517"/>
      <c r="F279" s="265"/>
      <c r="G279" s="513"/>
      <c r="H279" s="265"/>
      <c r="I279" s="520"/>
      <c r="J279" s="241"/>
      <c r="K279" s="520"/>
      <c r="L279" s="241"/>
      <c r="M279" s="521"/>
      <c r="N279" s="241"/>
      <c r="O279" s="521"/>
      <c r="P279" s="241"/>
      <c r="Q279" s="520"/>
      <c r="R279" s="241"/>
      <c r="S279" s="520"/>
      <c r="T279" s="241"/>
      <c r="U279" s="520"/>
      <c r="V279" s="241"/>
      <c r="W279" s="242"/>
      <c r="X279" s="241"/>
      <c r="Y279" s="242"/>
      <c r="Z279" s="241"/>
      <c r="AA279" s="241"/>
      <c r="AB279" s="275"/>
      <c r="AC279" s="524"/>
      <c r="AD279" s="241"/>
      <c r="AE279" s="241"/>
      <c r="AF279" s="241"/>
      <c r="AG279" s="241"/>
      <c r="AH279" s="241"/>
      <c r="AI279" s="241"/>
      <c r="AJ279" s="529"/>
      <c r="AK279" s="258"/>
      <c r="AL279" s="241"/>
      <c r="AM279" s="242"/>
      <c r="AN279" s="241"/>
      <c r="AO279" s="242"/>
      <c r="AP279" s="241"/>
      <c r="AQ279" s="242"/>
      <c r="AR279" s="241"/>
      <c r="AS279" s="242"/>
      <c r="AT279" s="241"/>
      <c r="AU279" s="241"/>
      <c r="AV279" s="256"/>
      <c r="AW279" s="241"/>
      <c r="AX279" s="256"/>
      <c r="AY279" s="241"/>
      <c r="AZ279" s="256"/>
      <c r="BA279" s="239"/>
      <c r="BB279" s="242"/>
      <c r="BC279" s="239"/>
      <c r="BD279" s="242"/>
      <c r="BE279" s="239"/>
      <c r="BF279" s="241"/>
      <c r="BG279" s="239"/>
      <c r="BH279" s="241"/>
      <c r="BI279" s="260"/>
      <c r="BJ279" s="241"/>
      <c r="BK279" s="260"/>
      <c r="BL279" s="239"/>
      <c r="BM279" s="256"/>
      <c r="BN279" s="241"/>
      <c r="BO279" s="243"/>
      <c r="BP279" s="241"/>
      <c r="BQ279" s="239"/>
      <c r="BR279" s="276"/>
      <c r="BS279" s="256"/>
      <c r="BT279" s="260"/>
      <c r="BU279" s="261"/>
      <c r="BV279" s="260"/>
      <c r="BW279" s="239"/>
      <c r="BX279" s="260"/>
      <c r="BY279" s="260"/>
      <c r="BZ279" s="239"/>
      <c r="CA279" s="260"/>
      <c r="CB279" s="239"/>
      <c r="CC279" s="260"/>
      <c r="CD279" s="539"/>
      <c r="CE279" s="239"/>
      <c r="CF279" s="276"/>
      <c r="CG279" s="256"/>
      <c r="CH279" s="259"/>
      <c r="CI279" s="347"/>
      <c r="CJ279" s="540"/>
      <c r="CK279" s="256"/>
      <c r="CL279" s="244">
        <v>1</v>
      </c>
      <c r="CM279" s="274">
        <f t="shared" si="4"/>
        <v>2015</v>
      </c>
      <c r="CN279" s="244">
        <f>IF('Grille de saisie'!CM279&lt;18,0,IF('Grille de saisie'!CM279&lt;40,1,IF('Grille de saisie'!CM279&lt;65,2,IF('Grille de saisie'!CM279&lt;100,3,4))))</f>
        <v>4</v>
      </c>
      <c r="CO279" s="236">
        <f>IF(AND('Grille de saisie'!C279=1,'Grille de saisie'!BZ279=0),1,IF(AND('Grille de saisie'!C279="",'Grille de saisie'!BZ279=""),3,IF(AND('Grille de saisie'!C279=5),3,2)))</f>
        <v>3</v>
      </c>
      <c r="CP279" s="236">
        <f>IF(AND('Grille de saisie'!C279=1,'Grille de saisie'!BZ279=0),1,IF(AND('Grille de saisie'!C279=1,'Grille de saisie'!BZ279=1),2,IF(AND('Grille de saisie'!C279=2,'Grille de saisie'!BZ279=0),2,IF(AND('Grille de saisie'!C279=3,'Grille de saisie'!BZ279=0),3,IF(AND('Grille de saisie'!C279=2,'Grille de saisie'!BZ279=1),3,IF(AND('Grille de saisie'!C279=1,'Grille de saisie'!BZ279=2),3,IF(AND('Grille de saisie'!C279="",'Grille de saisie'!BZ279=""),5,IF(AND('Grille de saisie'!C279=5),5,4))))))))</f>
        <v>5</v>
      </c>
      <c r="CQ279" s="237">
        <f>IF('Grille de saisie'!BZ279="",3,IF('Grille de saisie'!C279=5,3,IF('Grille de saisie'!BZ279=0,1,2)))</f>
        <v>3</v>
      </c>
    </row>
    <row r="280" spans="1:95" ht="15">
      <c r="A280" s="510">
        <v>278</v>
      </c>
      <c r="B280" s="240"/>
      <c r="C280" s="513"/>
      <c r="D280" s="240"/>
      <c r="E280" s="517"/>
      <c r="F280" s="265"/>
      <c r="G280" s="513"/>
      <c r="H280" s="265"/>
      <c r="I280" s="520"/>
      <c r="J280" s="241"/>
      <c r="K280" s="520"/>
      <c r="L280" s="241"/>
      <c r="M280" s="521"/>
      <c r="N280" s="241"/>
      <c r="O280" s="521"/>
      <c r="P280" s="241"/>
      <c r="Q280" s="520"/>
      <c r="R280" s="241"/>
      <c r="S280" s="520"/>
      <c r="T280" s="241"/>
      <c r="U280" s="520"/>
      <c r="V280" s="241"/>
      <c r="W280" s="242"/>
      <c r="X280" s="241"/>
      <c r="Y280" s="242"/>
      <c r="Z280" s="241"/>
      <c r="AA280" s="241"/>
      <c r="AB280" s="275"/>
      <c r="AC280" s="524"/>
      <c r="AD280" s="241"/>
      <c r="AE280" s="241"/>
      <c r="AF280" s="241"/>
      <c r="AG280" s="241"/>
      <c r="AH280" s="241"/>
      <c r="AI280" s="241"/>
      <c r="AJ280" s="529"/>
      <c r="AK280" s="258"/>
      <c r="AL280" s="241"/>
      <c r="AM280" s="242"/>
      <c r="AN280" s="241"/>
      <c r="AO280" s="242"/>
      <c r="AP280" s="241"/>
      <c r="AQ280" s="242"/>
      <c r="AR280" s="241"/>
      <c r="AS280" s="242"/>
      <c r="AT280" s="241"/>
      <c r="AU280" s="241"/>
      <c r="AV280" s="256"/>
      <c r="AW280" s="241"/>
      <c r="AX280" s="256"/>
      <c r="AY280" s="241"/>
      <c r="AZ280" s="256"/>
      <c r="BA280" s="239"/>
      <c r="BB280" s="242"/>
      <c r="BC280" s="239"/>
      <c r="BD280" s="242"/>
      <c r="BE280" s="239"/>
      <c r="BF280" s="241"/>
      <c r="BG280" s="239"/>
      <c r="BH280" s="241"/>
      <c r="BI280" s="260"/>
      <c r="BJ280" s="241"/>
      <c r="BK280" s="260"/>
      <c r="BL280" s="239"/>
      <c r="BM280" s="256"/>
      <c r="BN280" s="241"/>
      <c r="BO280" s="243"/>
      <c r="BP280" s="241"/>
      <c r="BQ280" s="239"/>
      <c r="BR280" s="276"/>
      <c r="BS280" s="256"/>
      <c r="BT280" s="260"/>
      <c r="BU280" s="261"/>
      <c r="BV280" s="260"/>
      <c r="BW280" s="239"/>
      <c r="BX280" s="260"/>
      <c r="BY280" s="260"/>
      <c r="BZ280" s="239"/>
      <c r="CA280" s="260"/>
      <c r="CB280" s="239"/>
      <c r="CC280" s="260"/>
      <c r="CD280" s="539"/>
      <c r="CE280" s="239"/>
      <c r="CF280" s="276"/>
      <c r="CG280" s="256"/>
      <c r="CH280" s="259"/>
      <c r="CI280" s="347"/>
      <c r="CJ280" s="540"/>
      <c r="CK280" s="256"/>
      <c r="CL280" s="244">
        <v>1</v>
      </c>
      <c r="CM280" s="274">
        <f t="shared" si="4"/>
        <v>2015</v>
      </c>
      <c r="CN280" s="244">
        <f>IF('Grille de saisie'!CM280&lt;18,0,IF('Grille de saisie'!CM280&lt;40,1,IF('Grille de saisie'!CM280&lt;65,2,IF('Grille de saisie'!CM280&lt;100,3,4))))</f>
        <v>4</v>
      </c>
      <c r="CO280" s="236">
        <f>IF(AND('Grille de saisie'!C280=1,'Grille de saisie'!BZ280=0),1,IF(AND('Grille de saisie'!C280="",'Grille de saisie'!BZ280=""),3,IF(AND('Grille de saisie'!C280=5),3,2)))</f>
        <v>3</v>
      </c>
      <c r="CP280" s="236">
        <f>IF(AND('Grille de saisie'!C280=1,'Grille de saisie'!BZ280=0),1,IF(AND('Grille de saisie'!C280=1,'Grille de saisie'!BZ280=1),2,IF(AND('Grille de saisie'!C280=2,'Grille de saisie'!BZ280=0),2,IF(AND('Grille de saisie'!C280=3,'Grille de saisie'!BZ280=0),3,IF(AND('Grille de saisie'!C280=2,'Grille de saisie'!BZ280=1),3,IF(AND('Grille de saisie'!C280=1,'Grille de saisie'!BZ280=2),3,IF(AND('Grille de saisie'!C280="",'Grille de saisie'!BZ280=""),5,IF(AND('Grille de saisie'!C280=5),5,4))))))))</f>
        <v>5</v>
      </c>
      <c r="CQ280" s="237">
        <f>IF('Grille de saisie'!BZ280="",3,IF('Grille de saisie'!C280=5,3,IF('Grille de saisie'!BZ280=0,1,2)))</f>
        <v>3</v>
      </c>
    </row>
    <row r="281" spans="1:95" ht="15">
      <c r="A281" s="510">
        <v>279</v>
      </c>
      <c r="B281" s="240"/>
      <c r="C281" s="513"/>
      <c r="D281" s="240"/>
      <c r="E281" s="517"/>
      <c r="F281" s="265"/>
      <c r="G281" s="513"/>
      <c r="H281" s="265"/>
      <c r="I281" s="520"/>
      <c r="J281" s="241"/>
      <c r="K281" s="520"/>
      <c r="L281" s="241"/>
      <c r="M281" s="521"/>
      <c r="N281" s="241"/>
      <c r="O281" s="521"/>
      <c r="P281" s="241"/>
      <c r="Q281" s="520"/>
      <c r="R281" s="241"/>
      <c r="S281" s="520"/>
      <c r="T281" s="241"/>
      <c r="U281" s="520"/>
      <c r="V281" s="241"/>
      <c r="W281" s="242"/>
      <c r="X281" s="241"/>
      <c r="Y281" s="242"/>
      <c r="Z281" s="241"/>
      <c r="AA281" s="241"/>
      <c r="AB281" s="275"/>
      <c r="AC281" s="524"/>
      <c r="AD281" s="241"/>
      <c r="AE281" s="241"/>
      <c r="AF281" s="241"/>
      <c r="AG281" s="241"/>
      <c r="AH281" s="241"/>
      <c r="AI281" s="241"/>
      <c r="AJ281" s="529"/>
      <c r="AK281" s="258"/>
      <c r="AL281" s="241"/>
      <c r="AM281" s="242"/>
      <c r="AN281" s="241"/>
      <c r="AO281" s="242"/>
      <c r="AP281" s="241"/>
      <c r="AQ281" s="242"/>
      <c r="AR281" s="241"/>
      <c r="AS281" s="242"/>
      <c r="AT281" s="241"/>
      <c r="AU281" s="241"/>
      <c r="AV281" s="256"/>
      <c r="AW281" s="241"/>
      <c r="AX281" s="256"/>
      <c r="AY281" s="241"/>
      <c r="AZ281" s="256"/>
      <c r="BA281" s="239"/>
      <c r="BB281" s="242"/>
      <c r="BC281" s="239"/>
      <c r="BD281" s="242"/>
      <c r="BE281" s="239"/>
      <c r="BF281" s="241"/>
      <c r="BG281" s="239"/>
      <c r="BH281" s="241"/>
      <c r="BI281" s="260"/>
      <c r="BJ281" s="241"/>
      <c r="BK281" s="260"/>
      <c r="BL281" s="239"/>
      <c r="BM281" s="256"/>
      <c r="BN281" s="241"/>
      <c r="BO281" s="243"/>
      <c r="BP281" s="241"/>
      <c r="BQ281" s="239"/>
      <c r="BR281" s="276"/>
      <c r="BS281" s="256"/>
      <c r="BT281" s="260"/>
      <c r="BU281" s="261"/>
      <c r="BV281" s="260"/>
      <c r="BW281" s="239"/>
      <c r="BX281" s="260"/>
      <c r="BY281" s="260"/>
      <c r="BZ281" s="239"/>
      <c r="CA281" s="260"/>
      <c r="CB281" s="239"/>
      <c r="CC281" s="260"/>
      <c r="CD281" s="539"/>
      <c r="CE281" s="239"/>
      <c r="CF281" s="276"/>
      <c r="CG281" s="256"/>
      <c r="CH281" s="259"/>
      <c r="CI281" s="347"/>
      <c r="CJ281" s="540"/>
      <c r="CK281" s="256"/>
      <c r="CL281" s="244">
        <v>1</v>
      </c>
      <c r="CM281" s="274">
        <f t="shared" si="4"/>
        <v>2015</v>
      </c>
      <c r="CN281" s="244">
        <f>IF('Grille de saisie'!CM281&lt;18,0,IF('Grille de saisie'!CM281&lt;40,1,IF('Grille de saisie'!CM281&lt;65,2,IF('Grille de saisie'!CM281&lt;100,3,4))))</f>
        <v>4</v>
      </c>
      <c r="CO281" s="236">
        <f>IF(AND('Grille de saisie'!C281=1,'Grille de saisie'!BZ281=0),1,IF(AND('Grille de saisie'!C281="",'Grille de saisie'!BZ281=""),3,IF(AND('Grille de saisie'!C281=5),3,2)))</f>
        <v>3</v>
      </c>
      <c r="CP281" s="236">
        <f>IF(AND('Grille de saisie'!C281=1,'Grille de saisie'!BZ281=0),1,IF(AND('Grille de saisie'!C281=1,'Grille de saisie'!BZ281=1),2,IF(AND('Grille de saisie'!C281=2,'Grille de saisie'!BZ281=0),2,IF(AND('Grille de saisie'!C281=3,'Grille de saisie'!BZ281=0),3,IF(AND('Grille de saisie'!C281=2,'Grille de saisie'!BZ281=1),3,IF(AND('Grille de saisie'!C281=1,'Grille de saisie'!BZ281=2),3,IF(AND('Grille de saisie'!C281="",'Grille de saisie'!BZ281=""),5,IF(AND('Grille de saisie'!C281=5),5,4))))))))</f>
        <v>5</v>
      </c>
      <c r="CQ281" s="237">
        <f>IF('Grille de saisie'!BZ281="",3,IF('Grille de saisie'!C281=5,3,IF('Grille de saisie'!BZ281=0,1,2)))</f>
        <v>3</v>
      </c>
    </row>
    <row r="282" spans="1:95" ht="15">
      <c r="A282" s="511">
        <v>280</v>
      </c>
      <c r="B282" s="240"/>
      <c r="C282" s="513"/>
      <c r="D282" s="240"/>
      <c r="E282" s="517"/>
      <c r="F282" s="265"/>
      <c r="G282" s="513"/>
      <c r="H282" s="265"/>
      <c r="I282" s="520"/>
      <c r="J282" s="241"/>
      <c r="K282" s="520"/>
      <c r="L282" s="241"/>
      <c r="M282" s="521"/>
      <c r="N282" s="241"/>
      <c r="O282" s="521"/>
      <c r="P282" s="241"/>
      <c r="Q282" s="520"/>
      <c r="R282" s="241"/>
      <c r="S282" s="520"/>
      <c r="T282" s="241"/>
      <c r="U282" s="520"/>
      <c r="V282" s="241"/>
      <c r="W282" s="242"/>
      <c r="X282" s="241"/>
      <c r="Y282" s="242"/>
      <c r="Z282" s="241"/>
      <c r="AA282" s="241"/>
      <c r="AB282" s="275"/>
      <c r="AC282" s="524"/>
      <c r="AD282" s="241"/>
      <c r="AE282" s="241"/>
      <c r="AF282" s="241"/>
      <c r="AG282" s="241"/>
      <c r="AH282" s="241"/>
      <c r="AI282" s="241"/>
      <c r="AJ282" s="529"/>
      <c r="AK282" s="258"/>
      <c r="AL282" s="241"/>
      <c r="AM282" s="242"/>
      <c r="AN282" s="241"/>
      <c r="AO282" s="242"/>
      <c r="AP282" s="241"/>
      <c r="AQ282" s="242"/>
      <c r="AR282" s="241"/>
      <c r="AS282" s="242"/>
      <c r="AT282" s="241"/>
      <c r="AU282" s="241"/>
      <c r="AV282" s="256"/>
      <c r="AW282" s="241"/>
      <c r="AX282" s="256"/>
      <c r="AY282" s="241"/>
      <c r="AZ282" s="256"/>
      <c r="BA282" s="239"/>
      <c r="BB282" s="242"/>
      <c r="BC282" s="239"/>
      <c r="BD282" s="242"/>
      <c r="BE282" s="239"/>
      <c r="BF282" s="241"/>
      <c r="BG282" s="239"/>
      <c r="BH282" s="241"/>
      <c r="BI282" s="260"/>
      <c r="BJ282" s="241"/>
      <c r="BK282" s="260"/>
      <c r="BL282" s="239"/>
      <c r="BM282" s="256"/>
      <c r="BN282" s="241"/>
      <c r="BO282" s="243"/>
      <c r="BP282" s="241"/>
      <c r="BQ282" s="239"/>
      <c r="BR282" s="276"/>
      <c r="BS282" s="256"/>
      <c r="BT282" s="260"/>
      <c r="BU282" s="261"/>
      <c r="BV282" s="260"/>
      <c r="BW282" s="239"/>
      <c r="BX282" s="260"/>
      <c r="BY282" s="260"/>
      <c r="BZ282" s="239"/>
      <c r="CA282" s="260"/>
      <c r="CB282" s="239"/>
      <c r="CC282" s="260"/>
      <c r="CD282" s="539"/>
      <c r="CE282" s="239"/>
      <c r="CF282" s="276"/>
      <c r="CG282" s="256"/>
      <c r="CH282" s="259"/>
      <c r="CI282" s="347"/>
      <c r="CJ282" s="540"/>
      <c r="CK282" s="256"/>
      <c r="CL282" s="244">
        <v>1</v>
      </c>
      <c r="CM282" s="274">
        <f t="shared" si="4"/>
        <v>2015</v>
      </c>
      <c r="CN282" s="244">
        <f>IF('Grille de saisie'!CM282&lt;18,0,IF('Grille de saisie'!CM282&lt;40,1,IF('Grille de saisie'!CM282&lt;65,2,IF('Grille de saisie'!CM282&lt;100,3,4))))</f>
        <v>4</v>
      </c>
      <c r="CO282" s="236">
        <f>IF(AND('Grille de saisie'!C282=1,'Grille de saisie'!BZ282=0),1,IF(AND('Grille de saisie'!C282="",'Grille de saisie'!BZ282=""),3,IF(AND('Grille de saisie'!C282=5),3,2)))</f>
        <v>3</v>
      </c>
      <c r="CP282" s="236">
        <f>IF(AND('Grille de saisie'!C282=1,'Grille de saisie'!BZ282=0),1,IF(AND('Grille de saisie'!C282=1,'Grille de saisie'!BZ282=1),2,IF(AND('Grille de saisie'!C282=2,'Grille de saisie'!BZ282=0),2,IF(AND('Grille de saisie'!C282=3,'Grille de saisie'!BZ282=0),3,IF(AND('Grille de saisie'!C282=2,'Grille de saisie'!BZ282=1),3,IF(AND('Grille de saisie'!C282=1,'Grille de saisie'!BZ282=2),3,IF(AND('Grille de saisie'!C282="",'Grille de saisie'!BZ282=""),5,IF(AND('Grille de saisie'!C282=5),5,4))))))))</f>
        <v>5</v>
      </c>
      <c r="CQ282" s="237">
        <f>IF('Grille de saisie'!BZ282="",3,IF('Grille de saisie'!C282=5,3,IF('Grille de saisie'!BZ282=0,1,2)))</f>
        <v>3</v>
      </c>
    </row>
    <row r="283" spans="1:95" ht="15">
      <c r="A283" s="510">
        <v>281</v>
      </c>
      <c r="B283" s="240"/>
      <c r="C283" s="513"/>
      <c r="D283" s="240"/>
      <c r="E283" s="517"/>
      <c r="F283" s="265"/>
      <c r="G283" s="513"/>
      <c r="H283" s="265"/>
      <c r="I283" s="520"/>
      <c r="J283" s="241"/>
      <c r="K283" s="520"/>
      <c r="L283" s="241"/>
      <c r="M283" s="521"/>
      <c r="N283" s="241"/>
      <c r="O283" s="521"/>
      <c r="P283" s="241"/>
      <c r="Q283" s="520"/>
      <c r="R283" s="241"/>
      <c r="S283" s="520"/>
      <c r="T283" s="241"/>
      <c r="U283" s="520"/>
      <c r="V283" s="241"/>
      <c r="W283" s="242"/>
      <c r="X283" s="241"/>
      <c r="Y283" s="242"/>
      <c r="Z283" s="241"/>
      <c r="AA283" s="241"/>
      <c r="AB283" s="275"/>
      <c r="AC283" s="524"/>
      <c r="AD283" s="241"/>
      <c r="AE283" s="241"/>
      <c r="AF283" s="241"/>
      <c r="AG283" s="241"/>
      <c r="AH283" s="241"/>
      <c r="AI283" s="241"/>
      <c r="AJ283" s="529"/>
      <c r="AK283" s="258"/>
      <c r="AL283" s="241"/>
      <c r="AM283" s="242"/>
      <c r="AN283" s="241"/>
      <c r="AO283" s="242"/>
      <c r="AP283" s="241"/>
      <c r="AQ283" s="242"/>
      <c r="AR283" s="241"/>
      <c r="AS283" s="242"/>
      <c r="AT283" s="241"/>
      <c r="AU283" s="241"/>
      <c r="AV283" s="256"/>
      <c r="AW283" s="241"/>
      <c r="AX283" s="256"/>
      <c r="AY283" s="241"/>
      <c r="AZ283" s="256"/>
      <c r="BA283" s="239"/>
      <c r="BB283" s="242"/>
      <c r="BC283" s="239"/>
      <c r="BD283" s="242"/>
      <c r="BE283" s="239"/>
      <c r="BF283" s="241"/>
      <c r="BG283" s="239"/>
      <c r="BH283" s="241"/>
      <c r="BI283" s="260"/>
      <c r="BJ283" s="241"/>
      <c r="BK283" s="260"/>
      <c r="BL283" s="239"/>
      <c r="BM283" s="256"/>
      <c r="BN283" s="241"/>
      <c r="BO283" s="243"/>
      <c r="BP283" s="241"/>
      <c r="BQ283" s="239"/>
      <c r="BR283" s="276"/>
      <c r="BS283" s="256"/>
      <c r="BT283" s="260"/>
      <c r="BU283" s="261"/>
      <c r="BV283" s="260"/>
      <c r="BW283" s="239"/>
      <c r="BX283" s="260"/>
      <c r="BY283" s="260"/>
      <c r="BZ283" s="239"/>
      <c r="CA283" s="260"/>
      <c r="CB283" s="239"/>
      <c r="CC283" s="260"/>
      <c r="CD283" s="539"/>
      <c r="CE283" s="239"/>
      <c r="CF283" s="276"/>
      <c r="CG283" s="256"/>
      <c r="CH283" s="259"/>
      <c r="CI283" s="347"/>
      <c r="CJ283" s="540"/>
      <c r="CK283" s="256"/>
      <c r="CL283" s="244">
        <v>1</v>
      </c>
      <c r="CM283" s="274">
        <f t="shared" si="4"/>
        <v>2015</v>
      </c>
      <c r="CN283" s="244">
        <f>IF('Grille de saisie'!CM283&lt;18,0,IF('Grille de saisie'!CM283&lt;40,1,IF('Grille de saisie'!CM283&lt;65,2,IF('Grille de saisie'!CM283&lt;100,3,4))))</f>
        <v>4</v>
      </c>
      <c r="CO283" s="236">
        <f>IF(AND('Grille de saisie'!C283=1,'Grille de saisie'!BZ283=0),1,IF(AND('Grille de saisie'!C283="",'Grille de saisie'!BZ283=""),3,IF(AND('Grille de saisie'!C283=5),3,2)))</f>
        <v>3</v>
      </c>
      <c r="CP283" s="236">
        <f>IF(AND('Grille de saisie'!C283=1,'Grille de saisie'!BZ283=0),1,IF(AND('Grille de saisie'!C283=1,'Grille de saisie'!BZ283=1),2,IF(AND('Grille de saisie'!C283=2,'Grille de saisie'!BZ283=0),2,IF(AND('Grille de saisie'!C283=3,'Grille de saisie'!BZ283=0),3,IF(AND('Grille de saisie'!C283=2,'Grille de saisie'!BZ283=1),3,IF(AND('Grille de saisie'!C283=1,'Grille de saisie'!BZ283=2),3,IF(AND('Grille de saisie'!C283="",'Grille de saisie'!BZ283=""),5,IF(AND('Grille de saisie'!C283=5),5,4))))))))</f>
        <v>5</v>
      </c>
      <c r="CQ283" s="237">
        <f>IF('Grille de saisie'!BZ283="",3,IF('Grille de saisie'!C283=5,3,IF('Grille de saisie'!BZ283=0,1,2)))</f>
        <v>3</v>
      </c>
    </row>
    <row r="284" spans="1:95" ht="15">
      <c r="A284" s="510">
        <v>282</v>
      </c>
      <c r="B284" s="240"/>
      <c r="C284" s="513"/>
      <c r="D284" s="240"/>
      <c r="E284" s="517"/>
      <c r="F284" s="265"/>
      <c r="G284" s="513"/>
      <c r="H284" s="265"/>
      <c r="I284" s="520"/>
      <c r="J284" s="241"/>
      <c r="K284" s="520"/>
      <c r="L284" s="241"/>
      <c r="M284" s="521"/>
      <c r="N284" s="241"/>
      <c r="O284" s="521"/>
      <c r="P284" s="241"/>
      <c r="Q284" s="520"/>
      <c r="R284" s="241"/>
      <c r="S284" s="520"/>
      <c r="T284" s="241"/>
      <c r="U284" s="520"/>
      <c r="V284" s="241"/>
      <c r="W284" s="242"/>
      <c r="X284" s="241"/>
      <c r="Y284" s="242"/>
      <c r="Z284" s="241"/>
      <c r="AA284" s="241"/>
      <c r="AB284" s="275"/>
      <c r="AC284" s="524"/>
      <c r="AD284" s="241"/>
      <c r="AE284" s="241"/>
      <c r="AF284" s="241"/>
      <c r="AG284" s="241"/>
      <c r="AH284" s="241"/>
      <c r="AI284" s="241"/>
      <c r="AJ284" s="529"/>
      <c r="AK284" s="258"/>
      <c r="AL284" s="241"/>
      <c r="AM284" s="242"/>
      <c r="AN284" s="241"/>
      <c r="AO284" s="242"/>
      <c r="AP284" s="241"/>
      <c r="AQ284" s="242"/>
      <c r="AR284" s="241"/>
      <c r="AS284" s="242"/>
      <c r="AT284" s="241"/>
      <c r="AU284" s="241"/>
      <c r="AV284" s="256"/>
      <c r="AW284" s="241"/>
      <c r="AX284" s="256"/>
      <c r="AY284" s="241"/>
      <c r="AZ284" s="256"/>
      <c r="BA284" s="239"/>
      <c r="BB284" s="242"/>
      <c r="BC284" s="239"/>
      <c r="BD284" s="242"/>
      <c r="BE284" s="239"/>
      <c r="BF284" s="241"/>
      <c r="BG284" s="239"/>
      <c r="BH284" s="241"/>
      <c r="BI284" s="260"/>
      <c r="BJ284" s="241"/>
      <c r="BK284" s="260"/>
      <c r="BL284" s="239"/>
      <c r="BM284" s="256"/>
      <c r="BN284" s="241"/>
      <c r="BO284" s="243"/>
      <c r="BP284" s="241"/>
      <c r="BQ284" s="239"/>
      <c r="BR284" s="276"/>
      <c r="BS284" s="256"/>
      <c r="BT284" s="260"/>
      <c r="BU284" s="261"/>
      <c r="BV284" s="260"/>
      <c r="BW284" s="239"/>
      <c r="BX284" s="260"/>
      <c r="BY284" s="260"/>
      <c r="BZ284" s="239"/>
      <c r="CA284" s="260"/>
      <c r="CB284" s="239"/>
      <c r="CC284" s="260"/>
      <c r="CD284" s="539"/>
      <c r="CE284" s="239"/>
      <c r="CF284" s="276"/>
      <c r="CG284" s="256"/>
      <c r="CH284" s="259"/>
      <c r="CI284" s="347"/>
      <c r="CJ284" s="540"/>
      <c r="CK284" s="256"/>
      <c r="CL284" s="244">
        <v>1</v>
      </c>
      <c r="CM284" s="274">
        <f t="shared" si="4"/>
        <v>2015</v>
      </c>
      <c r="CN284" s="244">
        <f>IF('Grille de saisie'!CM284&lt;18,0,IF('Grille de saisie'!CM284&lt;40,1,IF('Grille de saisie'!CM284&lt;65,2,IF('Grille de saisie'!CM284&lt;100,3,4))))</f>
        <v>4</v>
      </c>
      <c r="CO284" s="236">
        <f>IF(AND('Grille de saisie'!C284=1,'Grille de saisie'!BZ284=0),1,IF(AND('Grille de saisie'!C284="",'Grille de saisie'!BZ284=""),3,IF(AND('Grille de saisie'!C284=5),3,2)))</f>
        <v>3</v>
      </c>
      <c r="CP284" s="236">
        <f>IF(AND('Grille de saisie'!C284=1,'Grille de saisie'!BZ284=0),1,IF(AND('Grille de saisie'!C284=1,'Grille de saisie'!BZ284=1),2,IF(AND('Grille de saisie'!C284=2,'Grille de saisie'!BZ284=0),2,IF(AND('Grille de saisie'!C284=3,'Grille de saisie'!BZ284=0),3,IF(AND('Grille de saisie'!C284=2,'Grille de saisie'!BZ284=1),3,IF(AND('Grille de saisie'!C284=1,'Grille de saisie'!BZ284=2),3,IF(AND('Grille de saisie'!C284="",'Grille de saisie'!BZ284=""),5,IF(AND('Grille de saisie'!C284=5),5,4))))))))</f>
        <v>5</v>
      </c>
      <c r="CQ284" s="237">
        <f>IF('Grille de saisie'!BZ284="",3,IF('Grille de saisie'!C284=5,3,IF('Grille de saisie'!BZ284=0,1,2)))</f>
        <v>3</v>
      </c>
    </row>
    <row r="285" spans="1:95" ht="15">
      <c r="A285" s="511">
        <v>283</v>
      </c>
      <c r="B285" s="240"/>
      <c r="C285" s="513"/>
      <c r="D285" s="240"/>
      <c r="E285" s="517"/>
      <c r="F285" s="265"/>
      <c r="G285" s="513"/>
      <c r="H285" s="265"/>
      <c r="I285" s="520"/>
      <c r="J285" s="241"/>
      <c r="K285" s="520"/>
      <c r="L285" s="241"/>
      <c r="M285" s="521"/>
      <c r="N285" s="241"/>
      <c r="O285" s="521"/>
      <c r="P285" s="241"/>
      <c r="Q285" s="520"/>
      <c r="R285" s="241"/>
      <c r="S285" s="520"/>
      <c r="T285" s="241"/>
      <c r="U285" s="520"/>
      <c r="V285" s="241"/>
      <c r="W285" s="242"/>
      <c r="X285" s="241"/>
      <c r="Y285" s="242"/>
      <c r="Z285" s="241"/>
      <c r="AA285" s="241"/>
      <c r="AB285" s="275"/>
      <c r="AC285" s="524"/>
      <c r="AD285" s="241"/>
      <c r="AE285" s="241"/>
      <c r="AF285" s="241"/>
      <c r="AG285" s="241"/>
      <c r="AH285" s="241"/>
      <c r="AI285" s="241"/>
      <c r="AJ285" s="529"/>
      <c r="AK285" s="258"/>
      <c r="AL285" s="241"/>
      <c r="AM285" s="242"/>
      <c r="AN285" s="241"/>
      <c r="AO285" s="242"/>
      <c r="AP285" s="241"/>
      <c r="AQ285" s="242"/>
      <c r="AR285" s="241"/>
      <c r="AS285" s="242"/>
      <c r="AT285" s="241"/>
      <c r="AU285" s="241"/>
      <c r="AV285" s="256"/>
      <c r="AW285" s="241"/>
      <c r="AX285" s="256"/>
      <c r="AY285" s="241"/>
      <c r="AZ285" s="256"/>
      <c r="BA285" s="239"/>
      <c r="BB285" s="242"/>
      <c r="BC285" s="239"/>
      <c r="BD285" s="242"/>
      <c r="BE285" s="239"/>
      <c r="BF285" s="241"/>
      <c r="BG285" s="239"/>
      <c r="BH285" s="241"/>
      <c r="BI285" s="260"/>
      <c r="BJ285" s="241"/>
      <c r="BK285" s="260"/>
      <c r="BL285" s="239"/>
      <c r="BM285" s="256"/>
      <c r="BN285" s="241"/>
      <c r="BO285" s="243"/>
      <c r="BP285" s="241"/>
      <c r="BQ285" s="239"/>
      <c r="BR285" s="276"/>
      <c r="BS285" s="256"/>
      <c r="BT285" s="260"/>
      <c r="BU285" s="261"/>
      <c r="BV285" s="260"/>
      <c r="BW285" s="239"/>
      <c r="BX285" s="260"/>
      <c r="BY285" s="260"/>
      <c r="BZ285" s="239"/>
      <c r="CA285" s="260"/>
      <c r="CB285" s="239"/>
      <c r="CC285" s="260"/>
      <c r="CD285" s="539"/>
      <c r="CE285" s="239"/>
      <c r="CF285" s="276"/>
      <c r="CG285" s="256"/>
      <c r="CH285" s="259"/>
      <c r="CI285" s="347"/>
      <c r="CJ285" s="540"/>
      <c r="CK285" s="256"/>
      <c r="CL285" s="244">
        <v>1</v>
      </c>
      <c r="CM285" s="274">
        <f t="shared" si="4"/>
        <v>2015</v>
      </c>
      <c r="CN285" s="244">
        <f>IF('Grille de saisie'!CM285&lt;18,0,IF('Grille de saisie'!CM285&lt;40,1,IF('Grille de saisie'!CM285&lt;65,2,IF('Grille de saisie'!CM285&lt;100,3,4))))</f>
        <v>4</v>
      </c>
      <c r="CO285" s="236">
        <f>IF(AND('Grille de saisie'!C285=1,'Grille de saisie'!BZ285=0),1,IF(AND('Grille de saisie'!C285="",'Grille de saisie'!BZ285=""),3,IF(AND('Grille de saisie'!C285=5),3,2)))</f>
        <v>3</v>
      </c>
      <c r="CP285" s="236">
        <f>IF(AND('Grille de saisie'!C285=1,'Grille de saisie'!BZ285=0),1,IF(AND('Grille de saisie'!C285=1,'Grille de saisie'!BZ285=1),2,IF(AND('Grille de saisie'!C285=2,'Grille de saisie'!BZ285=0),2,IF(AND('Grille de saisie'!C285=3,'Grille de saisie'!BZ285=0),3,IF(AND('Grille de saisie'!C285=2,'Grille de saisie'!BZ285=1),3,IF(AND('Grille de saisie'!C285=1,'Grille de saisie'!BZ285=2),3,IF(AND('Grille de saisie'!C285="",'Grille de saisie'!BZ285=""),5,IF(AND('Grille de saisie'!C285=5),5,4))))))))</f>
        <v>5</v>
      </c>
      <c r="CQ285" s="237">
        <f>IF('Grille de saisie'!BZ285="",3,IF('Grille de saisie'!C285=5,3,IF('Grille de saisie'!BZ285=0,1,2)))</f>
        <v>3</v>
      </c>
    </row>
    <row r="286" spans="1:95" ht="15">
      <c r="A286" s="510">
        <v>284</v>
      </c>
      <c r="B286" s="240"/>
      <c r="C286" s="513"/>
      <c r="D286" s="240"/>
      <c r="E286" s="517"/>
      <c r="F286" s="265"/>
      <c r="G286" s="513"/>
      <c r="H286" s="265"/>
      <c r="I286" s="520"/>
      <c r="J286" s="241"/>
      <c r="K286" s="520"/>
      <c r="L286" s="241"/>
      <c r="M286" s="521"/>
      <c r="N286" s="241"/>
      <c r="O286" s="521"/>
      <c r="P286" s="241"/>
      <c r="Q286" s="520"/>
      <c r="R286" s="241"/>
      <c r="S286" s="520"/>
      <c r="T286" s="241"/>
      <c r="U286" s="520"/>
      <c r="V286" s="241"/>
      <c r="W286" s="242"/>
      <c r="X286" s="241"/>
      <c r="Y286" s="242"/>
      <c r="Z286" s="241"/>
      <c r="AA286" s="241"/>
      <c r="AB286" s="275"/>
      <c r="AC286" s="524"/>
      <c r="AD286" s="241"/>
      <c r="AE286" s="241"/>
      <c r="AF286" s="241"/>
      <c r="AG286" s="241"/>
      <c r="AH286" s="241"/>
      <c r="AI286" s="241"/>
      <c r="AJ286" s="529"/>
      <c r="AK286" s="258"/>
      <c r="AL286" s="241"/>
      <c r="AM286" s="242"/>
      <c r="AN286" s="241"/>
      <c r="AO286" s="242"/>
      <c r="AP286" s="241"/>
      <c r="AQ286" s="242"/>
      <c r="AR286" s="241"/>
      <c r="AS286" s="242"/>
      <c r="AT286" s="241"/>
      <c r="AU286" s="241"/>
      <c r="AV286" s="256"/>
      <c r="AW286" s="241"/>
      <c r="AX286" s="256"/>
      <c r="AY286" s="241"/>
      <c r="AZ286" s="256"/>
      <c r="BA286" s="239"/>
      <c r="BB286" s="242"/>
      <c r="BC286" s="239"/>
      <c r="BD286" s="242"/>
      <c r="BE286" s="239"/>
      <c r="BF286" s="241"/>
      <c r="BG286" s="239"/>
      <c r="BH286" s="241"/>
      <c r="BI286" s="260"/>
      <c r="BJ286" s="241"/>
      <c r="BK286" s="260"/>
      <c r="BL286" s="239"/>
      <c r="BM286" s="256"/>
      <c r="BN286" s="241"/>
      <c r="BO286" s="243"/>
      <c r="BP286" s="241"/>
      <c r="BQ286" s="239"/>
      <c r="BR286" s="276"/>
      <c r="BS286" s="256"/>
      <c r="BT286" s="260"/>
      <c r="BU286" s="261"/>
      <c r="BV286" s="260"/>
      <c r="BW286" s="239"/>
      <c r="BX286" s="260"/>
      <c r="BY286" s="260"/>
      <c r="BZ286" s="239"/>
      <c r="CA286" s="260"/>
      <c r="CB286" s="239"/>
      <c r="CC286" s="260"/>
      <c r="CD286" s="539"/>
      <c r="CE286" s="239"/>
      <c r="CF286" s="276"/>
      <c r="CG286" s="256"/>
      <c r="CH286" s="259"/>
      <c r="CI286" s="347"/>
      <c r="CJ286" s="540"/>
      <c r="CK286" s="256"/>
      <c r="CL286" s="244">
        <v>1</v>
      </c>
      <c r="CM286" s="274">
        <f t="shared" si="4"/>
        <v>2015</v>
      </c>
      <c r="CN286" s="244">
        <f>IF('Grille de saisie'!CM286&lt;18,0,IF('Grille de saisie'!CM286&lt;40,1,IF('Grille de saisie'!CM286&lt;65,2,IF('Grille de saisie'!CM286&lt;100,3,4))))</f>
        <v>4</v>
      </c>
      <c r="CO286" s="236">
        <f>IF(AND('Grille de saisie'!C286=1,'Grille de saisie'!BZ286=0),1,IF(AND('Grille de saisie'!C286="",'Grille de saisie'!BZ286=""),3,IF(AND('Grille de saisie'!C286=5),3,2)))</f>
        <v>3</v>
      </c>
      <c r="CP286" s="236">
        <f>IF(AND('Grille de saisie'!C286=1,'Grille de saisie'!BZ286=0),1,IF(AND('Grille de saisie'!C286=1,'Grille de saisie'!BZ286=1),2,IF(AND('Grille de saisie'!C286=2,'Grille de saisie'!BZ286=0),2,IF(AND('Grille de saisie'!C286=3,'Grille de saisie'!BZ286=0),3,IF(AND('Grille de saisie'!C286=2,'Grille de saisie'!BZ286=1),3,IF(AND('Grille de saisie'!C286=1,'Grille de saisie'!BZ286=2),3,IF(AND('Grille de saisie'!C286="",'Grille de saisie'!BZ286=""),5,IF(AND('Grille de saisie'!C286=5),5,4))))))))</f>
        <v>5</v>
      </c>
      <c r="CQ286" s="237">
        <f>IF('Grille de saisie'!BZ286="",3,IF('Grille de saisie'!C286=5,3,IF('Grille de saisie'!BZ286=0,1,2)))</f>
        <v>3</v>
      </c>
    </row>
    <row r="287" spans="1:95" ht="15">
      <c r="A287" s="510">
        <v>285</v>
      </c>
      <c r="B287" s="240"/>
      <c r="C287" s="513"/>
      <c r="D287" s="240"/>
      <c r="E287" s="517"/>
      <c r="F287" s="265"/>
      <c r="G287" s="513"/>
      <c r="H287" s="265"/>
      <c r="I287" s="520"/>
      <c r="J287" s="241"/>
      <c r="K287" s="520"/>
      <c r="L287" s="241"/>
      <c r="M287" s="521"/>
      <c r="N287" s="241"/>
      <c r="O287" s="521"/>
      <c r="P287" s="241"/>
      <c r="Q287" s="520"/>
      <c r="R287" s="241"/>
      <c r="S287" s="520"/>
      <c r="T287" s="241"/>
      <c r="U287" s="520"/>
      <c r="V287" s="241"/>
      <c r="W287" s="242"/>
      <c r="X287" s="241"/>
      <c r="Y287" s="242"/>
      <c r="Z287" s="241"/>
      <c r="AA287" s="241"/>
      <c r="AB287" s="275"/>
      <c r="AC287" s="524"/>
      <c r="AD287" s="241"/>
      <c r="AE287" s="241"/>
      <c r="AF287" s="241"/>
      <c r="AG287" s="241"/>
      <c r="AH287" s="241"/>
      <c r="AI287" s="241"/>
      <c r="AJ287" s="529"/>
      <c r="AK287" s="258"/>
      <c r="AL287" s="241"/>
      <c r="AM287" s="242"/>
      <c r="AN287" s="241"/>
      <c r="AO287" s="242"/>
      <c r="AP287" s="241"/>
      <c r="AQ287" s="242"/>
      <c r="AR287" s="241"/>
      <c r="AS287" s="242"/>
      <c r="AT287" s="241"/>
      <c r="AU287" s="241"/>
      <c r="AV287" s="256"/>
      <c r="AW287" s="241"/>
      <c r="AX287" s="256"/>
      <c r="AY287" s="241"/>
      <c r="AZ287" s="256"/>
      <c r="BA287" s="239"/>
      <c r="BB287" s="242"/>
      <c r="BC287" s="239"/>
      <c r="BD287" s="242"/>
      <c r="BE287" s="239"/>
      <c r="BF287" s="241"/>
      <c r="BG287" s="239"/>
      <c r="BH287" s="241"/>
      <c r="BI287" s="260"/>
      <c r="BJ287" s="241"/>
      <c r="BK287" s="260"/>
      <c r="BL287" s="239"/>
      <c r="BM287" s="256"/>
      <c r="BN287" s="241"/>
      <c r="BO287" s="243"/>
      <c r="BP287" s="241"/>
      <c r="BQ287" s="239"/>
      <c r="BR287" s="276"/>
      <c r="BS287" s="256"/>
      <c r="BT287" s="260"/>
      <c r="BU287" s="261"/>
      <c r="BV287" s="260"/>
      <c r="BW287" s="239"/>
      <c r="BX287" s="260"/>
      <c r="BY287" s="260"/>
      <c r="BZ287" s="239"/>
      <c r="CA287" s="260"/>
      <c r="CB287" s="239"/>
      <c r="CC287" s="260"/>
      <c r="CD287" s="539"/>
      <c r="CE287" s="239"/>
      <c r="CF287" s="276"/>
      <c r="CG287" s="256"/>
      <c r="CH287" s="259"/>
      <c r="CI287" s="347"/>
      <c r="CJ287" s="540"/>
      <c r="CK287" s="256"/>
      <c r="CL287" s="244">
        <v>1</v>
      </c>
      <c r="CM287" s="274">
        <f t="shared" si="4"/>
        <v>2015</v>
      </c>
      <c r="CN287" s="244">
        <f>IF('Grille de saisie'!CM287&lt;18,0,IF('Grille de saisie'!CM287&lt;40,1,IF('Grille de saisie'!CM287&lt;65,2,IF('Grille de saisie'!CM287&lt;100,3,4))))</f>
        <v>4</v>
      </c>
      <c r="CO287" s="236">
        <f>IF(AND('Grille de saisie'!C287=1,'Grille de saisie'!BZ287=0),1,IF(AND('Grille de saisie'!C287="",'Grille de saisie'!BZ287=""),3,IF(AND('Grille de saisie'!C287=5),3,2)))</f>
        <v>3</v>
      </c>
      <c r="CP287" s="236">
        <f>IF(AND('Grille de saisie'!C287=1,'Grille de saisie'!BZ287=0),1,IF(AND('Grille de saisie'!C287=1,'Grille de saisie'!BZ287=1),2,IF(AND('Grille de saisie'!C287=2,'Grille de saisie'!BZ287=0),2,IF(AND('Grille de saisie'!C287=3,'Grille de saisie'!BZ287=0),3,IF(AND('Grille de saisie'!C287=2,'Grille de saisie'!BZ287=1),3,IF(AND('Grille de saisie'!C287=1,'Grille de saisie'!BZ287=2),3,IF(AND('Grille de saisie'!C287="",'Grille de saisie'!BZ287=""),5,IF(AND('Grille de saisie'!C287=5),5,4))))))))</f>
        <v>5</v>
      </c>
      <c r="CQ287" s="237">
        <f>IF('Grille de saisie'!BZ287="",3,IF('Grille de saisie'!C287=5,3,IF('Grille de saisie'!BZ287=0,1,2)))</f>
        <v>3</v>
      </c>
    </row>
    <row r="288" spans="1:95" ht="15">
      <c r="A288" s="511">
        <v>286</v>
      </c>
      <c r="B288" s="240"/>
      <c r="C288" s="513"/>
      <c r="D288" s="240"/>
      <c r="E288" s="517"/>
      <c r="F288" s="265"/>
      <c r="G288" s="513"/>
      <c r="H288" s="265"/>
      <c r="I288" s="520"/>
      <c r="J288" s="241"/>
      <c r="K288" s="520"/>
      <c r="L288" s="241"/>
      <c r="M288" s="521"/>
      <c r="N288" s="241"/>
      <c r="O288" s="521"/>
      <c r="P288" s="241"/>
      <c r="Q288" s="520"/>
      <c r="R288" s="241"/>
      <c r="S288" s="520"/>
      <c r="T288" s="241"/>
      <c r="U288" s="520"/>
      <c r="V288" s="241"/>
      <c r="W288" s="242"/>
      <c r="X288" s="241"/>
      <c r="Y288" s="242"/>
      <c r="Z288" s="241"/>
      <c r="AA288" s="241"/>
      <c r="AB288" s="275"/>
      <c r="AC288" s="524"/>
      <c r="AD288" s="241"/>
      <c r="AE288" s="241"/>
      <c r="AF288" s="241"/>
      <c r="AG288" s="241"/>
      <c r="AH288" s="241"/>
      <c r="AI288" s="241"/>
      <c r="AJ288" s="529"/>
      <c r="AK288" s="258"/>
      <c r="AL288" s="241"/>
      <c r="AM288" s="242"/>
      <c r="AN288" s="241"/>
      <c r="AO288" s="242"/>
      <c r="AP288" s="241"/>
      <c r="AQ288" s="242"/>
      <c r="AR288" s="241"/>
      <c r="AS288" s="242"/>
      <c r="AT288" s="241"/>
      <c r="AU288" s="241"/>
      <c r="AV288" s="256"/>
      <c r="AW288" s="241"/>
      <c r="AX288" s="256"/>
      <c r="AY288" s="241"/>
      <c r="AZ288" s="256"/>
      <c r="BA288" s="239"/>
      <c r="BB288" s="242"/>
      <c r="BC288" s="239"/>
      <c r="BD288" s="242"/>
      <c r="BE288" s="239"/>
      <c r="BF288" s="241"/>
      <c r="BG288" s="239"/>
      <c r="BH288" s="241"/>
      <c r="BI288" s="260"/>
      <c r="BJ288" s="241"/>
      <c r="BK288" s="260"/>
      <c r="BL288" s="239"/>
      <c r="BM288" s="256"/>
      <c r="BN288" s="241"/>
      <c r="BO288" s="243"/>
      <c r="BP288" s="241"/>
      <c r="BQ288" s="239"/>
      <c r="BR288" s="276"/>
      <c r="BS288" s="256"/>
      <c r="BT288" s="260"/>
      <c r="BU288" s="261"/>
      <c r="BV288" s="260"/>
      <c r="BW288" s="239"/>
      <c r="BX288" s="260"/>
      <c r="BY288" s="260"/>
      <c r="BZ288" s="239"/>
      <c r="CA288" s="260"/>
      <c r="CB288" s="239"/>
      <c r="CC288" s="260"/>
      <c r="CD288" s="539"/>
      <c r="CE288" s="239"/>
      <c r="CF288" s="276"/>
      <c r="CG288" s="256"/>
      <c r="CH288" s="259"/>
      <c r="CI288" s="347"/>
      <c r="CJ288" s="540"/>
      <c r="CK288" s="256"/>
      <c r="CL288" s="244">
        <v>1</v>
      </c>
      <c r="CM288" s="274">
        <f t="shared" si="4"/>
        <v>2015</v>
      </c>
      <c r="CN288" s="244">
        <f>IF('Grille de saisie'!CM288&lt;18,0,IF('Grille de saisie'!CM288&lt;40,1,IF('Grille de saisie'!CM288&lt;65,2,IF('Grille de saisie'!CM288&lt;100,3,4))))</f>
        <v>4</v>
      </c>
      <c r="CO288" s="236">
        <f>IF(AND('Grille de saisie'!C288=1,'Grille de saisie'!BZ288=0),1,IF(AND('Grille de saisie'!C288="",'Grille de saisie'!BZ288=""),3,IF(AND('Grille de saisie'!C288=5),3,2)))</f>
        <v>3</v>
      </c>
      <c r="CP288" s="236">
        <f>IF(AND('Grille de saisie'!C288=1,'Grille de saisie'!BZ288=0),1,IF(AND('Grille de saisie'!C288=1,'Grille de saisie'!BZ288=1),2,IF(AND('Grille de saisie'!C288=2,'Grille de saisie'!BZ288=0),2,IF(AND('Grille de saisie'!C288=3,'Grille de saisie'!BZ288=0),3,IF(AND('Grille de saisie'!C288=2,'Grille de saisie'!BZ288=1),3,IF(AND('Grille de saisie'!C288=1,'Grille de saisie'!BZ288=2),3,IF(AND('Grille de saisie'!C288="",'Grille de saisie'!BZ288=""),5,IF(AND('Grille de saisie'!C288=5),5,4))))))))</f>
        <v>5</v>
      </c>
      <c r="CQ288" s="237">
        <f>IF('Grille de saisie'!BZ288="",3,IF('Grille de saisie'!C288=5,3,IF('Grille de saisie'!BZ288=0,1,2)))</f>
        <v>3</v>
      </c>
    </row>
    <row r="289" spans="1:95" ht="15">
      <c r="A289" s="510">
        <v>287</v>
      </c>
      <c r="B289" s="240"/>
      <c r="C289" s="513"/>
      <c r="D289" s="240"/>
      <c r="E289" s="517"/>
      <c r="F289" s="265"/>
      <c r="G289" s="513"/>
      <c r="H289" s="265"/>
      <c r="I289" s="520"/>
      <c r="J289" s="241"/>
      <c r="K289" s="520"/>
      <c r="L289" s="241"/>
      <c r="M289" s="521"/>
      <c r="N289" s="241"/>
      <c r="O289" s="521"/>
      <c r="P289" s="241"/>
      <c r="Q289" s="520"/>
      <c r="R289" s="241"/>
      <c r="S289" s="520"/>
      <c r="T289" s="241"/>
      <c r="U289" s="520"/>
      <c r="V289" s="241"/>
      <c r="W289" s="242"/>
      <c r="X289" s="241"/>
      <c r="Y289" s="242"/>
      <c r="Z289" s="241"/>
      <c r="AA289" s="241"/>
      <c r="AB289" s="275"/>
      <c r="AC289" s="524"/>
      <c r="AD289" s="241"/>
      <c r="AE289" s="241"/>
      <c r="AF289" s="241"/>
      <c r="AG289" s="241"/>
      <c r="AH289" s="241"/>
      <c r="AI289" s="241"/>
      <c r="AJ289" s="529"/>
      <c r="AK289" s="258"/>
      <c r="AL289" s="241"/>
      <c r="AM289" s="242"/>
      <c r="AN289" s="241"/>
      <c r="AO289" s="242"/>
      <c r="AP289" s="241"/>
      <c r="AQ289" s="242"/>
      <c r="AR289" s="241"/>
      <c r="AS289" s="242"/>
      <c r="AT289" s="241"/>
      <c r="AU289" s="241"/>
      <c r="AV289" s="256"/>
      <c r="AW289" s="241"/>
      <c r="AX289" s="256"/>
      <c r="AY289" s="241"/>
      <c r="AZ289" s="256"/>
      <c r="BA289" s="239"/>
      <c r="BB289" s="242"/>
      <c r="BC289" s="239"/>
      <c r="BD289" s="242"/>
      <c r="BE289" s="239"/>
      <c r="BF289" s="241"/>
      <c r="BG289" s="239"/>
      <c r="BH289" s="241"/>
      <c r="BI289" s="260"/>
      <c r="BJ289" s="241"/>
      <c r="BK289" s="260"/>
      <c r="BL289" s="239"/>
      <c r="BM289" s="256"/>
      <c r="BN289" s="241"/>
      <c r="BO289" s="243"/>
      <c r="BP289" s="241"/>
      <c r="BQ289" s="239"/>
      <c r="BR289" s="276"/>
      <c r="BS289" s="256"/>
      <c r="BT289" s="260"/>
      <c r="BU289" s="261"/>
      <c r="BV289" s="260"/>
      <c r="BW289" s="239"/>
      <c r="BX289" s="260"/>
      <c r="BY289" s="260"/>
      <c r="BZ289" s="239"/>
      <c r="CA289" s="260"/>
      <c r="CB289" s="239"/>
      <c r="CC289" s="260"/>
      <c r="CD289" s="539"/>
      <c r="CE289" s="239"/>
      <c r="CF289" s="276"/>
      <c r="CG289" s="256"/>
      <c r="CH289" s="259"/>
      <c r="CI289" s="347"/>
      <c r="CJ289" s="540"/>
      <c r="CK289" s="256"/>
      <c r="CL289" s="244">
        <v>1</v>
      </c>
      <c r="CM289" s="274">
        <f t="shared" si="4"/>
        <v>2015</v>
      </c>
      <c r="CN289" s="244">
        <f>IF('Grille de saisie'!CM289&lt;18,0,IF('Grille de saisie'!CM289&lt;40,1,IF('Grille de saisie'!CM289&lt;65,2,IF('Grille de saisie'!CM289&lt;100,3,4))))</f>
        <v>4</v>
      </c>
      <c r="CO289" s="236">
        <f>IF(AND('Grille de saisie'!C289=1,'Grille de saisie'!BZ289=0),1,IF(AND('Grille de saisie'!C289="",'Grille de saisie'!BZ289=""),3,IF(AND('Grille de saisie'!C289=5),3,2)))</f>
        <v>3</v>
      </c>
      <c r="CP289" s="236">
        <f>IF(AND('Grille de saisie'!C289=1,'Grille de saisie'!BZ289=0),1,IF(AND('Grille de saisie'!C289=1,'Grille de saisie'!BZ289=1),2,IF(AND('Grille de saisie'!C289=2,'Grille de saisie'!BZ289=0),2,IF(AND('Grille de saisie'!C289=3,'Grille de saisie'!BZ289=0),3,IF(AND('Grille de saisie'!C289=2,'Grille de saisie'!BZ289=1),3,IF(AND('Grille de saisie'!C289=1,'Grille de saisie'!BZ289=2),3,IF(AND('Grille de saisie'!C289="",'Grille de saisie'!BZ289=""),5,IF(AND('Grille de saisie'!C289=5),5,4))))))))</f>
        <v>5</v>
      </c>
      <c r="CQ289" s="237">
        <f>IF('Grille de saisie'!BZ289="",3,IF('Grille de saisie'!C289=5,3,IF('Grille de saisie'!BZ289=0,1,2)))</f>
        <v>3</v>
      </c>
    </row>
    <row r="290" spans="1:95" ht="15">
      <c r="A290" s="510">
        <v>288</v>
      </c>
      <c r="B290" s="240"/>
      <c r="C290" s="513"/>
      <c r="D290" s="240"/>
      <c r="E290" s="517"/>
      <c r="F290" s="265"/>
      <c r="G290" s="513"/>
      <c r="H290" s="265"/>
      <c r="I290" s="520"/>
      <c r="J290" s="241"/>
      <c r="K290" s="520"/>
      <c r="L290" s="241"/>
      <c r="M290" s="521"/>
      <c r="N290" s="241"/>
      <c r="O290" s="521"/>
      <c r="P290" s="241"/>
      <c r="Q290" s="520"/>
      <c r="R290" s="241"/>
      <c r="S290" s="520"/>
      <c r="T290" s="241"/>
      <c r="U290" s="520"/>
      <c r="V290" s="241"/>
      <c r="W290" s="242"/>
      <c r="X290" s="241"/>
      <c r="Y290" s="242"/>
      <c r="Z290" s="241"/>
      <c r="AA290" s="241"/>
      <c r="AB290" s="275"/>
      <c r="AC290" s="524"/>
      <c r="AD290" s="241"/>
      <c r="AE290" s="241"/>
      <c r="AF290" s="241"/>
      <c r="AG290" s="241"/>
      <c r="AH290" s="241"/>
      <c r="AI290" s="241"/>
      <c r="AJ290" s="529"/>
      <c r="AK290" s="258"/>
      <c r="AL290" s="241"/>
      <c r="AM290" s="242"/>
      <c r="AN290" s="241"/>
      <c r="AO290" s="242"/>
      <c r="AP290" s="241"/>
      <c r="AQ290" s="242"/>
      <c r="AR290" s="241"/>
      <c r="AS290" s="242"/>
      <c r="AT290" s="241"/>
      <c r="AU290" s="241"/>
      <c r="AV290" s="256"/>
      <c r="AW290" s="241"/>
      <c r="AX290" s="256"/>
      <c r="AY290" s="241"/>
      <c r="AZ290" s="256"/>
      <c r="BA290" s="239"/>
      <c r="BB290" s="242"/>
      <c r="BC290" s="239"/>
      <c r="BD290" s="242"/>
      <c r="BE290" s="239"/>
      <c r="BF290" s="241"/>
      <c r="BG290" s="239"/>
      <c r="BH290" s="241"/>
      <c r="BI290" s="260"/>
      <c r="BJ290" s="241"/>
      <c r="BK290" s="260"/>
      <c r="BL290" s="239"/>
      <c r="BM290" s="256"/>
      <c r="BN290" s="241"/>
      <c r="BO290" s="243"/>
      <c r="BP290" s="241"/>
      <c r="BQ290" s="239"/>
      <c r="BR290" s="276"/>
      <c r="BS290" s="256"/>
      <c r="BT290" s="260"/>
      <c r="BU290" s="261"/>
      <c r="BV290" s="260"/>
      <c r="BW290" s="239"/>
      <c r="BX290" s="260"/>
      <c r="BY290" s="260"/>
      <c r="BZ290" s="239"/>
      <c r="CA290" s="260"/>
      <c r="CB290" s="239"/>
      <c r="CC290" s="260"/>
      <c r="CD290" s="539"/>
      <c r="CE290" s="239"/>
      <c r="CF290" s="276"/>
      <c r="CG290" s="256"/>
      <c r="CH290" s="259"/>
      <c r="CI290" s="347"/>
      <c r="CJ290" s="540"/>
      <c r="CK290" s="256"/>
      <c r="CL290" s="244">
        <v>1</v>
      </c>
      <c r="CM290" s="274">
        <f t="shared" si="4"/>
        <v>2015</v>
      </c>
      <c r="CN290" s="244">
        <f>IF('Grille de saisie'!CM290&lt;18,0,IF('Grille de saisie'!CM290&lt;40,1,IF('Grille de saisie'!CM290&lt;65,2,IF('Grille de saisie'!CM290&lt;100,3,4))))</f>
        <v>4</v>
      </c>
      <c r="CO290" s="236">
        <f>IF(AND('Grille de saisie'!C290=1,'Grille de saisie'!BZ290=0),1,IF(AND('Grille de saisie'!C290="",'Grille de saisie'!BZ290=""),3,IF(AND('Grille de saisie'!C290=5),3,2)))</f>
        <v>3</v>
      </c>
      <c r="CP290" s="236">
        <f>IF(AND('Grille de saisie'!C290=1,'Grille de saisie'!BZ290=0),1,IF(AND('Grille de saisie'!C290=1,'Grille de saisie'!BZ290=1),2,IF(AND('Grille de saisie'!C290=2,'Grille de saisie'!BZ290=0),2,IF(AND('Grille de saisie'!C290=3,'Grille de saisie'!BZ290=0),3,IF(AND('Grille de saisie'!C290=2,'Grille de saisie'!BZ290=1),3,IF(AND('Grille de saisie'!C290=1,'Grille de saisie'!BZ290=2),3,IF(AND('Grille de saisie'!C290="",'Grille de saisie'!BZ290=""),5,IF(AND('Grille de saisie'!C290=5),5,4))))))))</f>
        <v>5</v>
      </c>
      <c r="CQ290" s="237">
        <f>IF('Grille de saisie'!BZ290="",3,IF('Grille de saisie'!C290=5,3,IF('Grille de saisie'!BZ290=0,1,2)))</f>
        <v>3</v>
      </c>
    </row>
    <row r="291" spans="1:95" ht="15">
      <c r="A291" s="511">
        <v>289</v>
      </c>
      <c r="B291" s="240"/>
      <c r="C291" s="513"/>
      <c r="D291" s="240"/>
      <c r="E291" s="517"/>
      <c r="F291" s="265"/>
      <c r="G291" s="513"/>
      <c r="H291" s="265"/>
      <c r="I291" s="520"/>
      <c r="J291" s="241"/>
      <c r="K291" s="520"/>
      <c r="L291" s="241"/>
      <c r="M291" s="521"/>
      <c r="N291" s="241"/>
      <c r="O291" s="521"/>
      <c r="P291" s="241"/>
      <c r="Q291" s="520"/>
      <c r="R291" s="241"/>
      <c r="S291" s="520"/>
      <c r="T291" s="241"/>
      <c r="U291" s="520"/>
      <c r="V291" s="241"/>
      <c r="W291" s="242"/>
      <c r="X291" s="241"/>
      <c r="Y291" s="242"/>
      <c r="Z291" s="241"/>
      <c r="AA291" s="241"/>
      <c r="AB291" s="275"/>
      <c r="AC291" s="524"/>
      <c r="AD291" s="241"/>
      <c r="AE291" s="241"/>
      <c r="AF291" s="241"/>
      <c r="AG291" s="241"/>
      <c r="AH291" s="241"/>
      <c r="AI291" s="241"/>
      <c r="AJ291" s="529"/>
      <c r="AK291" s="258"/>
      <c r="AL291" s="241"/>
      <c r="AM291" s="242"/>
      <c r="AN291" s="241"/>
      <c r="AO291" s="242"/>
      <c r="AP291" s="241"/>
      <c r="AQ291" s="242"/>
      <c r="AR291" s="241"/>
      <c r="AS291" s="242"/>
      <c r="AT291" s="241"/>
      <c r="AU291" s="241"/>
      <c r="AV291" s="256"/>
      <c r="AW291" s="241"/>
      <c r="AX291" s="256"/>
      <c r="AY291" s="241"/>
      <c r="AZ291" s="256"/>
      <c r="BA291" s="239"/>
      <c r="BB291" s="242"/>
      <c r="BC291" s="239"/>
      <c r="BD291" s="242"/>
      <c r="BE291" s="239"/>
      <c r="BF291" s="241"/>
      <c r="BG291" s="239"/>
      <c r="BH291" s="241"/>
      <c r="BI291" s="260"/>
      <c r="BJ291" s="241"/>
      <c r="BK291" s="260"/>
      <c r="BL291" s="239"/>
      <c r="BM291" s="256"/>
      <c r="BN291" s="241"/>
      <c r="BO291" s="243"/>
      <c r="BP291" s="241"/>
      <c r="BQ291" s="239"/>
      <c r="BR291" s="276"/>
      <c r="BS291" s="256"/>
      <c r="BT291" s="260"/>
      <c r="BU291" s="261"/>
      <c r="BV291" s="260"/>
      <c r="BW291" s="239"/>
      <c r="BX291" s="260"/>
      <c r="BY291" s="260"/>
      <c r="BZ291" s="239"/>
      <c r="CA291" s="260"/>
      <c r="CB291" s="239"/>
      <c r="CC291" s="260"/>
      <c r="CD291" s="539"/>
      <c r="CE291" s="239"/>
      <c r="CF291" s="276"/>
      <c r="CG291" s="256"/>
      <c r="CH291" s="259"/>
      <c r="CI291" s="347"/>
      <c r="CJ291" s="540"/>
      <c r="CK291" s="256"/>
      <c r="CL291" s="244">
        <v>1</v>
      </c>
      <c r="CM291" s="274">
        <f t="shared" si="4"/>
        <v>2015</v>
      </c>
      <c r="CN291" s="244">
        <f>IF('Grille de saisie'!CM291&lt;18,0,IF('Grille de saisie'!CM291&lt;40,1,IF('Grille de saisie'!CM291&lt;65,2,IF('Grille de saisie'!CM291&lt;100,3,4))))</f>
        <v>4</v>
      </c>
      <c r="CO291" s="236">
        <f>IF(AND('Grille de saisie'!C291=1,'Grille de saisie'!BZ291=0),1,IF(AND('Grille de saisie'!C291="",'Grille de saisie'!BZ291=""),3,IF(AND('Grille de saisie'!C291=5),3,2)))</f>
        <v>3</v>
      </c>
      <c r="CP291" s="236">
        <f>IF(AND('Grille de saisie'!C291=1,'Grille de saisie'!BZ291=0),1,IF(AND('Grille de saisie'!C291=1,'Grille de saisie'!BZ291=1),2,IF(AND('Grille de saisie'!C291=2,'Grille de saisie'!BZ291=0),2,IF(AND('Grille de saisie'!C291=3,'Grille de saisie'!BZ291=0),3,IF(AND('Grille de saisie'!C291=2,'Grille de saisie'!BZ291=1),3,IF(AND('Grille de saisie'!C291=1,'Grille de saisie'!BZ291=2),3,IF(AND('Grille de saisie'!C291="",'Grille de saisie'!BZ291=""),5,IF(AND('Grille de saisie'!C291=5),5,4))))))))</f>
        <v>5</v>
      </c>
      <c r="CQ291" s="237">
        <f>IF('Grille de saisie'!BZ291="",3,IF('Grille de saisie'!C291=5,3,IF('Grille de saisie'!BZ291=0,1,2)))</f>
        <v>3</v>
      </c>
    </row>
    <row r="292" spans="1:95" ht="15">
      <c r="A292" s="510">
        <v>290</v>
      </c>
      <c r="B292" s="240"/>
      <c r="C292" s="513"/>
      <c r="D292" s="240"/>
      <c r="E292" s="517"/>
      <c r="F292" s="265"/>
      <c r="G292" s="513"/>
      <c r="H292" s="265"/>
      <c r="I292" s="520"/>
      <c r="J292" s="241"/>
      <c r="K292" s="520"/>
      <c r="L292" s="241"/>
      <c r="M292" s="521"/>
      <c r="N292" s="241"/>
      <c r="O292" s="521"/>
      <c r="P292" s="241"/>
      <c r="Q292" s="520"/>
      <c r="R292" s="241"/>
      <c r="S292" s="520"/>
      <c r="T292" s="241"/>
      <c r="U292" s="520"/>
      <c r="V292" s="241"/>
      <c r="W292" s="242"/>
      <c r="X292" s="241"/>
      <c r="Y292" s="242"/>
      <c r="Z292" s="241"/>
      <c r="AA292" s="241"/>
      <c r="AB292" s="275"/>
      <c r="AC292" s="524"/>
      <c r="AD292" s="241"/>
      <c r="AE292" s="241"/>
      <c r="AF292" s="241"/>
      <c r="AG292" s="241"/>
      <c r="AH292" s="241"/>
      <c r="AI292" s="241"/>
      <c r="AJ292" s="529"/>
      <c r="AK292" s="258"/>
      <c r="AL292" s="241"/>
      <c r="AM292" s="242"/>
      <c r="AN292" s="241"/>
      <c r="AO292" s="242"/>
      <c r="AP292" s="241"/>
      <c r="AQ292" s="242"/>
      <c r="AR292" s="241"/>
      <c r="AS292" s="242"/>
      <c r="AT292" s="241"/>
      <c r="AU292" s="241"/>
      <c r="AV292" s="256"/>
      <c r="AW292" s="241"/>
      <c r="AX292" s="256"/>
      <c r="AY292" s="241"/>
      <c r="AZ292" s="256"/>
      <c r="BA292" s="239"/>
      <c r="BB292" s="242"/>
      <c r="BC292" s="239"/>
      <c r="BD292" s="242"/>
      <c r="BE292" s="239"/>
      <c r="BF292" s="241"/>
      <c r="BG292" s="239"/>
      <c r="BH292" s="241"/>
      <c r="BI292" s="260"/>
      <c r="BJ292" s="241"/>
      <c r="BK292" s="260"/>
      <c r="BL292" s="239"/>
      <c r="BM292" s="256"/>
      <c r="BN292" s="241"/>
      <c r="BO292" s="243"/>
      <c r="BP292" s="241"/>
      <c r="BQ292" s="239"/>
      <c r="BR292" s="276"/>
      <c r="BS292" s="256"/>
      <c r="BT292" s="260"/>
      <c r="BU292" s="261"/>
      <c r="BV292" s="260"/>
      <c r="BW292" s="239"/>
      <c r="BX292" s="260"/>
      <c r="BY292" s="260"/>
      <c r="BZ292" s="239"/>
      <c r="CA292" s="260"/>
      <c r="CB292" s="239"/>
      <c r="CC292" s="260"/>
      <c r="CD292" s="539"/>
      <c r="CE292" s="239"/>
      <c r="CF292" s="276"/>
      <c r="CG292" s="256"/>
      <c r="CH292" s="259"/>
      <c r="CI292" s="347"/>
      <c r="CJ292" s="540"/>
      <c r="CK292" s="256"/>
      <c r="CL292" s="244">
        <v>1</v>
      </c>
      <c r="CM292" s="274">
        <f t="shared" si="4"/>
        <v>2015</v>
      </c>
      <c r="CN292" s="244">
        <f>IF('Grille de saisie'!CM292&lt;18,0,IF('Grille de saisie'!CM292&lt;40,1,IF('Grille de saisie'!CM292&lt;65,2,IF('Grille de saisie'!CM292&lt;100,3,4))))</f>
        <v>4</v>
      </c>
      <c r="CO292" s="236">
        <f>IF(AND('Grille de saisie'!C292=1,'Grille de saisie'!BZ292=0),1,IF(AND('Grille de saisie'!C292="",'Grille de saisie'!BZ292=""),3,IF(AND('Grille de saisie'!C292=5),3,2)))</f>
        <v>3</v>
      </c>
      <c r="CP292" s="236">
        <f>IF(AND('Grille de saisie'!C292=1,'Grille de saisie'!BZ292=0),1,IF(AND('Grille de saisie'!C292=1,'Grille de saisie'!BZ292=1),2,IF(AND('Grille de saisie'!C292=2,'Grille de saisie'!BZ292=0),2,IF(AND('Grille de saisie'!C292=3,'Grille de saisie'!BZ292=0),3,IF(AND('Grille de saisie'!C292=2,'Grille de saisie'!BZ292=1),3,IF(AND('Grille de saisie'!C292=1,'Grille de saisie'!BZ292=2),3,IF(AND('Grille de saisie'!C292="",'Grille de saisie'!BZ292=""),5,IF(AND('Grille de saisie'!C292=5),5,4))))))))</f>
        <v>5</v>
      </c>
      <c r="CQ292" s="237">
        <f>IF('Grille de saisie'!BZ292="",3,IF('Grille de saisie'!C292=5,3,IF('Grille de saisie'!BZ292=0,1,2)))</f>
        <v>3</v>
      </c>
    </row>
    <row r="293" spans="1:95" ht="15">
      <c r="A293" s="510">
        <v>291</v>
      </c>
      <c r="B293" s="240"/>
      <c r="C293" s="513"/>
      <c r="D293" s="240"/>
      <c r="E293" s="517"/>
      <c r="F293" s="265"/>
      <c r="G293" s="513"/>
      <c r="H293" s="265"/>
      <c r="I293" s="520"/>
      <c r="J293" s="241"/>
      <c r="K293" s="520"/>
      <c r="L293" s="241"/>
      <c r="M293" s="521"/>
      <c r="N293" s="241"/>
      <c r="O293" s="521"/>
      <c r="P293" s="241"/>
      <c r="Q293" s="520"/>
      <c r="R293" s="241"/>
      <c r="S293" s="520"/>
      <c r="T293" s="241"/>
      <c r="U293" s="520"/>
      <c r="V293" s="241"/>
      <c r="W293" s="242"/>
      <c r="X293" s="241"/>
      <c r="Y293" s="242"/>
      <c r="Z293" s="241"/>
      <c r="AA293" s="241"/>
      <c r="AB293" s="275"/>
      <c r="AC293" s="524"/>
      <c r="AD293" s="241"/>
      <c r="AE293" s="241"/>
      <c r="AF293" s="241"/>
      <c r="AG293" s="241"/>
      <c r="AH293" s="241"/>
      <c r="AI293" s="241"/>
      <c r="AJ293" s="529"/>
      <c r="AK293" s="258"/>
      <c r="AL293" s="241"/>
      <c r="AM293" s="242"/>
      <c r="AN293" s="241"/>
      <c r="AO293" s="242"/>
      <c r="AP293" s="241"/>
      <c r="AQ293" s="242"/>
      <c r="AR293" s="241"/>
      <c r="AS293" s="242"/>
      <c r="AT293" s="241"/>
      <c r="AU293" s="241"/>
      <c r="AV293" s="256"/>
      <c r="AW293" s="241"/>
      <c r="AX293" s="256"/>
      <c r="AY293" s="241"/>
      <c r="AZ293" s="256"/>
      <c r="BA293" s="239"/>
      <c r="BB293" s="242"/>
      <c r="BC293" s="239"/>
      <c r="BD293" s="242"/>
      <c r="BE293" s="239"/>
      <c r="BF293" s="241"/>
      <c r="BG293" s="239"/>
      <c r="BH293" s="241"/>
      <c r="BI293" s="260"/>
      <c r="BJ293" s="241"/>
      <c r="BK293" s="260"/>
      <c r="BL293" s="239"/>
      <c r="BM293" s="256"/>
      <c r="BN293" s="241"/>
      <c r="BO293" s="243"/>
      <c r="BP293" s="241"/>
      <c r="BQ293" s="239"/>
      <c r="BR293" s="276"/>
      <c r="BS293" s="256"/>
      <c r="BT293" s="260"/>
      <c r="BU293" s="261"/>
      <c r="BV293" s="260"/>
      <c r="BW293" s="239"/>
      <c r="BX293" s="260"/>
      <c r="BY293" s="260"/>
      <c r="BZ293" s="239"/>
      <c r="CA293" s="260"/>
      <c r="CB293" s="239"/>
      <c r="CC293" s="260"/>
      <c r="CD293" s="539"/>
      <c r="CE293" s="239"/>
      <c r="CF293" s="276"/>
      <c r="CG293" s="256"/>
      <c r="CH293" s="259"/>
      <c r="CI293" s="347"/>
      <c r="CJ293" s="540"/>
      <c r="CK293" s="256"/>
      <c r="CL293" s="244">
        <v>1</v>
      </c>
      <c r="CM293" s="274">
        <f t="shared" si="4"/>
        <v>2015</v>
      </c>
      <c r="CN293" s="244">
        <f>IF('Grille de saisie'!CM293&lt;18,0,IF('Grille de saisie'!CM293&lt;40,1,IF('Grille de saisie'!CM293&lt;65,2,IF('Grille de saisie'!CM293&lt;100,3,4))))</f>
        <v>4</v>
      </c>
      <c r="CO293" s="236">
        <f>IF(AND('Grille de saisie'!C293=1,'Grille de saisie'!BZ293=0),1,IF(AND('Grille de saisie'!C293="",'Grille de saisie'!BZ293=""),3,IF(AND('Grille de saisie'!C293=5),3,2)))</f>
        <v>3</v>
      </c>
      <c r="CP293" s="236">
        <f>IF(AND('Grille de saisie'!C293=1,'Grille de saisie'!BZ293=0),1,IF(AND('Grille de saisie'!C293=1,'Grille de saisie'!BZ293=1),2,IF(AND('Grille de saisie'!C293=2,'Grille de saisie'!BZ293=0),2,IF(AND('Grille de saisie'!C293=3,'Grille de saisie'!BZ293=0),3,IF(AND('Grille de saisie'!C293=2,'Grille de saisie'!BZ293=1),3,IF(AND('Grille de saisie'!C293=1,'Grille de saisie'!BZ293=2),3,IF(AND('Grille de saisie'!C293="",'Grille de saisie'!BZ293=""),5,IF(AND('Grille de saisie'!C293=5),5,4))))))))</f>
        <v>5</v>
      </c>
      <c r="CQ293" s="237">
        <f>IF('Grille de saisie'!BZ293="",3,IF('Grille de saisie'!C293=5,3,IF('Grille de saisie'!BZ293=0,1,2)))</f>
        <v>3</v>
      </c>
    </row>
    <row r="294" spans="1:95" ht="15">
      <c r="A294" s="511">
        <v>292</v>
      </c>
      <c r="B294" s="240"/>
      <c r="C294" s="513"/>
      <c r="D294" s="240"/>
      <c r="E294" s="517"/>
      <c r="F294" s="265"/>
      <c r="G294" s="513"/>
      <c r="H294" s="265"/>
      <c r="I294" s="520"/>
      <c r="J294" s="241"/>
      <c r="K294" s="520"/>
      <c r="L294" s="241"/>
      <c r="M294" s="521"/>
      <c r="N294" s="241"/>
      <c r="O294" s="521"/>
      <c r="P294" s="241"/>
      <c r="Q294" s="520"/>
      <c r="R294" s="241"/>
      <c r="S294" s="520"/>
      <c r="T294" s="241"/>
      <c r="U294" s="520"/>
      <c r="V294" s="241"/>
      <c r="W294" s="242"/>
      <c r="X294" s="241"/>
      <c r="Y294" s="242"/>
      <c r="Z294" s="241"/>
      <c r="AA294" s="241"/>
      <c r="AB294" s="275"/>
      <c r="AC294" s="524"/>
      <c r="AD294" s="241"/>
      <c r="AE294" s="241"/>
      <c r="AF294" s="241"/>
      <c r="AG294" s="241"/>
      <c r="AH294" s="241"/>
      <c r="AI294" s="241"/>
      <c r="AJ294" s="529"/>
      <c r="AK294" s="258"/>
      <c r="AL294" s="241"/>
      <c r="AM294" s="242"/>
      <c r="AN294" s="241"/>
      <c r="AO294" s="242"/>
      <c r="AP294" s="241"/>
      <c r="AQ294" s="242"/>
      <c r="AR294" s="241"/>
      <c r="AS294" s="242"/>
      <c r="AT294" s="241"/>
      <c r="AU294" s="241"/>
      <c r="AV294" s="256"/>
      <c r="AW294" s="241"/>
      <c r="AX294" s="256"/>
      <c r="AY294" s="241"/>
      <c r="AZ294" s="256"/>
      <c r="BA294" s="239"/>
      <c r="BB294" s="242"/>
      <c r="BC294" s="239"/>
      <c r="BD294" s="242"/>
      <c r="BE294" s="239"/>
      <c r="BF294" s="241"/>
      <c r="BG294" s="239"/>
      <c r="BH294" s="241"/>
      <c r="BI294" s="260"/>
      <c r="BJ294" s="241"/>
      <c r="BK294" s="260"/>
      <c r="BL294" s="239"/>
      <c r="BM294" s="256"/>
      <c r="BN294" s="241"/>
      <c r="BO294" s="243"/>
      <c r="BP294" s="241"/>
      <c r="BQ294" s="239"/>
      <c r="BR294" s="276"/>
      <c r="BS294" s="256"/>
      <c r="BT294" s="260"/>
      <c r="BU294" s="261"/>
      <c r="BV294" s="260"/>
      <c r="BW294" s="239"/>
      <c r="BX294" s="260"/>
      <c r="BY294" s="260"/>
      <c r="BZ294" s="239"/>
      <c r="CA294" s="260"/>
      <c r="CB294" s="239"/>
      <c r="CC294" s="260"/>
      <c r="CD294" s="539"/>
      <c r="CE294" s="239"/>
      <c r="CF294" s="276"/>
      <c r="CG294" s="256"/>
      <c r="CH294" s="259"/>
      <c r="CI294" s="347"/>
      <c r="CJ294" s="540"/>
      <c r="CK294" s="256"/>
      <c r="CL294" s="244">
        <v>1</v>
      </c>
      <c r="CM294" s="274">
        <f t="shared" si="4"/>
        <v>2015</v>
      </c>
      <c r="CN294" s="244">
        <f>IF('Grille de saisie'!CM294&lt;18,0,IF('Grille de saisie'!CM294&lt;40,1,IF('Grille de saisie'!CM294&lt;65,2,IF('Grille de saisie'!CM294&lt;100,3,4))))</f>
        <v>4</v>
      </c>
      <c r="CO294" s="236">
        <f>IF(AND('Grille de saisie'!C294=1,'Grille de saisie'!BZ294=0),1,IF(AND('Grille de saisie'!C294="",'Grille de saisie'!BZ294=""),3,IF(AND('Grille de saisie'!C294=5),3,2)))</f>
        <v>3</v>
      </c>
      <c r="CP294" s="236">
        <f>IF(AND('Grille de saisie'!C294=1,'Grille de saisie'!BZ294=0),1,IF(AND('Grille de saisie'!C294=1,'Grille de saisie'!BZ294=1),2,IF(AND('Grille de saisie'!C294=2,'Grille de saisie'!BZ294=0),2,IF(AND('Grille de saisie'!C294=3,'Grille de saisie'!BZ294=0),3,IF(AND('Grille de saisie'!C294=2,'Grille de saisie'!BZ294=1),3,IF(AND('Grille de saisie'!C294=1,'Grille de saisie'!BZ294=2),3,IF(AND('Grille de saisie'!C294="",'Grille de saisie'!BZ294=""),5,IF(AND('Grille de saisie'!C294=5),5,4))))))))</f>
        <v>5</v>
      </c>
      <c r="CQ294" s="237">
        <f>IF('Grille de saisie'!BZ294="",3,IF('Grille de saisie'!C294=5,3,IF('Grille de saisie'!BZ294=0,1,2)))</f>
        <v>3</v>
      </c>
    </row>
    <row r="295" spans="1:95" ht="15">
      <c r="A295" s="510">
        <v>293</v>
      </c>
      <c r="B295" s="240"/>
      <c r="C295" s="513"/>
      <c r="D295" s="240"/>
      <c r="E295" s="517"/>
      <c r="F295" s="265"/>
      <c r="G295" s="513"/>
      <c r="H295" s="265"/>
      <c r="I295" s="520"/>
      <c r="J295" s="241"/>
      <c r="K295" s="520"/>
      <c r="L295" s="241"/>
      <c r="M295" s="521"/>
      <c r="N295" s="241"/>
      <c r="O295" s="521"/>
      <c r="P295" s="241"/>
      <c r="Q295" s="520"/>
      <c r="R295" s="241"/>
      <c r="S295" s="520"/>
      <c r="T295" s="241"/>
      <c r="U295" s="520"/>
      <c r="V295" s="241"/>
      <c r="W295" s="242"/>
      <c r="X295" s="241"/>
      <c r="Y295" s="242"/>
      <c r="Z295" s="241"/>
      <c r="AA295" s="241"/>
      <c r="AB295" s="275"/>
      <c r="AC295" s="524"/>
      <c r="AD295" s="241"/>
      <c r="AE295" s="241"/>
      <c r="AF295" s="241"/>
      <c r="AG295" s="241"/>
      <c r="AH295" s="241"/>
      <c r="AI295" s="241"/>
      <c r="AJ295" s="529"/>
      <c r="AK295" s="258"/>
      <c r="AL295" s="241"/>
      <c r="AM295" s="242"/>
      <c r="AN295" s="241"/>
      <c r="AO295" s="242"/>
      <c r="AP295" s="241"/>
      <c r="AQ295" s="242"/>
      <c r="AR295" s="241"/>
      <c r="AS295" s="242"/>
      <c r="AT295" s="241"/>
      <c r="AU295" s="241"/>
      <c r="AV295" s="256"/>
      <c r="AW295" s="241"/>
      <c r="AX295" s="256"/>
      <c r="AY295" s="241"/>
      <c r="AZ295" s="256"/>
      <c r="BA295" s="239"/>
      <c r="BB295" s="242"/>
      <c r="BC295" s="239"/>
      <c r="BD295" s="242"/>
      <c r="BE295" s="239"/>
      <c r="BF295" s="241"/>
      <c r="BG295" s="239"/>
      <c r="BH295" s="241"/>
      <c r="BI295" s="260"/>
      <c r="BJ295" s="241"/>
      <c r="BK295" s="260"/>
      <c r="BL295" s="239"/>
      <c r="BM295" s="256"/>
      <c r="BN295" s="241"/>
      <c r="BO295" s="243"/>
      <c r="BP295" s="241"/>
      <c r="BQ295" s="239"/>
      <c r="BR295" s="276"/>
      <c r="BS295" s="256"/>
      <c r="BT295" s="260"/>
      <c r="BU295" s="261"/>
      <c r="BV295" s="260"/>
      <c r="BW295" s="239"/>
      <c r="BX295" s="260"/>
      <c r="BY295" s="260"/>
      <c r="BZ295" s="239"/>
      <c r="CA295" s="260"/>
      <c r="CB295" s="239"/>
      <c r="CC295" s="260"/>
      <c r="CD295" s="539"/>
      <c r="CE295" s="239"/>
      <c r="CF295" s="276"/>
      <c r="CG295" s="256"/>
      <c r="CH295" s="259"/>
      <c r="CI295" s="347"/>
      <c r="CJ295" s="540"/>
      <c r="CK295" s="256"/>
      <c r="CL295" s="244">
        <v>1</v>
      </c>
      <c r="CM295" s="274">
        <f t="shared" si="4"/>
        <v>2015</v>
      </c>
      <c r="CN295" s="244">
        <f>IF('Grille de saisie'!CM295&lt;18,0,IF('Grille de saisie'!CM295&lt;40,1,IF('Grille de saisie'!CM295&lt;65,2,IF('Grille de saisie'!CM295&lt;100,3,4))))</f>
        <v>4</v>
      </c>
      <c r="CO295" s="236">
        <f>IF(AND('Grille de saisie'!C295=1,'Grille de saisie'!BZ295=0),1,IF(AND('Grille de saisie'!C295="",'Grille de saisie'!BZ295=""),3,IF(AND('Grille de saisie'!C295=5),3,2)))</f>
        <v>3</v>
      </c>
      <c r="CP295" s="236">
        <f>IF(AND('Grille de saisie'!C295=1,'Grille de saisie'!BZ295=0),1,IF(AND('Grille de saisie'!C295=1,'Grille de saisie'!BZ295=1),2,IF(AND('Grille de saisie'!C295=2,'Grille de saisie'!BZ295=0),2,IF(AND('Grille de saisie'!C295=3,'Grille de saisie'!BZ295=0),3,IF(AND('Grille de saisie'!C295=2,'Grille de saisie'!BZ295=1),3,IF(AND('Grille de saisie'!C295=1,'Grille de saisie'!BZ295=2),3,IF(AND('Grille de saisie'!C295="",'Grille de saisie'!BZ295=""),5,IF(AND('Grille de saisie'!C295=5),5,4))))))))</f>
        <v>5</v>
      </c>
      <c r="CQ295" s="237">
        <f>IF('Grille de saisie'!BZ295="",3,IF('Grille de saisie'!C295=5,3,IF('Grille de saisie'!BZ295=0,1,2)))</f>
        <v>3</v>
      </c>
    </row>
    <row r="296" spans="1:95" ht="15">
      <c r="A296" s="510">
        <v>294</v>
      </c>
      <c r="B296" s="240"/>
      <c r="C296" s="513"/>
      <c r="D296" s="240"/>
      <c r="E296" s="517"/>
      <c r="F296" s="265"/>
      <c r="G296" s="513"/>
      <c r="H296" s="265"/>
      <c r="I296" s="520"/>
      <c r="J296" s="241"/>
      <c r="K296" s="520"/>
      <c r="L296" s="241"/>
      <c r="M296" s="521"/>
      <c r="N296" s="241"/>
      <c r="O296" s="521"/>
      <c r="P296" s="241"/>
      <c r="Q296" s="520"/>
      <c r="R296" s="241"/>
      <c r="S296" s="520"/>
      <c r="T296" s="241"/>
      <c r="U296" s="520"/>
      <c r="V296" s="241"/>
      <c r="W296" s="242"/>
      <c r="X296" s="241"/>
      <c r="Y296" s="242"/>
      <c r="Z296" s="241"/>
      <c r="AA296" s="241"/>
      <c r="AB296" s="275"/>
      <c r="AC296" s="524"/>
      <c r="AD296" s="241"/>
      <c r="AE296" s="241"/>
      <c r="AF296" s="241"/>
      <c r="AG296" s="241"/>
      <c r="AH296" s="241"/>
      <c r="AI296" s="241"/>
      <c r="AJ296" s="529"/>
      <c r="AK296" s="258"/>
      <c r="AL296" s="241"/>
      <c r="AM296" s="242"/>
      <c r="AN296" s="241"/>
      <c r="AO296" s="242"/>
      <c r="AP296" s="241"/>
      <c r="AQ296" s="242"/>
      <c r="AR296" s="241"/>
      <c r="AS296" s="242"/>
      <c r="AT296" s="241"/>
      <c r="AU296" s="241"/>
      <c r="AV296" s="256"/>
      <c r="AW296" s="241"/>
      <c r="AX296" s="256"/>
      <c r="AY296" s="241"/>
      <c r="AZ296" s="256"/>
      <c r="BA296" s="239"/>
      <c r="BB296" s="242"/>
      <c r="BC296" s="239"/>
      <c r="BD296" s="242"/>
      <c r="BE296" s="239"/>
      <c r="BF296" s="241"/>
      <c r="BG296" s="239"/>
      <c r="BH296" s="241"/>
      <c r="BI296" s="260"/>
      <c r="BJ296" s="241"/>
      <c r="BK296" s="260"/>
      <c r="BL296" s="239"/>
      <c r="BM296" s="256"/>
      <c r="BN296" s="241"/>
      <c r="BO296" s="243"/>
      <c r="BP296" s="241"/>
      <c r="BQ296" s="239"/>
      <c r="BR296" s="276"/>
      <c r="BS296" s="256"/>
      <c r="BT296" s="260"/>
      <c r="BU296" s="261"/>
      <c r="BV296" s="260"/>
      <c r="BW296" s="239"/>
      <c r="BX296" s="260"/>
      <c r="BY296" s="260"/>
      <c r="BZ296" s="239"/>
      <c r="CA296" s="260"/>
      <c r="CB296" s="239"/>
      <c r="CC296" s="260"/>
      <c r="CD296" s="539"/>
      <c r="CE296" s="239"/>
      <c r="CF296" s="276"/>
      <c r="CG296" s="256"/>
      <c r="CH296" s="259"/>
      <c r="CI296" s="347"/>
      <c r="CJ296" s="540"/>
      <c r="CK296" s="256"/>
      <c r="CL296" s="244">
        <v>1</v>
      </c>
      <c r="CM296" s="274">
        <f t="shared" si="4"/>
        <v>2015</v>
      </c>
      <c r="CN296" s="244">
        <f>IF('Grille de saisie'!CM296&lt;18,0,IF('Grille de saisie'!CM296&lt;40,1,IF('Grille de saisie'!CM296&lt;65,2,IF('Grille de saisie'!CM296&lt;100,3,4))))</f>
        <v>4</v>
      </c>
      <c r="CO296" s="236">
        <f>IF(AND('Grille de saisie'!C296=1,'Grille de saisie'!BZ296=0),1,IF(AND('Grille de saisie'!C296="",'Grille de saisie'!BZ296=""),3,IF(AND('Grille de saisie'!C296=5),3,2)))</f>
        <v>3</v>
      </c>
      <c r="CP296" s="236">
        <f>IF(AND('Grille de saisie'!C296=1,'Grille de saisie'!BZ296=0),1,IF(AND('Grille de saisie'!C296=1,'Grille de saisie'!BZ296=1),2,IF(AND('Grille de saisie'!C296=2,'Grille de saisie'!BZ296=0),2,IF(AND('Grille de saisie'!C296=3,'Grille de saisie'!BZ296=0),3,IF(AND('Grille de saisie'!C296=2,'Grille de saisie'!BZ296=1),3,IF(AND('Grille de saisie'!C296=1,'Grille de saisie'!BZ296=2),3,IF(AND('Grille de saisie'!C296="",'Grille de saisie'!BZ296=""),5,IF(AND('Grille de saisie'!C296=5),5,4))))))))</f>
        <v>5</v>
      </c>
      <c r="CQ296" s="237">
        <f>IF('Grille de saisie'!BZ296="",3,IF('Grille de saisie'!C296=5,3,IF('Grille de saisie'!BZ296=0,1,2)))</f>
        <v>3</v>
      </c>
    </row>
    <row r="297" spans="1:95" ht="15">
      <c r="A297" s="511">
        <v>295</v>
      </c>
      <c r="B297" s="240"/>
      <c r="C297" s="513"/>
      <c r="D297" s="240"/>
      <c r="E297" s="517"/>
      <c r="F297" s="265"/>
      <c r="G297" s="513"/>
      <c r="H297" s="265"/>
      <c r="I297" s="520"/>
      <c r="J297" s="241"/>
      <c r="K297" s="520"/>
      <c r="L297" s="241"/>
      <c r="M297" s="521"/>
      <c r="N297" s="241"/>
      <c r="O297" s="521"/>
      <c r="P297" s="241"/>
      <c r="Q297" s="520"/>
      <c r="R297" s="241"/>
      <c r="S297" s="520"/>
      <c r="T297" s="241"/>
      <c r="U297" s="520"/>
      <c r="V297" s="241"/>
      <c r="W297" s="242"/>
      <c r="X297" s="241"/>
      <c r="Y297" s="242"/>
      <c r="Z297" s="241"/>
      <c r="AA297" s="241"/>
      <c r="AB297" s="275"/>
      <c r="AC297" s="524"/>
      <c r="AD297" s="241"/>
      <c r="AE297" s="241"/>
      <c r="AF297" s="241"/>
      <c r="AG297" s="241"/>
      <c r="AH297" s="241"/>
      <c r="AI297" s="241"/>
      <c r="AJ297" s="529"/>
      <c r="AK297" s="258"/>
      <c r="AL297" s="241"/>
      <c r="AM297" s="242"/>
      <c r="AN297" s="241"/>
      <c r="AO297" s="242"/>
      <c r="AP297" s="241"/>
      <c r="AQ297" s="242"/>
      <c r="AR297" s="241"/>
      <c r="AS297" s="242"/>
      <c r="AT297" s="241"/>
      <c r="AU297" s="241"/>
      <c r="AV297" s="256"/>
      <c r="AW297" s="241"/>
      <c r="AX297" s="256"/>
      <c r="AY297" s="241"/>
      <c r="AZ297" s="256"/>
      <c r="BA297" s="239"/>
      <c r="BB297" s="242"/>
      <c r="BC297" s="239"/>
      <c r="BD297" s="242"/>
      <c r="BE297" s="239"/>
      <c r="BF297" s="241"/>
      <c r="BG297" s="239"/>
      <c r="BH297" s="241"/>
      <c r="BI297" s="260"/>
      <c r="BJ297" s="241"/>
      <c r="BK297" s="260"/>
      <c r="BL297" s="239"/>
      <c r="BM297" s="256"/>
      <c r="BN297" s="241"/>
      <c r="BO297" s="243"/>
      <c r="BP297" s="241"/>
      <c r="BQ297" s="239"/>
      <c r="BR297" s="276"/>
      <c r="BS297" s="256"/>
      <c r="BT297" s="260"/>
      <c r="BU297" s="261"/>
      <c r="BV297" s="260"/>
      <c r="BW297" s="239"/>
      <c r="BX297" s="260"/>
      <c r="BY297" s="260"/>
      <c r="BZ297" s="239"/>
      <c r="CA297" s="260"/>
      <c r="CB297" s="239"/>
      <c r="CC297" s="260"/>
      <c r="CD297" s="539"/>
      <c r="CE297" s="239"/>
      <c r="CF297" s="276"/>
      <c r="CG297" s="256"/>
      <c r="CH297" s="259"/>
      <c r="CI297" s="347"/>
      <c r="CJ297" s="540"/>
      <c r="CK297" s="256"/>
      <c r="CL297" s="244">
        <v>1</v>
      </c>
      <c r="CM297" s="274">
        <f t="shared" si="4"/>
        <v>2015</v>
      </c>
      <c r="CN297" s="244">
        <f>IF('Grille de saisie'!CM297&lt;18,0,IF('Grille de saisie'!CM297&lt;40,1,IF('Grille de saisie'!CM297&lt;65,2,IF('Grille de saisie'!CM297&lt;100,3,4))))</f>
        <v>4</v>
      </c>
      <c r="CO297" s="236">
        <f>IF(AND('Grille de saisie'!C297=1,'Grille de saisie'!BZ297=0),1,IF(AND('Grille de saisie'!C297="",'Grille de saisie'!BZ297=""),3,IF(AND('Grille de saisie'!C297=5),3,2)))</f>
        <v>3</v>
      </c>
      <c r="CP297" s="236">
        <f>IF(AND('Grille de saisie'!C297=1,'Grille de saisie'!BZ297=0),1,IF(AND('Grille de saisie'!C297=1,'Grille de saisie'!BZ297=1),2,IF(AND('Grille de saisie'!C297=2,'Grille de saisie'!BZ297=0),2,IF(AND('Grille de saisie'!C297=3,'Grille de saisie'!BZ297=0),3,IF(AND('Grille de saisie'!C297=2,'Grille de saisie'!BZ297=1),3,IF(AND('Grille de saisie'!C297=1,'Grille de saisie'!BZ297=2),3,IF(AND('Grille de saisie'!C297="",'Grille de saisie'!BZ297=""),5,IF(AND('Grille de saisie'!C297=5),5,4))))))))</f>
        <v>5</v>
      </c>
      <c r="CQ297" s="237">
        <f>IF('Grille de saisie'!BZ297="",3,IF('Grille de saisie'!C297=5,3,IF('Grille de saisie'!BZ297=0,1,2)))</f>
        <v>3</v>
      </c>
    </row>
    <row r="298" spans="1:95" ht="15">
      <c r="A298" s="510">
        <v>296</v>
      </c>
      <c r="B298" s="240"/>
      <c r="C298" s="513"/>
      <c r="D298" s="240"/>
      <c r="E298" s="517"/>
      <c r="F298" s="265"/>
      <c r="G298" s="513"/>
      <c r="H298" s="265"/>
      <c r="I298" s="520"/>
      <c r="J298" s="241"/>
      <c r="K298" s="520"/>
      <c r="L298" s="241"/>
      <c r="M298" s="521"/>
      <c r="N298" s="241"/>
      <c r="O298" s="521"/>
      <c r="P298" s="241"/>
      <c r="Q298" s="520"/>
      <c r="R298" s="241"/>
      <c r="S298" s="520"/>
      <c r="T298" s="241"/>
      <c r="U298" s="520"/>
      <c r="V298" s="241"/>
      <c r="W298" s="242"/>
      <c r="X298" s="241"/>
      <c r="Y298" s="242"/>
      <c r="Z298" s="241"/>
      <c r="AA298" s="241"/>
      <c r="AB298" s="275"/>
      <c r="AC298" s="524"/>
      <c r="AD298" s="241"/>
      <c r="AE298" s="241"/>
      <c r="AF298" s="241"/>
      <c r="AG298" s="241"/>
      <c r="AH298" s="241"/>
      <c r="AI298" s="241"/>
      <c r="AJ298" s="529"/>
      <c r="AK298" s="258"/>
      <c r="AL298" s="241"/>
      <c r="AM298" s="242"/>
      <c r="AN298" s="241"/>
      <c r="AO298" s="242"/>
      <c r="AP298" s="241"/>
      <c r="AQ298" s="242"/>
      <c r="AR298" s="241"/>
      <c r="AS298" s="242"/>
      <c r="AT298" s="241"/>
      <c r="AU298" s="241"/>
      <c r="AV298" s="256"/>
      <c r="AW298" s="241"/>
      <c r="AX298" s="256"/>
      <c r="AY298" s="241"/>
      <c r="AZ298" s="256"/>
      <c r="BA298" s="239"/>
      <c r="BB298" s="242"/>
      <c r="BC298" s="239"/>
      <c r="BD298" s="242"/>
      <c r="BE298" s="239"/>
      <c r="BF298" s="241"/>
      <c r="BG298" s="239"/>
      <c r="BH298" s="241"/>
      <c r="BI298" s="260"/>
      <c r="BJ298" s="241"/>
      <c r="BK298" s="260"/>
      <c r="BL298" s="239"/>
      <c r="BM298" s="256"/>
      <c r="BN298" s="241"/>
      <c r="BO298" s="243"/>
      <c r="BP298" s="241"/>
      <c r="BQ298" s="239"/>
      <c r="BR298" s="276"/>
      <c r="BS298" s="256"/>
      <c r="BT298" s="260"/>
      <c r="BU298" s="261"/>
      <c r="BV298" s="260"/>
      <c r="BW298" s="239"/>
      <c r="BX298" s="260"/>
      <c r="BY298" s="260"/>
      <c r="BZ298" s="239"/>
      <c r="CA298" s="260"/>
      <c r="CB298" s="239"/>
      <c r="CC298" s="260"/>
      <c r="CD298" s="539"/>
      <c r="CE298" s="239"/>
      <c r="CF298" s="276"/>
      <c r="CG298" s="256"/>
      <c r="CH298" s="259"/>
      <c r="CI298" s="347"/>
      <c r="CJ298" s="540"/>
      <c r="CK298" s="256"/>
      <c r="CL298" s="244">
        <v>1</v>
      </c>
      <c r="CM298" s="274">
        <f t="shared" si="4"/>
        <v>2015</v>
      </c>
      <c r="CN298" s="244">
        <f>IF('Grille de saisie'!CM298&lt;18,0,IF('Grille de saisie'!CM298&lt;40,1,IF('Grille de saisie'!CM298&lt;65,2,IF('Grille de saisie'!CM298&lt;100,3,4))))</f>
        <v>4</v>
      </c>
      <c r="CO298" s="236">
        <f>IF(AND('Grille de saisie'!C298=1,'Grille de saisie'!BZ298=0),1,IF(AND('Grille de saisie'!C298="",'Grille de saisie'!BZ298=""),3,IF(AND('Grille de saisie'!C298=5),3,2)))</f>
        <v>3</v>
      </c>
      <c r="CP298" s="236">
        <f>IF(AND('Grille de saisie'!C298=1,'Grille de saisie'!BZ298=0),1,IF(AND('Grille de saisie'!C298=1,'Grille de saisie'!BZ298=1),2,IF(AND('Grille de saisie'!C298=2,'Grille de saisie'!BZ298=0),2,IF(AND('Grille de saisie'!C298=3,'Grille de saisie'!BZ298=0),3,IF(AND('Grille de saisie'!C298=2,'Grille de saisie'!BZ298=1),3,IF(AND('Grille de saisie'!C298=1,'Grille de saisie'!BZ298=2),3,IF(AND('Grille de saisie'!C298="",'Grille de saisie'!BZ298=""),5,IF(AND('Grille de saisie'!C298=5),5,4))))))))</f>
        <v>5</v>
      </c>
      <c r="CQ298" s="237">
        <f>IF('Grille de saisie'!BZ298="",3,IF('Grille de saisie'!C298=5,3,IF('Grille de saisie'!BZ298=0,1,2)))</f>
        <v>3</v>
      </c>
    </row>
    <row r="299" spans="1:95" ht="15">
      <c r="A299" s="510">
        <v>297</v>
      </c>
      <c r="B299" s="240"/>
      <c r="C299" s="513"/>
      <c r="D299" s="240"/>
      <c r="E299" s="517"/>
      <c r="F299" s="265"/>
      <c r="G299" s="513"/>
      <c r="H299" s="265"/>
      <c r="I299" s="520"/>
      <c r="J299" s="241"/>
      <c r="K299" s="520"/>
      <c r="L299" s="241"/>
      <c r="M299" s="521"/>
      <c r="N299" s="241"/>
      <c r="O299" s="521"/>
      <c r="P299" s="241"/>
      <c r="Q299" s="520"/>
      <c r="R299" s="241"/>
      <c r="S299" s="520"/>
      <c r="T299" s="241"/>
      <c r="U299" s="520"/>
      <c r="V299" s="241"/>
      <c r="W299" s="242"/>
      <c r="X299" s="241"/>
      <c r="Y299" s="242"/>
      <c r="Z299" s="241"/>
      <c r="AA299" s="241"/>
      <c r="AB299" s="275"/>
      <c r="AC299" s="524"/>
      <c r="AD299" s="241"/>
      <c r="AE299" s="241"/>
      <c r="AF299" s="241"/>
      <c r="AG299" s="241"/>
      <c r="AH299" s="241"/>
      <c r="AI299" s="241"/>
      <c r="AJ299" s="529"/>
      <c r="AK299" s="258"/>
      <c r="AL299" s="241"/>
      <c r="AM299" s="242"/>
      <c r="AN299" s="241"/>
      <c r="AO299" s="242"/>
      <c r="AP299" s="241"/>
      <c r="AQ299" s="242"/>
      <c r="AR299" s="241"/>
      <c r="AS299" s="242"/>
      <c r="AT299" s="241"/>
      <c r="AU299" s="241"/>
      <c r="AV299" s="256"/>
      <c r="AW299" s="241"/>
      <c r="AX299" s="256"/>
      <c r="AY299" s="241"/>
      <c r="AZ299" s="256"/>
      <c r="BA299" s="239"/>
      <c r="BB299" s="242"/>
      <c r="BC299" s="239"/>
      <c r="BD299" s="242"/>
      <c r="BE299" s="239"/>
      <c r="BF299" s="241"/>
      <c r="BG299" s="239"/>
      <c r="BH299" s="241"/>
      <c r="BI299" s="260"/>
      <c r="BJ299" s="241"/>
      <c r="BK299" s="260"/>
      <c r="BL299" s="239"/>
      <c r="BM299" s="256"/>
      <c r="BN299" s="241"/>
      <c r="BO299" s="243"/>
      <c r="BP299" s="241"/>
      <c r="BQ299" s="239"/>
      <c r="BR299" s="276"/>
      <c r="BS299" s="256"/>
      <c r="BT299" s="260"/>
      <c r="BU299" s="261"/>
      <c r="BV299" s="260"/>
      <c r="BW299" s="239"/>
      <c r="BX299" s="260"/>
      <c r="BY299" s="260"/>
      <c r="BZ299" s="239"/>
      <c r="CA299" s="260"/>
      <c r="CB299" s="239"/>
      <c r="CC299" s="260"/>
      <c r="CD299" s="539"/>
      <c r="CE299" s="239"/>
      <c r="CF299" s="276"/>
      <c r="CG299" s="256"/>
      <c r="CH299" s="259"/>
      <c r="CI299" s="347"/>
      <c r="CJ299" s="540"/>
      <c r="CK299" s="256"/>
      <c r="CL299" s="244">
        <v>1</v>
      </c>
      <c r="CM299" s="274">
        <f t="shared" si="4"/>
        <v>2015</v>
      </c>
      <c r="CN299" s="244">
        <f>IF('Grille de saisie'!CM299&lt;18,0,IF('Grille de saisie'!CM299&lt;40,1,IF('Grille de saisie'!CM299&lt;65,2,IF('Grille de saisie'!CM299&lt;100,3,4))))</f>
        <v>4</v>
      </c>
      <c r="CO299" s="236">
        <f>IF(AND('Grille de saisie'!C299=1,'Grille de saisie'!BZ299=0),1,IF(AND('Grille de saisie'!C299="",'Grille de saisie'!BZ299=""),3,IF(AND('Grille de saisie'!C299=5),3,2)))</f>
        <v>3</v>
      </c>
      <c r="CP299" s="236">
        <f>IF(AND('Grille de saisie'!C299=1,'Grille de saisie'!BZ299=0),1,IF(AND('Grille de saisie'!C299=1,'Grille de saisie'!BZ299=1),2,IF(AND('Grille de saisie'!C299=2,'Grille de saisie'!BZ299=0),2,IF(AND('Grille de saisie'!C299=3,'Grille de saisie'!BZ299=0),3,IF(AND('Grille de saisie'!C299=2,'Grille de saisie'!BZ299=1),3,IF(AND('Grille de saisie'!C299=1,'Grille de saisie'!BZ299=2),3,IF(AND('Grille de saisie'!C299="",'Grille de saisie'!BZ299=""),5,IF(AND('Grille de saisie'!C299=5),5,4))))))))</f>
        <v>5</v>
      </c>
      <c r="CQ299" s="237">
        <f>IF('Grille de saisie'!BZ299="",3,IF('Grille de saisie'!C299=5,3,IF('Grille de saisie'!BZ299=0,1,2)))</f>
        <v>3</v>
      </c>
    </row>
    <row r="300" spans="1:95" ht="15">
      <c r="A300" s="511">
        <v>298</v>
      </c>
      <c r="B300" s="240"/>
      <c r="C300" s="513"/>
      <c r="D300" s="240"/>
      <c r="E300" s="517"/>
      <c r="F300" s="265"/>
      <c r="G300" s="513"/>
      <c r="H300" s="265"/>
      <c r="I300" s="520"/>
      <c r="J300" s="241"/>
      <c r="K300" s="520"/>
      <c r="L300" s="241"/>
      <c r="M300" s="521"/>
      <c r="N300" s="241"/>
      <c r="O300" s="521"/>
      <c r="P300" s="241"/>
      <c r="Q300" s="520"/>
      <c r="R300" s="241"/>
      <c r="S300" s="520"/>
      <c r="T300" s="241"/>
      <c r="U300" s="520"/>
      <c r="V300" s="241"/>
      <c r="W300" s="242"/>
      <c r="X300" s="241"/>
      <c r="Y300" s="242"/>
      <c r="Z300" s="241"/>
      <c r="AA300" s="241"/>
      <c r="AB300" s="275"/>
      <c r="AC300" s="524"/>
      <c r="AD300" s="241"/>
      <c r="AE300" s="241"/>
      <c r="AF300" s="241"/>
      <c r="AG300" s="241"/>
      <c r="AH300" s="241"/>
      <c r="AI300" s="241"/>
      <c r="AJ300" s="529"/>
      <c r="AK300" s="258"/>
      <c r="AL300" s="241"/>
      <c r="AM300" s="242"/>
      <c r="AN300" s="241"/>
      <c r="AO300" s="242"/>
      <c r="AP300" s="241"/>
      <c r="AQ300" s="242"/>
      <c r="AR300" s="241"/>
      <c r="AS300" s="242"/>
      <c r="AT300" s="241"/>
      <c r="AU300" s="241"/>
      <c r="AV300" s="256"/>
      <c r="AW300" s="241"/>
      <c r="AX300" s="256"/>
      <c r="AY300" s="241"/>
      <c r="AZ300" s="256"/>
      <c r="BA300" s="239"/>
      <c r="BB300" s="242"/>
      <c r="BC300" s="239"/>
      <c r="BD300" s="242"/>
      <c r="BE300" s="239"/>
      <c r="BF300" s="241"/>
      <c r="BG300" s="239"/>
      <c r="BH300" s="241"/>
      <c r="BI300" s="260"/>
      <c r="BJ300" s="241"/>
      <c r="BK300" s="260"/>
      <c r="BL300" s="239"/>
      <c r="BM300" s="256"/>
      <c r="BN300" s="241"/>
      <c r="BO300" s="243"/>
      <c r="BP300" s="241"/>
      <c r="BQ300" s="239"/>
      <c r="BR300" s="276"/>
      <c r="BS300" s="256"/>
      <c r="BT300" s="260"/>
      <c r="BU300" s="261"/>
      <c r="BV300" s="260"/>
      <c r="BW300" s="239"/>
      <c r="BX300" s="260"/>
      <c r="BY300" s="260"/>
      <c r="BZ300" s="239"/>
      <c r="CA300" s="260"/>
      <c r="CB300" s="239"/>
      <c r="CC300" s="260"/>
      <c r="CD300" s="539"/>
      <c r="CE300" s="239"/>
      <c r="CF300" s="276"/>
      <c r="CG300" s="256"/>
      <c r="CH300" s="259"/>
      <c r="CI300" s="347"/>
      <c r="CJ300" s="540"/>
      <c r="CK300" s="256"/>
      <c r="CL300" s="244">
        <v>1</v>
      </c>
      <c r="CM300" s="274">
        <f t="shared" si="4"/>
        <v>2015</v>
      </c>
      <c r="CN300" s="244">
        <f>IF('Grille de saisie'!CM300&lt;18,0,IF('Grille de saisie'!CM300&lt;40,1,IF('Grille de saisie'!CM300&lt;65,2,IF('Grille de saisie'!CM300&lt;100,3,4))))</f>
        <v>4</v>
      </c>
      <c r="CO300" s="236">
        <f>IF(AND('Grille de saisie'!C300=1,'Grille de saisie'!BZ300=0),1,IF(AND('Grille de saisie'!C300="",'Grille de saisie'!BZ300=""),3,IF(AND('Grille de saisie'!C300=5),3,2)))</f>
        <v>3</v>
      </c>
      <c r="CP300" s="236">
        <f>IF(AND('Grille de saisie'!C300=1,'Grille de saisie'!BZ300=0),1,IF(AND('Grille de saisie'!C300=1,'Grille de saisie'!BZ300=1),2,IF(AND('Grille de saisie'!C300=2,'Grille de saisie'!BZ300=0),2,IF(AND('Grille de saisie'!C300=3,'Grille de saisie'!BZ300=0),3,IF(AND('Grille de saisie'!C300=2,'Grille de saisie'!BZ300=1),3,IF(AND('Grille de saisie'!C300=1,'Grille de saisie'!BZ300=2),3,IF(AND('Grille de saisie'!C300="",'Grille de saisie'!BZ300=""),5,IF(AND('Grille de saisie'!C300=5),5,4))))))))</f>
        <v>5</v>
      </c>
      <c r="CQ300" s="237">
        <f>IF('Grille de saisie'!BZ300="",3,IF('Grille de saisie'!C300=5,3,IF('Grille de saisie'!BZ300=0,1,2)))</f>
        <v>3</v>
      </c>
    </row>
    <row r="301" spans="1:95" ht="15">
      <c r="A301" s="510">
        <v>299</v>
      </c>
      <c r="B301" s="240"/>
      <c r="C301" s="513"/>
      <c r="D301" s="240"/>
      <c r="E301" s="517"/>
      <c r="F301" s="265"/>
      <c r="G301" s="513"/>
      <c r="H301" s="265"/>
      <c r="I301" s="520"/>
      <c r="J301" s="241"/>
      <c r="K301" s="520"/>
      <c r="L301" s="241"/>
      <c r="M301" s="521"/>
      <c r="N301" s="241"/>
      <c r="O301" s="521"/>
      <c r="P301" s="241"/>
      <c r="Q301" s="520"/>
      <c r="R301" s="241"/>
      <c r="S301" s="520"/>
      <c r="T301" s="241"/>
      <c r="U301" s="520"/>
      <c r="V301" s="241"/>
      <c r="W301" s="242"/>
      <c r="X301" s="241"/>
      <c r="Y301" s="242"/>
      <c r="Z301" s="241"/>
      <c r="AA301" s="241"/>
      <c r="AB301" s="275"/>
      <c r="AC301" s="524"/>
      <c r="AD301" s="241"/>
      <c r="AE301" s="241"/>
      <c r="AF301" s="241"/>
      <c r="AG301" s="241"/>
      <c r="AH301" s="241"/>
      <c r="AI301" s="241"/>
      <c r="AJ301" s="529"/>
      <c r="AK301" s="258"/>
      <c r="AL301" s="241"/>
      <c r="AM301" s="242"/>
      <c r="AN301" s="241"/>
      <c r="AO301" s="242"/>
      <c r="AP301" s="241"/>
      <c r="AQ301" s="242"/>
      <c r="AR301" s="241"/>
      <c r="AS301" s="242"/>
      <c r="AT301" s="241"/>
      <c r="AU301" s="241"/>
      <c r="AV301" s="256"/>
      <c r="AW301" s="241"/>
      <c r="AX301" s="256"/>
      <c r="AY301" s="241"/>
      <c r="AZ301" s="256"/>
      <c r="BA301" s="239"/>
      <c r="BB301" s="242"/>
      <c r="BC301" s="239"/>
      <c r="BD301" s="242"/>
      <c r="BE301" s="239"/>
      <c r="BF301" s="241"/>
      <c r="BG301" s="239"/>
      <c r="BH301" s="241"/>
      <c r="BI301" s="260"/>
      <c r="BJ301" s="241"/>
      <c r="BK301" s="260"/>
      <c r="BL301" s="239"/>
      <c r="BM301" s="256"/>
      <c r="BN301" s="241"/>
      <c r="BO301" s="243"/>
      <c r="BP301" s="241"/>
      <c r="BQ301" s="239"/>
      <c r="BR301" s="276"/>
      <c r="BS301" s="256"/>
      <c r="BT301" s="260"/>
      <c r="BU301" s="261"/>
      <c r="BV301" s="260"/>
      <c r="BW301" s="239"/>
      <c r="BX301" s="260"/>
      <c r="BY301" s="260"/>
      <c r="BZ301" s="239"/>
      <c r="CA301" s="260"/>
      <c r="CB301" s="239"/>
      <c r="CC301" s="260"/>
      <c r="CD301" s="539"/>
      <c r="CE301" s="239"/>
      <c r="CF301" s="276"/>
      <c r="CG301" s="256"/>
      <c r="CH301" s="259"/>
      <c r="CI301" s="347"/>
      <c r="CJ301" s="540"/>
      <c r="CK301" s="256"/>
      <c r="CL301" s="244">
        <v>1</v>
      </c>
      <c r="CM301" s="274">
        <f t="shared" si="4"/>
        <v>2015</v>
      </c>
      <c r="CN301" s="244">
        <f>IF('Grille de saisie'!CM301&lt;18,0,IF('Grille de saisie'!CM301&lt;40,1,IF('Grille de saisie'!CM301&lt;65,2,IF('Grille de saisie'!CM301&lt;100,3,4))))</f>
        <v>4</v>
      </c>
      <c r="CO301" s="236">
        <f>IF(AND('Grille de saisie'!C301=1,'Grille de saisie'!BZ301=0),1,IF(AND('Grille de saisie'!C301="",'Grille de saisie'!BZ301=""),3,IF(AND('Grille de saisie'!C301=5),3,2)))</f>
        <v>3</v>
      </c>
      <c r="CP301" s="236">
        <f>IF(AND('Grille de saisie'!C301=1,'Grille de saisie'!BZ301=0),1,IF(AND('Grille de saisie'!C301=1,'Grille de saisie'!BZ301=1),2,IF(AND('Grille de saisie'!C301=2,'Grille de saisie'!BZ301=0),2,IF(AND('Grille de saisie'!C301=3,'Grille de saisie'!BZ301=0),3,IF(AND('Grille de saisie'!C301=2,'Grille de saisie'!BZ301=1),3,IF(AND('Grille de saisie'!C301=1,'Grille de saisie'!BZ301=2),3,IF(AND('Grille de saisie'!C301="",'Grille de saisie'!BZ301=""),5,IF(AND('Grille de saisie'!C301=5),5,4))))))))</f>
        <v>5</v>
      </c>
      <c r="CQ301" s="237">
        <f>IF('Grille de saisie'!BZ301="",3,IF('Grille de saisie'!C301=5,3,IF('Grille de saisie'!BZ301=0,1,2)))</f>
        <v>3</v>
      </c>
    </row>
    <row r="302" spans="1:95" ht="15">
      <c r="A302" s="510">
        <v>300</v>
      </c>
      <c r="B302" s="240"/>
      <c r="C302" s="513"/>
      <c r="D302" s="240"/>
      <c r="E302" s="517"/>
      <c r="F302" s="265"/>
      <c r="G302" s="513"/>
      <c r="H302" s="265"/>
      <c r="I302" s="520"/>
      <c r="J302" s="241"/>
      <c r="K302" s="520"/>
      <c r="L302" s="241"/>
      <c r="M302" s="521"/>
      <c r="N302" s="241"/>
      <c r="O302" s="521"/>
      <c r="P302" s="241"/>
      <c r="Q302" s="520"/>
      <c r="R302" s="241"/>
      <c r="S302" s="520"/>
      <c r="T302" s="241"/>
      <c r="U302" s="520"/>
      <c r="V302" s="241"/>
      <c r="W302" s="242"/>
      <c r="X302" s="241"/>
      <c r="Y302" s="242"/>
      <c r="Z302" s="241"/>
      <c r="AA302" s="241"/>
      <c r="AB302" s="275"/>
      <c r="AC302" s="524"/>
      <c r="AD302" s="241"/>
      <c r="AE302" s="241"/>
      <c r="AF302" s="241"/>
      <c r="AG302" s="241"/>
      <c r="AH302" s="241"/>
      <c r="AI302" s="241"/>
      <c r="AJ302" s="529"/>
      <c r="AK302" s="258"/>
      <c r="AL302" s="241"/>
      <c r="AM302" s="242"/>
      <c r="AN302" s="241"/>
      <c r="AO302" s="242"/>
      <c r="AP302" s="241"/>
      <c r="AQ302" s="242"/>
      <c r="AR302" s="241"/>
      <c r="AS302" s="242"/>
      <c r="AT302" s="241"/>
      <c r="AU302" s="241"/>
      <c r="AV302" s="256"/>
      <c r="AW302" s="241"/>
      <c r="AX302" s="256"/>
      <c r="AY302" s="241"/>
      <c r="AZ302" s="256"/>
      <c r="BA302" s="239"/>
      <c r="BB302" s="242"/>
      <c r="BC302" s="239"/>
      <c r="BD302" s="242"/>
      <c r="BE302" s="239"/>
      <c r="BF302" s="241"/>
      <c r="BG302" s="239"/>
      <c r="BH302" s="241"/>
      <c r="BI302" s="260"/>
      <c r="BJ302" s="241"/>
      <c r="BK302" s="260"/>
      <c r="BL302" s="239"/>
      <c r="BM302" s="256"/>
      <c r="BN302" s="241"/>
      <c r="BO302" s="243"/>
      <c r="BP302" s="241"/>
      <c r="BQ302" s="239"/>
      <c r="BR302" s="276"/>
      <c r="BS302" s="256"/>
      <c r="BT302" s="260"/>
      <c r="BU302" s="261"/>
      <c r="BV302" s="260"/>
      <c r="BW302" s="239"/>
      <c r="BX302" s="260"/>
      <c r="BY302" s="260"/>
      <c r="BZ302" s="239"/>
      <c r="CA302" s="260"/>
      <c r="CB302" s="239"/>
      <c r="CC302" s="260"/>
      <c r="CD302" s="539"/>
      <c r="CE302" s="239"/>
      <c r="CF302" s="276"/>
      <c r="CG302" s="256"/>
      <c r="CH302" s="259"/>
      <c r="CI302" s="347"/>
      <c r="CJ302" s="540"/>
      <c r="CK302" s="256"/>
      <c r="CL302" s="244">
        <v>1</v>
      </c>
      <c r="CM302" s="274">
        <f t="shared" si="4"/>
        <v>2015</v>
      </c>
      <c r="CN302" s="244">
        <f>IF('Grille de saisie'!CM302&lt;18,0,IF('Grille de saisie'!CM302&lt;40,1,IF('Grille de saisie'!CM302&lt;65,2,IF('Grille de saisie'!CM302&lt;100,3,4))))</f>
        <v>4</v>
      </c>
      <c r="CO302" s="236">
        <f>IF(AND('Grille de saisie'!C302=1,'Grille de saisie'!BZ302=0),1,IF(AND('Grille de saisie'!C302="",'Grille de saisie'!BZ302=""),3,IF(AND('Grille de saisie'!C302=5),3,2)))</f>
        <v>3</v>
      </c>
      <c r="CP302" s="236">
        <f>IF(AND('Grille de saisie'!C302=1,'Grille de saisie'!BZ302=0),1,IF(AND('Grille de saisie'!C302=1,'Grille de saisie'!BZ302=1),2,IF(AND('Grille de saisie'!C302=2,'Grille de saisie'!BZ302=0),2,IF(AND('Grille de saisie'!C302=3,'Grille de saisie'!BZ302=0),3,IF(AND('Grille de saisie'!C302=2,'Grille de saisie'!BZ302=1),3,IF(AND('Grille de saisie'!C302=1,'Grille de saisie'!BZ302=2),3,IF(AND('Grille de saisie'!C302="",'Grille de saisie'!BZ302=""),5,IF(AND('Grille de saisie'!C302=5),5,4))))))))</f>
        <v>5</v>
      </c>
      <c r="CQ302" s="237">
        <f>IF('Grille de saisie'!BZ302="",3,IF('Grille de saisie'!C302=5,3,IF('Grille de saisie'!BZ302=0,1,2)))</f>
        <v>3</v>
      </c>
    </row>
    <row r="303" spans="1:95" ht="15">
      <c r="A303" s="511">
        <v>301</v>
      </c>
      <c r="B303" s="240"/>
      <c r="C303" s="513"/>
      <c r="D303" s="240"/>
      <c r="E303" s="517"/>
      <c r="F303" s="265"/>
      <c r="G303" s="513"/>
      <c r="H303" s="265"/>
      <c r="I303" s="520"/>
      <c r="J303" s="241"/>
      <c r="K303" s="520"/>
      <c r="L303" s="241"/>
      <c r="M303" s="521"/>
      <c r="N303" s="241"/>
      <c r="O303" s="521"/>
      <c r="P303" s="241"/>
      <c r="Q303" s="520"/>
      <c r="R303" s="241"/>
      <c r="S303" s="520"/>
      <c r="T303" s="241"/>
      <c r="U303" s="520"/>
      <c r="V303" s="241"/>
      <c r="W303" s="242"/>
      <c r="X303" s="241"/>
      <c r="Y303" s="242"/>
      <c r="Z303" s="241"/>
      <c r="AA303" s="241"/>
      <c r="AB303" s="275"/>
      <c r="AC303" s="524"/>
      <c r="AD303" s="241"/>
      <c r="AE303" s="241"/>
      <c r="AF303" s="241"/>
      <c r="AG303" s="241"/>
      <c r="AH303" s="241"/>
      <c r="AI303" s="241"/>
      <c r="AJ303" s="529"/>
      <c r="AK303" s="258"/>
      <c r="AL303" s="241"/>
      <c r="AM303" s="242"/>
      <c r="AN303" s="241"/>
      <c r="AO303" s="242"/>
      <c r="AP303" s="241"/>
      <c r="AQ303" s="242"/>
      <c r="AR303" s="241"/>
      <c r="AS303" s="242"/>
      <c r="AT303" s="241"/>
      <c r="AU303" s="241"/>
      <c r="AV303" s="256"/>
      <c r="AW303" s="241"/>
      <c r="AX303" s="256"/>
      <c r="AY303" s="241"/>
      <c r="AZ303" s="256"/>
      <c r="BA303" s="239"/>
      <c r="BB303" s="242"/>
      <c r="BC303" s="239"/>
      <c r="BD303" s="242"/>
      <c r="BE303" s="239"/>
      <c r="BF303" s="241"/>
      <c r="BG303" s="239"/>
      <c r="BH303" s="241"/>
      <c r="BI303" s="260"/>
      <c r="BJ303" s="241"/>
      <c r="BK303" s="260"/>
      <c r="BL303" s="239"/>
      <c r="BM303" s="256"/>
      <c r="BN303" s="241"/>
      <c r="BO303" s="243"/>
      <c r="BP303" s="241"/>
      <c r="BQ303" s="239"/>
      <c r="BR303" s="276"/>
      <c r="BS303" s="256"/>
      <c r="BT303" s="260"/>
      <c r="BU303" s="261"/>
      <c r="BV303" s="260"/>
      <c r="BW303" s="239"/>
      <c r="BX303" s="260"/>
      <c r="BY303" s="260"/>
      <c r="BZ303" s="239"/>
      <c r="CA303" s="260"/>
      <c r="CB303" s="239"/>
      <c r="CC303" s="260"/>
      <c r="CD303" s="539"/>
      <c r="CE303" s="239"/>
      <c r="CF303" s="276"/>
      <c r="CG303" s="256"/>
      <c r="CH303" s="259"/>
      <c r="CI303" s="347"/>
      <c r="CJ303" s="540"/>
      <c r="CK303" s="256"/>
      <c r="CL303" s="244">
        <v>1</v>
      </c>
      <c r="CM303" s="274">
        <f t="shared" si="4"/>
        <v>2015</v>
      </c>
      <c r="CN303" s="244">
        <f>IF('Grille de saisie'!CM303&lt;18,0,IF('Grille de saisie'!CM303&lt;40,1,IF('Grille de saisie'!CM303&lt;65,2,IF('Grille de saisie'!CM303&lt;100,3,4))))</f>
        <v>4</v>
      </c>
      <c r="CO303" s="236">
        <f>IF(AND('Grille de saisie'!C303=1,'Grille de saisie'!BZ303=0),1,IF(AND('Grille de saisie'!C303="",'Grille de saisie'!BZ303=""),3,IF(AND('Grille de saisie'!C303=5),3,2)))</f>
        <v>3</v>
      </c>
      <c r="CP303" s="236">
        <f>IF(AND('Grille de saisie'!C303=1,'Grille de saisie'!BZ303=0),1,IF(AND('Grille de saisie'!C303=1,'Grille de saisie'!BZ303=1),2,IF(AND('Grille de saisie'!C303=2,'Grille de saisie'!BZ303=0),2,IF(AND('Grille de saisie'!C303=3,'Grille de saisie'!BZ303=0),3,IF(AND('Grille de saisie'!C303=2,'Grille de saisie'!BZ303=1),3,IF(AND('Grille de saisie'!C303=1,'Grille de saisie'!BZ303=2),3,IF(AND('Grille de saisie'!C303="",'Grille de saisie'!BZ303=""),5,IF(AND('Grille de saisie'!C303=5),5,4))))))))</f>
        <v>5</v>
      </c>
      <c r="CQ303" s="237">
        <f>IF('Grille de saisie'!BZ303="",3,IF('Grille de saisie'!C303=5,3,IF('Grille de saisie'!BZ303=0,1,2)))</f>
        <v>3</v>
      </c>
    </row>
    <row r="304" spans="1:95" ht="15">
      <c r="A304" s="510">
        <v>302</v>
      </c>
      <c r="B304" s="240"/>
      <c r="C304" s="513"/>
      <c r="D304" s="240"/>
      <c r="E304" s="517"/>
      <c r="F304" s="265"/>
      <c r="G304" s="513"/>
      <c r="H304" s="265"/>
      <c r="I304" s="520"/>
      <c r="J304" s="241"/>
      <c r="K304" s="520"/>
      <c r="L304" s="241"/>
      <c r="M304" s="521"/>
      <c r="N304" s="241"/>
      <c r="O304" s="521"/>
      <c r="P304" s="241"/>
      <c r="Q304" s="520"/>
      <c r="R304" s="241"/>
      <c r="S304" s="520"/>
      <c r="T304" s="241"/>
      <c r="U304" s="520"/>
      <c r="V304" s="241"/>
      <c r="W304" s="242"/>
      <c r="X304" s="241"/>
      <c r="Y304" s="242"/>
      <c r="Z304" s="241"/>
      <c r="AA304" s="241"/>
      <c r="AB304" s="275"/>
      <c r="AC304" s="524"/>
      <c r="AD304" s="241"/>
      <c r="AE304" s="241"/>
      <c r="AF304" s="241"/>
      <c r="AG304" s="241"/>
      <c r="AH304" s="241"/>
      <c r="AI304" s="241"/>
      <c r="AJ304" s="529"/>
      <c r="AK304" s="258"/>
      <c r="AL304" s="241"/>
      <c r="AM304" s="242"/>
      <c r="AN304" s="241"/>
      <c r="AO304" s="242"/>
      <c r="AP304" s="241"/>
      <c r="AQ304" s="242"/>
      <c r="AR304" s="241"/>
      <c r="AS304" s="242"/>
      <c r="AT304" s="241"/>
      <c r="AU304" s="241"/>
      <c r="AV304" s="256"/>
      <c r="AW304" s="241"/>
      <c r="AX304" s="256"/>
      <c r="AY304" s="241"/>
      <c r="AZ304" s="256"/>
      <c r="BA304" s="239"/>
      <c r="BB304" s="242"/>
      <c r="BC304" s="239"/>
      <c r="BD304" s="242"/>
      <c r="BE304" s="239"/>
      <c r="BF304" s="241"/>
      <c r="BG304" s="239"/>
      <c r="BH304" s="241"/>
      <c r="BI304" s="260"/>
      <c r="BJ304" s="241"/>
      <c r="BK304" s="260"/>
      <c r="BL304" s="239"/>
      <c r="BM304" s="256"/>
      <c r="BN304" s="241"/>
      <c r="BO304" s="243"/>
      <c r="BP304" s="241"/>
      <c r="BQ304" s="239"/>
      <c r="BR304" s="276"/>
      <c r="BS304" s="256"/>
      <c r="BT304" s="260"/>
      <c r="BU304" s="261"/>
      <c r="BV304" s="260"/>
      <c r="BW304" s="239"/>
      <c r="BX304" s="260"/>
      <c r="BY304" s="260"/>
      <c r="BZ304" s="239"/>
      <c r="CA304" s="260"/>
      <c r="CB304" s="239"/>
      <c r="CC304" s="260"/>
      <c r="CD304" s="539"/>
      <c r="CE304" s="239"/>
      <c r="CF304" s="276"/>
      <c r="CG304" s="256"/>
      <c r="CH304" s="259"/>
      <c r="CI304" s="347"/>
      <c r="CJ304" s="540"/>
      <c r="CK304" s="256"/>
      <c r="CL304" s="244">
        <v>1</v>
      </c>
      <c r="CM304" s="274">
        <f t="shared" si="4"/>
        <v>2015</v>
      </c>
      <c r="CN304" s="244">
        <f>IF('Grille de saisie'!CM304&lt;18,0,IF('Grille de saisie'!CM304&lt;40,1,IF('Grille de saisie'!CM304&lt;65,2,IF('Grille de saisie'!CM304&lt;100,3,4))))</f>
        <v>4</v>
      </c>
      <c r="CO304" s="236">
        <f>IF(AND('Grille de saisie'!C304=1,'Grille de saisie'!BZ304=0),1,IF(AND('Grille de saisie'!C304="",'Grille de saisie'!BZ304=""),3,IF(AND('Grille de saisie'!C304=5),3,2)))</f>
        <v>3</v>
      </c>
      <c r="CP304" s="236">
        <f>IF(AND('Grille de saisie'!C304=1,'Grille de saisie'!BZ304=0),1,IF(AND('Grille de saisie'!C304=1,'Grille de saisie'!BZ304=1),2,IF(AND('Grille de saisie'!C304=2,'Grille de saisie'!BZ304=0),2,IF(AND('Grille de saisie'!C304=3,'Grille de saisie'!BZ304=0),3,IF(AND('Grille de saisie'!C304=2,'Grille de saisie'!BZ304=1),3,IF(AND('Grille de saisie'!C304=1,'Grille de saisie'!BZ304=2),3,IF(AND('Grille de saisie'!C304="",'Grille de saisie'!BZ304=""),5,IF(AND('Grille de saisie'!C304=5),5,4))))))))</f>
        <v>5</v>
      </c>
      <c r="CQ304" s="237">
        <f>IF('Grille de saisie'!BZ304="",3,IF('Grille de saisie'!C304=5,3,IF('Grille de saisie'!BZ304=0,1,2)))</f>
        <v>3</v>
      </c>
    </row>
    <row r="305" spans="1:95" ht="15">
      <c r="A305" s="510">
        <v>303</v>
      </c>
      <c r="B305" s="240"/>
      <c r="C305" s="513"/>
      <c r="D305" s="240"/>
      <c r="E305" s="517"/>
      <c r="F305" s="265"/>
      <c r="G305" s="513"/>
      <c r="H305" s="265"/>
      <c r="I305" s="520"/>
      <c r="J305" s="241"/>
      <c r="K305" s="520"/>
      <c r="L305" s="241"/>
      <c r="M305" s="521"/>
      <c r="N305" s="241"/>
      <c r="O305" s="521"/>
      <c r="P305" s="241"/>
      <c r="Q305" s="520"/>
      <c r="R305" s="241"/>
      <c r="S305" s="520"/>
      <c r="T305" s="241"/>
      <c r="U305" s="520"/>
      <c r="V305" s="241"/>
      <c r="W305" s="242"/>
      <c r="X305" s="241"/>
      <c r="Y305" s="242"/>
      <c r="Z305" s="241"/>
      <c r="AA305" s="241"/>
      <c r="AB305" s="275"/>
      <c r="AC305" s="524"/>
      <c r="AD305" s="241"/>
      <c r="AE305" s="241"/>
      <c r="AF305" s="241"/>
      <c r="AG305" s="241"/>
      <c r="AH305" s="241"/>
      <c r="AI305" s="241"/>
      <c r="AJ305" s="529"/>
      <c r="AK305" s="258"/>
      <c r="AL305" s="241"/>
      <c r="AM305" s="242"/>
      <c r="AN305" s="241"/>
      <c r="AO305" s="242"/>
      <c r="AP305" s="241"/>
      <c r="AQ305" s="242"/>
      <c r="AR305" s="241"/>
      <c r="AS305" s="242"/>
      <c r="AT305" s="241"/>
      <c r="AU305" s="241"/>
      <c r="AV305" s="256"/>
      <c r="AW305" s="241"/>
      <c r="AX305" s="256"/>
      <c r="AY305" s="241"/>
      <c r="AZ305" s="256"/>
      <c r="BA305" s="239"/>
      <c r="BB305" s="242"/>
      <c r="BC305" s="239"/>
      <c r="BD305" s="242"/>
      <c r="BE305" s="239"/>
      <c r="BF305" s="241"/>
      <c r="BG305" s="239"/>
      <c r="BH305" s="241"/>
      <c r="BI305" s="260"/>
      <c r="BJ305" s="241"/>
      <c r="BK305" s="260"/>
      <c r="BL305" s="239"/>
      <c r="BM305" s="256"/>
      <c r="BN305" s="241"/>
      <c r="BO305" s="243"/>
      <c r="BP305" s="241"/>
      <c r="BQ305" s="239"/>
      <c r="BR305" s="276"/>
      <c r="BS305" s="256"/>
      <c r="BT305" s="260"/>
      <c r="BU305" s="261"/>
      <c r="BV305" s="260"/>
      <c r="BW305" s="239"/>
      <c r="BX305" s="260"/>
      <c r="BY305" s="260"/>
      <c r="BZ305" s="239"/>
      <c r="CA305" s="260"/>
      <c r="CB305" s="239"/>
      <c r="CC305" s="260"/>
      <c r="CD305" s="539"/>
      <c r="CE305" s="239"/>
      <c r="CF305" s="276"/>
      <c r="CG305" s="256"/>
      <c r="CH305" s="259"/>
      <c r="CI305" s="347"/>
      <c r="CJ305" s="540"/>
      <c r="CK305" s="256"/>
      <c r="CL305" s="244">
        <v>1</v>
      </c>
      <c r="CM305" s="274">
        <f t="shared" si="4"/>
        <v>2015</v>
      </c>
      <c r="CN305" s="244">
        <f>IF('Grille de saisie'!CM305&lt;18,0,IF('Grille de saisie'!CM305&lt;40,1,IF('Grille de saisie'!CM305&lt;65,2,IF('Grille de saisie'!CM305&lt;100,3,4))))</f>
        <v>4</v>
      </c>
      <c r="CO305" s="236">
        <f>IF(AND('Grille de saisie'!C305=1,'Grille de saisie'!BZ305=0),1,IF(AND('Grille de saisie'!C305="",'Grille de saisie'!BZ305=""),3,IF(AND('Grille de saisie'!C305=5),3,2)))</f>
        <v>3</v>
      </c>
      <c r="CP305" s="236">
        <f>IF(AND('Grille de saisie'!C305=1,'Grille de saisie'!BZ305=0),1,IF(AND('Grille de saisie'!C305=1,'Grille de saisie'!BZ305=1),2,IF(AND('Grille de saisie'!C305=2,'Grille de saisie'!BZ305=0),2,IF(AND('Grille de saisie'!C305=3,'Grille de saisie'!BZ305=0),3,IF(AND('Grille de saisie'!C305=2,'Grille de saisie'!BZ305=1),3,IF(AND('Grille de saisie'!C305=1,'Grille de saisie'!BZ305=2),3,IF(AND('Grille de saisie'!C305="",'Grille de saisie'!BZ305=""),5,IF(AND('Grille de saisie'!C305=5),5,4))))))))</f>
        <v>5</v>
      </c>
      <c r="CQ305" s="237">
        <f>IF('Grille de saisie'!BZ305="",3,IF('Grille de saisie'!C305=5,3,IF('Grille de saisie'!BZ305=0,1,2)))</f>
        <v>3</v>
      </c>
    </row>
    <row r="306" spans="1:95" ht="15">
      <c r="A306" s="511">
        <v>304</v>
      </c>
      <c r="B306" s="240"/>
      <c r="C306" s="513"/>
      <c r="D306" s="240"/>
      <c r="E306" s="517"/>
      <c r="F306" s="265"/>
      <c r="G306" s="513"/>
      <c r="H306" s="265"/>
      <c r="I306" s="520"/>
      <c r="J306" s="241"/>
      <c r="K306" s="520"/>
      <c r="L306" s="241"/>
      <c r="M306" s="521"/>
      <c r="N306" s="241"/>
      <c r="O306" s="521"/>
      <c r="P306" s="241"/>
      <c r="Q306" s="520"/>
      <c r="R306" s="241"/>
      <c r="S306" s="520"/>
      <c r="T306" s="241"/>
      <c r="U306" s="520"/>
      <c r="V306" s="241"/>
      <c r="W306" s="242"/>
      <c r="X306" s="241"/>
      <c r="Y306" s="242"/>
      <c r="Z306" s="241"/>
      <c r="AA306" s="241"/>
      <c r="AB306" s="275"/>
      <c r="AC306" s="524"/>
      <c r="AD306" s="241"/>
      <c r="AE306" s="241"/>
      <c r="AF306" s="241"/>
      <c r="AG306" s="241"/>
      <c r="AH306" s="241"/>
      <c r="AI306" s="241"/>
      <c r="AJ306" s="529"/>
      <c r="AK306" s="258"/>
      <c r="AL306" s="241"/>
      <c r="AM306" s="242"/>
      <c r="AN306" s="241"/>
      <c r="AO306" s="242"/>
      <c r="AP306" s="241"/>
      <c r="AQ306" s="242"/>
      <c r="AR306" s="241"/>
      <c r="AS306" s="242"/>
      <c r="AT306" s="241"/>
      <c r="AU306" s="241"/>
      <c r="AV306" s="256"/>
      <c r="AW306" s="241"/>
      <c r="AX306" s="256"/>
      <c r="AY306" s="241"/>
      <c r="AZ306" s="256"/>
      <c r="BA306" s="239"/>
      <c r="BB306" s="242"/>
      <c r="BC306" s="239"/>
      <c r="BD306" s="242"/>
      <c r="BE306" s="239"/>
      <c r="BF306" s="241"/>
      <c r="BG306" s="239"/>
      <c r="BH306" s="241"/>
      <c r="BI306" s="260"/>
      <c r="BJ306" s="241"/>
      <c r="BK306" s="260"/>
      <c r="BL306" s="239"/>
      <c r="BM306" s="256"/>
      <c r="BN306" s="241"/>
      <c r="BO306" s="243"/>
      <c r="BP306" s="241"/>
      <c r="BQ306" s="239"/>
      <c r="BR306" s="276"/>
      <c r="BS306" s="256"/>
      <c r="BT306" s="260"/>
      <c r="BU306" s="261"/>
      <c r="BV306" s="260"/>
      <c r="BW306" s="239"/>
      <c r="BX306" s="260"/>
      <c r="BY306" s="260"/>
      <c r="BZ306" s="239"/>
      <c r="CA306" s="260"/>
      <c r="CB306" s="239"/>
      <c r="CC306" s="260"/>
      <c r="CD306" s="539"/>
      <c r="CE306" s="239"/>
      <c r="CF306" s="276"/>
      <c r="CG306" s="256"/>
      <c r="CH306" s="259"/>
      <c r="CI306" s="347"/>
      <c r="CJ306" s="540"/>
      <c r="CK306" s="256"/>
      <c r="CL306" s="244">
        <v>1</v>
      </c>
      <c r="CM306" s="274">
        <f t="shared" si="4"/>
        <v>2015</v>
      </c>
      <c r="CN306" s="244">
        <f>IF('Grille de saisie'!CM306&lt;18,0,IF('Grille de saisie'!CM306&lt;40,1,IF('Grille de saisie'!CM306&lt;65,2,IF('Grille de saisie'!CM306&lt;100,3,4))))</f>
        <v>4</v>
      </c>
      <c r="CO306" s="236">
        <f>IF(AND('Grille de saisie'!C306=1,'Grille de saisie'!BZ306=0),1,IF(AND('Grille de saisie'!C306="",'Grille de saisie'!BZ306=""),3,IF(AND('Grille de saisie'!C306=5),3,2)))</f>
        <v>3</v>
      </c>
      <c r="CP306" s="236">
        <f>IF(AND('Grille de saisie'!C306=1,'Grille de saisie'!BZ306=0),1,IF(AND('Grille de saisie'!C306=1,'Grille de saisie'!BZ306=1),2,IF(AND('Grille de saisie'!C306=2,'Grille de saisie'!BZ306=0),2,IF(AND('Grille de saisie'!C306=3,'Grille de saisie'!BZ306=0),3,IF(AND('Grille de saisie'!C306=2,'Grille de saisie'!BZ306=1),3,IF(AND('Grille de saisie'!C306=1,'Grille de saisie'!BZ306=2),3,IF(AND('Grille de saisie'!C306="",'Grille de saisie'!BZ306=""),5,IF(AND('Grille de saisie'!C306=5),5,4))))))))</f>
        <v>5</v>
      </c>
      <c r="CQ306" s="237">
        <f>IF('Grille de saisie'!BZ306="",3,IF('Grille de saisie'!C306=5,3,IF('Grille de saisie'!BZ306=0,1,2)))</f>
        <v>3</v>
      </c>
    </row>
    <row r="307" spans="1:95" ht="15">
      <c r="A307" s="510">
        <v>305</v>
      </c>
      <c r="B307" s="240"/>
      <c r="C307" s="513"/>
      <c r="D307" s="240"/>
      <c r="E307" s="517"/>
      <c r="F307" s="265"/>
      <c r="G307" s="513"/>
      <c r="H307" s="265"/>
      <c r="I307" s="520"/>
      <c r="J307" s="241"/>
      <c r="K307" s="520"/>
      <c r="L307" s="241"/>
      <c r="M307" s="521"/>
      <c r="N307" s="241"/>
      <c r="O307" s="521"/>
      <c r="P307" s="241"/>
      <c r="Q307" s="520"/>
      <c r="R307" s="241"/>
      <c r="S307" s="520"/>
      <c r="T307" s="241"/>
      <c r="U307" s="520"/>
      <c r="V307" s="241"/>
      <c r="W307" s="242"/>
      <c r="X307" s="241"/>
      <c r="Y307" s="242"/>
      <c r="Z307" s="241"/>
      <c r="AA307" s="241"/>
      <c r="AB307" s="275"/>
      <c r="AC307" s="524"/>
      <c r="AD307" s="241"/>
      <c r="AE307" s="241"/>
      <c r="AF307" s="241"/>
      <c r="AG307" s="241"/>
      <c r="AH307" s="241"/>
      <c r="AI307" s="241"/>
      <c r="AJ307" s="529"/>
      <c r="AK307" s="258"/>
      <c r="AL307" s="241"/>
      <c r="AM307" s="242"/>
      <c r="AN307" s="241"/>
      <c r="AO307" s="242"/>
      <c r="AP307" s="241"/>
      <c r="AQ307" s="242"/>
      <c r="AR307" s="241"/>
      <c r="AS307" s="242"/>
      <c r="AT307" s="241"/>
      <c r="AU307" s="241"/>
      <c r="AV307" s="256"/>
      <c r="AW307" s="241"/>
      <c r="AX307" s="256"/>
      <c r="AY307" s="241"/>
      <c r="AZ307" s="256"/>
      <c r="BA307" s="239"/>
      <c r="BB307" s="242"/>
      <c r="BC307" s="239"/>
      <c r="BD307" s="242"/>
      <c r="BE307" s="239"/>
      <c r="BF307" s="241"/>
      <c r="BG307" s="239"/>
      <c r="BH307" s="241"/>
      <c r="BI307" s="260"/>
      <c r="BJ307" s="241"/>
      <c r="BK307" s="260"/>
      <c r="BL307" s="239"/>
      <c r="BM307" s="256"/>
      <c r="BN307" s="241"/>
      <c r="BO307" s="243"/>
      <c r="BP307" s="241"/>
      <c r="BQ307" s="239"/>
      <c r="BR307" s="276"/>
      <c r="BS307" s="256"/>
      <c r="BT307" s="260"/>
      <c r="BU307" s="261"/>
      <c r="BV307" s="260"/>
      <c r="BW307" s="239"/>
      <c r="BX307" s="260"/>
      <c r="BY307" s="260"/>
      <c r="BZ307" s="239"/>
      <c r="CA307" s="260"/>
      <c r="CB307" s="239"/>
      <c r="CC307" s="260"/>
      <c r="CD307" s="539"/>
      <c r="CE307" s="239"/>
      <c r="CF307" s="276"/>
      <c r="CG307" s="256"/>
      <c r="CH307" s="259"/>
      <c r="CI307" s="347"/>
      <c r="CJ307" s="540"/>
      <c r="CK307" s="256"/>
      <c r="CL307" s="244">
        <v>1</v>
      </c>
      <c r="CM307" s="274">
        <f t="shared" si="4"/>
        <v>2015</v>
      </c>
      <c r="CN307" s="244">
        <f>IF('Grille de saisie'!CM307&lt;18,0,IF('Grille de saisie'!CM307&lt;40,1,IF('Grille de saisie'!CM307&lt;65,2,IF('Grille de saisie'!CM307&lt;100,3,4))))</f>
        <v>4</v>
      </c>
      <c r="CO307" s="236">
        <f>IF(AND('Grille de saisie'!C307=1,'Grille de saisie'!BZ307=0),1,IF(AND('Grille de saisie'!C307="",'Grille de saisie'!BZ307=""),3,IF(AND('Grille de saisie'!C307=5),3,2)))</f>
        <v>3</v>
      </c>
      <c r="CP307" s="236">
        <f>IF(AND('Grille de saisie'!C307=1,'Grille de saisie'!BZ307=0),1,IF(AND('Grille de saisie'!C307=1,'Grille de saisie'!BZ307=1),2,IF(AND('Grille de saisie'!C307=2,'Grille de saisie'!BZ307=0),2,IF(AND('Grille de saisie'!C307=3,'Grille de saisie'!BZ307=0),3,IF(AND('Grille de saisie'!C307=2,'Grille de saisie'!BZ307=1),3,IF(AND('Grille de saisie'!C307=1,'Grille de saisie'!BZ307=2),3,IF(AND('Grille de saisie'!C307="",'Grille de saisie'!BZ307=""),5,IF(AND('Grille de saisie'!C307=5),5,4))))))))</f>
        <v>5</v>
      </c>
      <c r="CQ307" s="237">
        <f>IF('Grille de saisie'!BZ307="",3,IF('Grille de saisie'!C307=5,3,IF('Grille de saisie'!BZ307=0,1,2)))</f>
        <v>3</v>
      </c>
    </row>
    <row r="308" spans="1:95" ht="15">
      <c r="A308" s="510">
        <v>306</v>
      </c>
      <c r="B308" s="240"/>
      <c r="C308" s="513"/>
      <c r="D308" s="240"/>
      <c r="E308" s="517"/>
      <c r="F308" s="265"/>
      <c r="G308" s="513"/>
      <c r="H308" s="265"/>
      <c r="I308" s="520"/>
      <c r="J308" s="241"/>
      <c r="K308" s="520"/>
      <c r="L308" s="241"/>
      <c r="M308" s="521"/>
      <c r="N308" s="241"/>
      <c r="O308" s="521"/>
      <c r="P308" s="241"/>
      <c r="Q308" s="520"/>
      <c r="R308" s="241"/>
      <c r="S308" s="520"/>
      <c r="T308" s="241"/>
      <c r="U308" s="520"/>
      <c r="V308" s="241"/>
      <c r="W308" s="242"/>
      <c r="X308" s="241"/>
      <c r="Y308" s="242"/>
      <c r="Z308" s="241"/>
      <c r="AA308" s="241"/>
      <c r="AB308" s="275"/>
      <c r="AC308" s="524"/>
      <c r="AD308" s="241"/>
      <c r="AE308" s="241"/>
      <c r="AF308" s="241"/>
      <c r="AG308" s="241"/>
      <c r="AH308" s="241"/>
      <c r="AI308" s="241"/>
      <c r="AJ308" s="529"/>
      <c r="AK308" s="258"/>
      <c r="AL308" s="241"/>
      <c r="AM308" s="242"/>
      <c r="AN308" s="241"/>
      <c r="AO308" s="242"/>
      <c r="AP308" s="241"/>
      <c r="AQ308" s="242"/>
      <c r="AR308" s="241"/>
      <c r="AS308" s="242"/>
      <c r="AT308" s="241"/>
      <c r="AU308" s="241"/>
      <c r="AV308" s="256"/>
      <c r="AW308" s="241"/>
      <c r="AX308" s="256"/>
      <c r="AY308" s="241"/>
      <c r="AZ308" s="256"/>
      <c r="BA308" s="239"/>
      <c r="BB308" s="242"/>
      <c r="BC308" s="239"/>
      <c r="BD308" s="242"/>
      <c r="BE308" s="239"/>
      <c r="BF308" s="241"/>
      <c r="BG308" s="239"/>
      <c r="BH308" s="241"/>
      <c r="BI308" s="260"/>
      <c r="BJ308" s="241"/>
      <c r="BK308" s="260"/>
      <c r="BL308" s="239"/>
      <c r="BM308" s="256"/>
      <c r="BN308" s="241"/>
      <c r="BO308" s="243"/>
      <c r="BP308" s="241"/>
      <c r="BQ308" s="239"/>
      <c r="BR308" s="276"/>
      <c r="BS308" s="256"/>
      <c r="BT308" s="260"/>
      <c r="BU308" s="261"/>
      <c r="BV308" s="260"/>
      <c r="BW308" s="239"/>
      <c r="BX308" s="260"/>
      <c r="BY308" s="260"/>
      <c r="BZ308" s="239"/>
      <c r="CA308" s="260"/>
      <c r="CB308" s="239"/>
      <c r="CC308" s="260"/>
      <c r="CD308" s="539"/>
      <c r="CE308" s="239"/>
      <c r="CF308" s="276"/>
      <c r="CG308" s="256"/>
      <c r="CH308" s="259"/>
      <c r="CI308" s="347"/>
      <c r="CJ308" s="540"/>
      <c r="CK308" s="256"/>
      <c r="CL308" s="244">
        <v>1</v>
      </c>
      <c r="CM308" s="274">
        <f t="shared" si="4"/>
        <v>2015</v>
      </c>
      <c r="CN308" s="244">
        <f>IF('Grille de saisie'!CM308&lt;18,0,IF('Grille de saisie'!CM308&lt;40,1,IF('Grille de saisie'!CM308&lt;65,2,IF('Grille de saisie'!CM308&lt;100,3,4))))</f>
        <v>4</v>
      </c>
      <c r="CO308" s="236">
        <f>IF(AND('Grille de saisie'!C308=1,'Grille de saisie'!BZ308=0),1,IF(AND('Grille de saisie'!C308="",'Grille de saisie'!BZ308=""),3,IF(AND('Grille de saisie'!C308=5),3,2)))</f>
        <v>3</v>
      </c>
      <c r="CP308" s="236">
        <f>IF(AND('Grille de saisie'!C308=1,'Grille de saisie'!BZ308=0),1,IF(AND('Grille de saisie'!C308=1,'Grille de saisie'!BZ308=1),2,IF(AND('Grille de saisie'!C308=2,'Grille de saisie'!BZ308=0),2,IF(AND('Grille de saisie'!C308=3,'Grille de saisie'!BZ308=0),3,IF(AND('Grille de saisie'!C308=2,'Grille de saisie'!BZ308=1),3,IF(AND('Grille de saisie'!C308=1,'Grille de saisie'!BZ308=2),3,IF(AND('Grille de saisie'!C308="",'Grille de saisie'!BZ308=""),5,IF(AND('Grille de saisie'!C308=5),5,4))))))))</f>
        <v>5</v>
      </c>
      <c r="CQ308" s="237">
        <f>IF('Grille de saisie'!BZ308="",3,IF('Grille de saisie'!C308=5,3,IF('Grille de saisie'!BZ308=0,1,2)))</f>
        <v>3</v>
      </c>
    </row>
    <row r="309" spans="1:95" ht="15">
      <c r="A309" s="511">
        <v>307</v>
      </c>
      <c r="B309" s="240"/>
      <c r="C309" s="513"/>
      <c r="D309" s="240"/>
      <c r="E309" s="517"/>
      <c r="F309" s="265"/>
      <c r="G309" s="513"/>
      <c r="H309" s="265"/>
      <c r="I309" s="520"/>
      <c r="J309" s="241"/>
      <c r="K309" s="520"/>
      <c r="L309" s="241"/>
      <c r="M309" s="521"/>
      <c r="N309" s="241"/>
      <c r="O309" s="521"/>
      <c r="P309" s="241"/>
      <c r="Q309" s="520"/>
      <c r="R309" s="241"/>
      <c r="S309" s="520"/>
      <c r="T309" s="241"/>
      <c r="U309" s="520"/>
      <c r="V309" s="241"/>
      <c r="W309" s="242"/>
      <c r="X309" s="241"/>
      <c r="Y309" s="242"/>
      <c r="Z309" s="241"/>
      <c r="AA309" s="241"/>
      <c r="AB309" s="275"/>
      <c r="AC309" s="524"/>
      <c r="AD309" s="241"/>
      <c r="AE309" s="241"/>
      <c r="AF309" s="241"/>
      <c r="AG309" s="241"/>
      <c r="AH309" s="241"/>
      <c r="AI309" s="241"/>
      <c r="AJ309" s="529"/>
      <c r="AK309" s="258"/>
      <c r="AL309" s="241"/>
      <c r="AM309" s="242"/>
      <c r="AN309" s="241"/>
      <c r="AO309" s="242"/>
      <c r="AP309" s="241"/>
      <c r="AQ309" s="242"/>
      <c r="AR309" s="241"/>
      <c r="AS309" s="242"/>
      <c r="AT309" s="241"/>
      <c r="AU309" s="241"/>
      <c r="AV309" s="256"/>
      <c r="AW309" s="241"/>
      <c r="AX309" s="256"/>
      <c r="AY309" s="241"/>
      <c r="AZ309" s="256"/>
      <c r="BA309" s="239"/>
      <c r="BB309" s="242"/>
      <c r="BC309" s="239"/>
      <c r="BD309" s="242"/>
      <c r="BE309" s="239"/>
      <c r="BF309" s="241"/>
      <c r="BG309" s="239"/>
      <c r="BH309" s="241"/>
      <c r="BI309" s="260"/>
      <c r="BJ309" s="241"/>
      <c r="BK309" s="260"/>
      <c r="BL309" s="239"/>
      <c r="BM309" s="256"/>
      <c r="BN309" s="241"/>
      <c r="BO309" s="243"/>
      <c r="BP309" s="241"/>
      <c r="BQ309" s="239"/>
      <c r="BR309" s="276"/>
      <c r="BS309" s="256"/>
      <c r="BT309" s="260"/>
      <c r="BU309" s="261"/>
      <c r="BV309" s="260"/>
      <c r="BW309" s="239"/>
      <c r="BX309" s="260"/>
      <c r="BY309" s="260"/>
      <c r="BZ309" s="239"/>
      <c r="CA309" s="260"/>
      <c r="CB309" s="239"/>
      <c r="CC309" s="260"/>
      <c r="CD309" s="539"/>
      <c r="CE309" s="239"/>
      <c r="CF309" s="276"/>
      <c r="CG309" s="256"/>
      <c r="CH309" s="259"/>
      <c r="CI309" s="347"/>
      <c r="CJ309" s="540"/>
      <c r="CK309" s="256"/>
      <c r="CL309" s="244">
        <v>1</v>
      </c>
      <c r="CM309" s="274">
        <f t="shared" si="4"/>
        <v>2015</v>
      </c>
      <c r="CN309" s="244">
        <f>IF('Grille de saisie'!CM309&lt;18,0,IF('Grille de saisie'!CM309&lt;40,1,IF('Grille de saisie'!CM309&lt;65,2,IF('Grille de saisie'!CM309&lt;100,3,4))))</f>
        <v>4</v>
      </c>
      <c r="CO309" s="236">
        <f>IF(AND('Grille de saisie'!C309=1,'Grille de saisie'!BZ309=0),1,IF(AND('Grille de saisie'!C309="",'Grille de saisie'!BZ309=""),3,IF(AND('Grille de saisie'!C309=5),3,2)))</f>
        <v>3</v>
      </c>
      <c r="CP309" s="236">
        <f>IF(AND('Grille de saisie'!C309=1,'Grille de saisie'!BZ309=0),1,IF(AND('Grille de saisie'!C309=1,'Grille de saisie'!BZ309=1),2,IF(AND('Grille de saisie'!C309=2,'Grille de saisie'!BZ309=0),2,IF(AND('Grille de saisie'!C309=3,'Grille de saisie'!BZ309=0),3,IF(AND('Grille de saisie'!C309=2,'Grille de saisie'!BZ309=1),3,IF(AND('Grille de saisie'!C309=1,'Grille de saisie'!BZ309=2),3,IF(AND('Grille de saisie'!C309="",'Grille de saisie'!BZ309=""),5,IF(AND('Grille de saisie'!C309=5),5,4))))))))</f>
        <v>5</v>
      </c>
      <c r="CQ309" s="237">
        <f>IF('Grille de saisie'!BZ309="",3,IF('Grille de saisie'!C309=5,3,IF('Grille de saisie'!BZ309=0,1,2)))</f>
        <v>3</v>
      </c>
    </row>
    <row r="310" spans="1:95" ht="15">
      <c r="A310" s="510">
        <v>308</v>
      </c>
      <c r="B310" s="240"/>
      <c r="C310" s="513"/>
      <c r="D310" s="240"/>
      <c r="E310" s="517"/>
      <c r="F310" s="265"/>
      <c r="G310" s="513"/>
      <c r="H310" s="265"/>
      <c r="I310" s="520"/>
      <c r="J310" s="241"/>
      <c r="K310" s="520"/>
      <c r="L310" s="241"/>
      <c r="M310" s="521"/>
      <c r="N310" s="241"/>
      <c r="O310" s="521"/>
      <c r="P310" s="241"/>
      <c r="Q310" s="520"/>
      <c r="R310" s="241"/>
      <c r="S310" s="520"/>
      <c r="T310" s="241"/>
      <c r="U310" s="520"/>
      <c r="V310" s="241"/>
      <c r="W310" s="242"/>
      <c r="X310" s="241"/>
      <c r="Y310" s="242"/>
      <c r="Z310" s="241"/>
      <c r="AA310" s="241"/>
      <c r="AB310" s="275"/>
      <c r="AC310" s="524"/>
      <c r="AD310" s="241"/>
      <c r="AE310" s="241"/>
      <c r="AF310" s="241"/>
      <c r="AG310" s="241"/>
      <c r="AH310" s="241"/>
      <c r="AI310" s="241"/>
      <c r="AJ310" s="529"/>
      <c r="AK310" s="258"/>
      <c r="AL310" s="241"/>
      <c r="AM310" s="242"/>
      <c r="AN310" s="241"/>
      <c r="AO310" s="242"/>
      <c r="AP310" s="241"/>
      <c r="AQ310" s="242"/>
      <c r="AR310" s="241"/>
      <c r="AS310" s="242"/>
      <c r="AT310" s="241"/>
      <c r="AU310" s="241"/>
      <c r="AV310" s="256"/>
      <c r="AW310" s="241"/>
      <c r="AX310" s="256"/>
      <c r="AY310" s="241"/>
      <c r="AZ310" s="256"/>
      <c r="BA310" s="239"/>
      <c r="BB310" s="242"/>
      <c r="BC310" s="239"/>
      <c r="BD310" s="242"/>
      <c r="BE310" s="239"/>
      <c r="BF310" s="241"/>
      <c r="BG310" s="239"/>
      <c r="BH310" s="241"/>
      <c r="BI310" s="260"/>
      <c r="BJ310" s="241"/>
      <c r="BK310" s="260"/>
      <c r="BL310" s="239"/>
      <c r="BM310" s="256"/>
      <c r="BN310" s="241"/>
      <c r="BO310" s="243"/>
      <c r="BP310" s="241"/>
      <c r="BQ310" s="239"/>
      <c r="BR310" s="276"/>
      <c r="BS310" s="256"/>
      <c r="BT310" s="260"/>
      <c r="BU310" s="261"/>
      <c r="BV310" s="260"/>
      <c r="BW310" s="239"/>
      <c r="BX310" s="260"/>
      <c r="BY310" s="260"/>
      <c r="BZ310" s="239"/>
      <c r="CA310" s="260"/>
      <c r="CB310" s="239"/>
      <c r="CC310" s="260"/>
      <c r="CD310" s="539"/>
      <c r="CE310" s="239"/>
      <c r="CF310" s="276"/>
      <c r="CG310" s="256"/>
      <c r="CH310" s="259"/>
      <c r="CI310" s="347"/>
      <c r="CJ310" s="540"/>
      <c r="CK310" s="256"/>
      <c r="CL310" s="244">
        <v>1</v>
      </c>
      <c r="CM310" s="274">
        <f t="shared" si="4"/>
        <v>2015</v>
      </c>
      <c r="CN310" s="244">
        <f>IF('Grille de saisie'!CM310&lt;18,0,IF('Grille de saisie'!CM310&lt;40,1,IF('Grille de saisie'!CM310&lt;65,2,IF('Grille de saisie'!CM310&lt;100,3,4))))</f>
        <v>4</v>
      </c>
      <c r="CO310" s="236">
        <f>IF(AND('Grille de saisie'!C310=1,'Grille de saisie'!BZ310=0),1,IF(AND('Grille de saisie'!C310="",'Grille de saisie'!BZ310=""),3,IF(AND('Grille de saisie'!C310=5),3,2)))</f>
        <v>3</v>
      </c>
      <c r="CP310" s="236">
        <f>IF(AND('Grille de saisie'!C310=1,'Grille de saisie'!BZ310=0),1,IF(AND('Grille de saisie'!C310=1,'Grille de saisie'!BZ310=1),2,IF(AND('Grille de saisie'!C310=2,'Grille de saisie'!BZ310=0),2,IF(AND('Grille de saisie'!C310=3,'Grille de saisie'!BZ310=0),3,IF(AND('Grille de saisie'!C310=2,'Grille de saisie'!BZ310=1),3,IF(AND('Grille de saisie'!C310=1,'Grille de saisie'!BZ310=2),3,IF(AND('Grille de saisie'!C310="",'Grille de saisie'!BZ310=""),5,IF(AND('Grille de saisie'!C310=5),5,4))))))))</f>
        <v>5</v>
      </c>
      <c r="CQ310" s="237">
        <f>IF('Grille de saisie'!BZ310="",3,IF('Grille de saisie'!C310=5,3,IF('Grille de saisie'!BZ310=0,1,2)))</f>
        <v>3</v>
      </c>
    </row>
    <row r="311" spans="1:95" ht="15">
      <c r="A311" s="510">
        <v>309</v>
      </c>
      <c r="B311" s="240"/>
      <c r="C311" s="513"/>
      <c r="D311" s="240"/>
      <c r="E311" s="517"/>
      <c r="F311" s="265"/>
      <c r="G311" s="513"/>
      <c r="H311" s="265"/>
      <c r="I311" s="520"/>
      <c r="J311" s="241"/>
      <c r="K311" s="520"/>
      <c r="L311" s="241"/>
      <c r="M311" s="521"/>
      <c r="N311" s="241"/>
      <c r="O311" s="521"/>
      <c r="P311" s="241"/>
      <c r="Q311" s="520"/>
      <c r="R311" s="241"/>
      <c r="S311" s="520"/>
      <c r="T311" s="241"/>
      <c r="U311" s="520"/>
      <c r="V311" s="241"/>
      <c r="W311" s="242"/>
      <c r="X311" s="241"/>
      <c r="Y311" s="242"/>
      <c r="Z311" s="241"/>
      <c r="AA311" s="241"/>
      <c r="AB311" s="275"/>
      <c r="AC311" s="524"/>
      <c r="AD311" s="241"/>
      <c r="AE311" s="241"/>
      <c r="AF311" s="241"/>
      <c r="AG311" s="241"/>
      <c r="AH311" s="241"/>
      <c r="AI311" s="241"/>
      <c r="AJ311" s="529"/>
      <c r="AK311" s="258"/>
      <c r="AL311" s="241"/>
      <c r="AM311" s="242"/>
      <c r="AN311" s="241"/>
      <c r="AO311" s="242"/>
      <c r="AP311" s="241"/>
      <c r="AQ311" s="242"/>
      <c r="AR311" s="241"/>
      <c r="AS311" s="242"/>
      <c r="AT311" s="241"/>
      <c r="AU311" s="241"/>
      <c r="AV311" s="256"/>
      <c r="AW311" s="241"/>
      <c r="AX311" s="256"/>
      <c r="AY311" s="241"/>
      <c r="AZ311" s="256"/>
      <c r="BA311" s="239"/>
      <c r="BB311" s="242"/>
      <c r="BC311" s="239"/>
      <c r="BD311" s="242"/>
      <c r="BE311" s="239"/>
      <c r="BF311" s="241"/>
      <c r="BG311" s="239"/>
      <c r="BH311" s="241"/>
      <c r="BI311" s="260"/>
      <c r="BJ311" s="241"/>
      <c r="BK311" s="260"/>
      <c r="BL311" s="239"/>
      <c r="BM311" s="256"/>
      <c r="BN311" s="241"/>
      <c r="BO311" s="243"/>
      <c r="BP311" s="241"/>
      <c r="BQ311" s="239"/>
      <c r="BR311" s="276"/>
      <c r="BS311" s="256"/>
      <c r="BT311" s="260"/>
      <c r="BU311" s="261"/>
      <c r="BV311" s="260"/>
      <c r="BW311" s="239"/>
      <c r="BX311" s="260"/>
      <c r="BY311" s="260"/>
      <c r="BZ311" s="239"/>
      <c r="CA311" s="260"/>
      <c r="CB311" s="239"/>
      <c r="CC311" s="260"/>
      <c r="CD311" s="539"/>
      <c r="CE311" s="239"/>
      <c r="CF311" s="276"/>
      <c r="CG311" s="256"/>
      <c r="CH311" s="259"/>
      <c r="CI311" s="347"/>
      <c r="CJ311" s="540"/>
      <c r="CK311" s="256"/>
      <c r="CL311" s="244">
        <v>1</v>
      </c>
      <c r="CM311" s="274">
        <f t="shared" si="4"/>
        <v>2015</v>
      </c>
      <c r="CN311" s="244">
        <f>IF('Grille de saisie'!CM311&lt;18,0,IF('Grille de saisie'!CM311&lt;40,1,IF('Grille de saisie'!CM311&lt;65,2,IF('Grille de saisie'!CM311&lt;100,3,4))))</f>
        <v>4</v>
      </c>
      <c r="CO311" s="236">
        <f>IF(AND('Grille de saisie'!C311=1,'Grille de saisie'!BZ311=0),1,IF(AND('Grille de saisie'!C311="",'Grille de saisie'!BZ311=""),3,IF(AND('Grille de saisie'!C311=5),3,2)))</f>
        <v>3</v>
      </c>
      <c r="CP311" s="236">
        <f>IF(AND('Grille de saisie'!C311=1,'Grille de saisie'!BZ311=0),1,IF(AND('Grille de saisie'!C311=1,'Grille de saisie'!BZ311=1),2,IF(AND('Grille de saisie'!C311=2,'Grille de saisie'!BZ311=0),2,IF(AND('Grille de saisie'!C311=3,'Grille de saisie'!BZ311=0),3,IF(AND('Grille de saisie'!C311=2,'Grille de saisie'!BZ311=1),3,IF(AND('Grille de saisie'!C311=1,'Grille de saisie'!BZ311=2),3,IF(AND('Grille de saisie'!C311="",'Grille de saisie'!BZ311=""),5,IF(AND('Grille de saisie'!C311=5),5,4))))))))</f>
        <v>5</v>
      </c>
      <c r="CQ311" s="237">
        <f>IF('Grille de saisie'!BZ311="",3,IF('Grille de saisie'!C311=5,3,IF('Grille de saisie'!BZ311=0,1,2)))</f>
        <v>3</v>
      </c>
    </row>
    <row r="312" spans="1:95" ht="15">
      <c r="A312" s="511">
        <v>310</v>
      </c>
      <c r="B312" s="240"/>
      <c r="C312" s="513"/>
      <c r="D312" s="240"/>
      <c r="E312" s="517"/>
      <c r="F312" s="265"/>
      <c r="G312" s="513"/>
      <c r="H312" s="265"/>
      <c r="I312" s="520"/>
      <c r="J312" s="241"/>
      <c r="K312" s="520"/>
      <c r="L312" s="241"/>
      <c r="M312" s="521"/>
      <c r="N312" s="241"/>
      <c r="O312" s="521"/>
      <c r="P312" s="241"/>
      <c r="Q312" s="520"/>
      <c r="R312" s="241"/>
      <c r="S312" s="520"/>
      <c r="T312" s="241"/>
      <c r="U312" s="520"/>
      <c r="V312" s="241"/>
      <c r="W312" s="242"/>
      <c r="X312" s="241"/>
      <c r="Y312" s="242"/>
      <c r="Z312" s="241"/>
      <c r="AA312" s="241"/>
      <c r="AB312" s="275"/>
      <c r="AC312" s="524"/>
      <c r="AD312" s="241"/>
      <c r="AE312" s="241"/>
      <c r="AF312" s="241"/>
      <c r="AG312" s="241"/>
      <c r="AH312" s="241"/>
      <c r="AI312" s="241"/>
      <c r="AJ312" s="529"/>
      <c r="AK312" s="258"/>
      <c r="AL312" s="241"/>
      <c r="AM312" s="242"/>
      <c r="AN312" s="241"/>
      <c r="AO312" s="242"/>
      <c r="AP312" s="241"/>
      <c r="AQ312" s="242"/>
      <c r="AR312" s="241"/>
      <c r="AS312" s="242"/>
      <c r="AT312" s="241"/>
      <c r="AU312" s="241"/>
      <c r="AV312" s="256"/>
      <c r="AW312" s="241"/>
      <c r="AX312" s="256"/>
      <c r="AY312" s="241"/>
      <c r="AZ312" s="256"/>
      <c r="BA312" s="239"/>
      <c r="BB312" s="242"/>
      <c r="BC312" s="239"/>
      <c r="BD312" s="242"/>
      <c r="BE312" s="239"/>
      <c r="BF312" s="241"/>
      <c r="BG312" s="239"/>
      <c r="BH312" s="241"/>
      <c r="BI312" s="260"/>
      <c r="BJ312" s="241"/>
      <c r="BK312" s="260"/>
      <c r="BL312" s="239"/>
      <c r="BM312" s="256"/>
      <c r="BN312" s="241"/>
      <c r="BO312" s="243"/>
      <c r="BP312" s="241"/>
      <c r="BQ312" s="239"/>
      <c r="BR312" s="276"/>
      <c r="BS312" s="256"/>
      <c r="BT312" s="260"/>
      <c r="BU312" s="261"/>
      <c r="BV312" s="260"/>
      <c r="BW312" s="239"/>
      <c r="BX312" s="260"/>
      <c r="BY312" s="260"/>
      <c r="BZ312" s="239"/>
      <c r="CA312" s="260"/>
      <c r="CB312" s="239"/>
      <c r="CC312" s="260"/>
      <c r="CD312" s="539"/>
      <c r="CE312" s="239"/>
      <c r="CF312" s="276"/>
      <c r="CG312" s="256"/>
      <c r="CH312" s="259"/>
      <c r="CI312" s="347"/>
      <c r="CJ312" s="540"/>
      <c r="CK312" s="256"/>
      <c r="CL312" s="244">
        <v>1</v>
      </c>
      <c r="CM312" s="274">
        <f t="shared" si="4"/>
        <v>2015</v>
      </c>
      <c r="CN312" s="244">
        <f>IF('Grille de saisie'!CM312&lt;18,0,IF('Grille de saisie'!CM312&lt;40,1,IF('Grille de saisie'!CM312&lt;65,2,IF('Grille de saisie'!CM312&lt;100,3,4))))</f>
        <v>4</v>
      </c>
      <c r="CO312" s="236">
        <f>IF(AND('Grille de saisie'!C312=1,'Grille de saisie'!BZ312=0),1,IF(AND('Grille de saisie'!C312="",'Grille de saisie'!BZ312=""),3,IF(AND('Grille de saisie'!C312=5),3,2)))</f>
        <v>3</v>
      </c>
      <c r="CP312" s="236">
        <f>IF(AND('Grille de saisie'!C312=1,'Grille de saisie'!BZ312=0),1,IF(AND('Grille de saisie'!C312=1,'Grille de saisie'!BZ312=1),2,IF(AND('Grille de saisie'!C312=2,'Grille de saisie'!BZ312=0),2,IF(AND('Grille de saisie'!C312=3,'Grille de saisie'!BZ312=0),3,IF(AND('Grille de saisie'!C312=2,'Grille de saisie'!BZ312=1),3,IF(AND('Grille de saisie'!C312=1,'Grille de saisie'!BZ312=2),3,IF(AND('Grille de saisie'!C312="",'Grille de saisie'!BZ312=""),5,IF(AND('Grille de saisie'!C312=5),5,4))))))))</f>
        <v>5</v>
      </c>
      <c r="CQ312" s="237">
        <f>IF('Grille de saisie'!BZ312="",3,IF('Grille de saisie'!C312=5,3,IF('Grille de saisie'!BZ312=0,1,2)))</f>
        <v>3</v>
      </c>
    </row>
    <row r="313" spans="1:95" ht="15">
      <c r="A313" s="510">
        <v>311</v>
      </c>
      <c r="B313" s="240"/>
      <c r="C313" s="513"/>
      <c r="D313" s="240"/>
      <c r="E313" s="517"/>
      <c r="F313" s="265"/>
      <c r="G313" s="513"/>
      <c r="H313" s="265"/>
      <c r="I313" s="520"/>
      <c r="J313" s="241"/>
      <c r="K313" s="520"/>
      <c r="L313" s="241"/>
      <c r="M313" s="521"/>
      <c r="N313" s="241"/>
      <c r="O313" s="521"/>
      <c r="P313" s="241"/>
      <c r="Q313" s="520"/>
      <c r="R313" s="241"/>
      <c r="S313" s="520"/>
      <c r="T313" s="241"/>
      <c r="U313" s="520"/>
      <c r="V313" s="241"/>
      <c r="W313" s="242"/>
      <c r="X313" s="241"/>
      <c r="Y313" s="242"/>
      <c r="Z313" s="241"/>
      <c r="AA313" s="241"/>
      <c r="AB313" s="275"/>
      <c r="AC313" s="524"/>
      <c r="AD313" s="241"/>
      <c r="AE313" s="241"/>
      <c r="AF313" s="241"/>
      <c r="AG313" s="241"/>
      <c r="AH313" s="241"/>
      <c r="AI313" s="241"/>
      <c r="AJ313" s="529"/>
      <c r="AK313" s="258"/>
      <c r="AL313" s="241"/>
      <c r="AM313" s="242"/>
      <c r="AN313" s="241"/>
      <c r="AO313" s="242"/>
      <c r="AP313" s="241"/>
      <c r="AQ313" s="242"/>
      <c r="AR313" s="241"/>
      <c r="AS313" s="242"/>
      <c r="AT313" s="241"/>
      <c r="AU313" s="241"/>
      <c r="AV313" s="256"/>
      <c r="AW313" s="241"/>
      <c r="AX313" s="256"/>
      <c r="AY313" s="241"/>
      <c r="AZ313" s="256"/>
      <c r="BA313" s="239"/>
      <c r="BB313" s="242"/>
      <c r="BC313" s="239"/>
      <c r="BD313" s="242"/>
      <c r="BE313" s="239"/>
      <c r="BF313" s="241"/>
      <c r="BG313" s="239"/>
      <c r="BH313" s="241"/>
      <c r="BI313" s="260"/>
      <c r="BJ313" s="241"/>
      <c r="BK313" s="260"/>
      <c r="BL313" s="239"/>
      <c r="BM313" s="256"/>
      <c r="BN313" s="241"/>
      <c r="BO313" s="243"/>
      <c r="BP313" s="241"/>
      <c r="BQ313" s="239"/>
      <c r="BR313" s="276"/>
      <c r="BS313" s="256"/>
      <c r="BT313" s="260"/>
      <c r="BU313" s="261"/>
      <c r="BV313" s="260"/>
      <c r="BW313" s="239"/>
      <c r="BX313" s="260"/>
      <c r="BY313" s="260"/>
      <c r="BZ313" s="239"/>
      <c r="CA313" s="260"/>
      <c r="CB313" s="239"/>
      <c r="CC313" s="260"/>
      <c r="CD313" s="539"/>
      <c r="CE313" s="239"/>
      <c r="CF313" s="276"/>
      <c r="CG313" s="256"/>
      <c r="CH313" s="259"/>
      <c r="CI313" s="347"/>
      <c r="CJ313" s="540"/>
      <c r="CK313" s="256"/>
      <c r="CL313" s="244">
        <v>1</v>
      </c>
      <c r="CM313" s="274">
        <f t="shared" si="4"/>
        <v>2015</v>
      </c>
      <c r="CN313" s="244">
        <f>IF('Grille de saisie'!CM313&lt;18,0,IF('Grille de saisie'!CM313&lt;40,1,IF('Grille de saisie'!CM313&lt;65,2,IF('Grille de saisie'!CM313&lt;100,3,4))))</f>
        <v>4</v>
      </c>
      <c r="CO313" s="236">
        <f>IF(AND('Grille de saisie'!C313=1,'Grille de saisie'!BZ313=0),1,IF(AND('Grille de saisie'!C313="",'Grille de saisie'!BZ313=""),3,IF(AND('Grille de saisie'!C313=5),3,2)))</f>
        <v>3</v>
      </c>
      <c r="CP313" s="236">
        <f>IF(AND('Grille de saisie'!C313=1,'Grille de saisie'!BZ313=0),1,IF(AND('Grille de saisie'!C313=1,'Grille de saisie'!BZ313=1),2,IF(AND('Grille de saisie'!C313=2,'Grille de saisie'!BZ313=0),2,IF(AND('Grille de saisie'!C313=3,'Grille de saisie'!BZ313=0),3,IF(AND('Grille de saisie'!C313=2,'Grille de saisie'!BZ313=1),3,IF(AND('Grille de saisie'!C313=1,'Grille de saisie'!BZ313=2),3,IF(AND('Grille de saisie'!C313="",'Grille de saisie'!BZ313=""),5,IF(AND('Grille de saisie'!C313=5),5,4))))))))</f>
        <v>5</v>
      </c>
      <c r="CQ313" s="237">
        <f>IF('Grille de saisie'!BZ313="",3,IF('Grille de saisie'!C313=5,3,IF('Grille de saisie'!BZ313=0,1,2)))</f>
        <v>3</v>
      </c>
    </row>
    <row r="314" spans="1:95" ht="15">
      <c r="A314" s="510">
        <v>312</v>
      </c>
      <c r="B314" s="240"/>
      <c r="C314" s="513"/>
      <c r="D314" s="240"/>
      <c r="E314" s="517"/>
      <c r="F314" s="265"/>
      <c r="G314" s="513"/>
      <c r="H314" s="265"/>
      <c r="I314" s="520"/>
      <c r="J314" s="241"/>
      <c r="K314" s="520"/>
      <c r="L314" s="241"/>
      <c r="M314" s="521"/>
      <c r="N314" s="241"/>
      <c r="O314" s="521"/>
      <c r="P314" s="241"/>
      <c r="Q314" s="520"/>
      <c r="R314" s="241"/>
      <c r="S314" s="520"/>
      <c r="T314" s="241"/>
      <c r="U314" s="520"/>
      <c r="V314" s="241"/>
      <c r="W314" s="242"/>
      <c r="X314" s="241"/>
      <c r="Y314" s="242"/>
      <c r="Z314" s="241"/>
      <c r="AA314" s="241"/>
      <c r="AB314" s="275"/>
      <c r="AC314" s="524"/>
      <c r="AD314" s="241"/>
      <c r="AE314" s="241"/>
      <c r="AF314" s="241"/>
      <c r="AG314" s="241"/>
      <c r="AH314" s="241"/>
      <c r="AI314" s="241"/>
      <c r="AJ314" s="529"/>
      <c r="AK314" s="258"/>
      <c r="AL314" s="241"/>
      <c r="AM314" s="242"/>
      <c r="AN314" s="241"/>
      <c r="AO314" s="242"/>
      <c r="AP314" s="241"/>
      <c r="AQ314" s="242"/>
      <c r="AR314" s="241"/>
      <c r="AS314" s="242"/>
      <c r="AT314" s="241"/>
      <c r="AU314" s="241"/>
      <c r="AV314" s="256"/>
      <c r="AW314" s="241"/>
      <c r="AX314" s="256"/>
      <c r="AY314" s="241"/>
      <c r="AZ314" s="256"/>
      <c r="BA314" s="239"/>
      <c r="BB314" s="242"/>
      <c r="BC314" s="239"/>
      <c r="BD314" s="242"/>
      <c r="BE314" s="239"/>
      <c r="BF314" s="241"/>
      <c r="BG314" s="239"/>
      <c r="BH314" s="241"/>
      <c r="BI314" s="260"/>
      <c r="BJ314" s="241"/>
      <c r="BK314" s="260"/>
      <c r="BL314" s="239"/>
      <c r="BM314" s="256"/>
      <c r="BN314" s="241"/>
      <c r="BO314" s="243"/>
      <c r="BP314" s="241"/>
      <c r="BQ314" s="239"/>
      <c r="BR314" s="276"/>
      <c r="BS314" s="256"/>
      <c r="BT314" s="260"/>
      <c r="BU314" s="261"/>
      <c r="BV314" s="260"/>
      <c r="BW314" s="239"/>
      <c r="BX314" s="260"/>
      <c r="BY314" s="260"/>
      <c r="BZ314" s="239"/>
      <c r="CA314" s="260"/>
      <c r="CB314" s="239"/>
      <c r="CC314" s="260"/>
      <c r="CD314" s="539"/>
      <c r="CE314" s="239"/>
      <c r="CF314" s="276"/>
      <c r="CG314" s="256"/>
      <c r="CH314" s="259"/>
      <c r="CI314" s="347"/>
      <c r="CJ314" s="540"/>
      <c r="CK314" s="256"/>
      <c r="CL314" s="244">
        <v>1</v>
      </c>
      <c r="CM314" s="274">
        <f t="shared" si="4"/>
        <v>2015</v>
      </c>
      <c r="CN314" s="244">
        <f>IF('Grille de saisie'!CM314&lt;18,0,IF('Grille de saisie'!CM314&lt;40,1,IF('Grille de saisie'!CM314&lt;65,2,IF('Grille de saisie'!CM314&lt;100,3,4))))</f>
        <v>4</v>
      </c>
      <c r="CO314" s="236">
        <f>IF(AND('Grille de saisie'!C314=1,'Grille de saisie'!BZ314=0),1,IF(AND('Grille de saisie'!C314="",'Grille de saisie'!BZ314=""),3,IF(AND('Grille de saisie'!C314=5),3,2)))</f>
        <v>3</v>
      </c>
      <c r="CP314" s="236">
        <f>IF(AND('Grille de saisie'!C314=1,'Grille de saisie'!BZ314=0),1,IF(AND('Grille de saisie'!C314=1,'Grille de saisie'!BZ314=1),2,IF(AND('Grille de saisie'!C314=2,'Grille de saisie'!BZ314=0),2,IF(AND('Grille de saisie'!C314=3,'Grille de saisie'!BZ314=0),3,IF(AND('Grille de saisie'!C314=2,'Grille de saisie'!BZ314=1),3,IF(AND('Grille de saisie'!C314=1,'Grille de saisie'!BZ314=2),3,IF(AND('Grille de saisie'!C314="",'Grille de saisie'!BZ314=""),5,IF(AND('Grille de saisie'!C314=5),5,4))))))))</f>
        <v>5</v>
      </c>
      <c r="CQ314" s="237">
        <f>IF('Grille de saisie'!BZ314="",3,IF('Grille de saisie'!C314=5,3,IF('Grille de saisie'!BZ314=0,1,2)))</f>
        <v>3</v>
      </c>
    </row>
    <row r="315" spans="1:95" ht="15">
      <c r="A315" s="511">
        <v>313</v>
      </c>
      <c r="B315" s="240"/>
      <c r="C315" s="513"/>
      <c r="D315" s="240"/>
      <c r="E315" s="517"/>
      <c r="F315" s="265"/>
      <c r="G315" s="513"/>
      <c r="H315" s="265"/>
      <c r="I315" s="520"/>
      <c r="J315" s="241"/>
      <c r="K315" s="520"/>
      <c r="L315" s="241"/>
      <c r="M315" s="521"/>
      <c r="N315" s="241"/>
      <c r="O315" s="521"/>
      <c r="P315" s="241"/>
      <c r="Q315" s="520"/>
      <c r="R315" s="241"/>
      <c r="S315" s="520"/>
      <c r="T315" s="241"/>
      <c r="U315" s="520"/>
      <c r="V315" s="241"/>
      <c r="W315" s="242"/>
      <c r="X315" s="241"/>
      <c r="Y315" s="242"/>
      <c r="Z315" s="241"/>
      <c r="AA315" s="241"/>
      <c r="AB315" s="275"/>
      <c r="AC315" s="524"/>
      <c r="AD315" s="241"/>
      <c r="AE315" s="241"/>
      <c r="AF315" s="241"/>
      <c r="AG315" s="241"/>
      <c r="AH315" s="241"/>
      <c r="AI315" s="241"/>
      <c r="AJ315" s="529"/>
      <c r="AK315" s="258"/>
      <c r="AL315" s="241"/>
      <c r="AM315" s="242"/>
      <c r="AN315" s="241"/>
      <c r="AO315" s="242"/>
      <c r="AP315" s="241"/>
      <c r="AQ315" s="242"/>
      <c r="AR315" s="241"/>
      <c r="AS315" s="242"/>
      <c r="AT315" s="241"/>
      <c r="AU315" s="241"/>
      <c r="AV315" s="256"/>
      <c r="AW315" s="241"/>
      <c r="AX315" s="256"/>
      <c r="AY315" s="241"/>
      <c r="AZ315" s="256"/>
      <c r="BA315" s="239"/>
      <c r="BB315" s="242"/>
      <c r="BC315" s="239"/>
      <c r="BD315" s="242"/>
      <c r="BE315" s="239"/>
      <c r="BF315" s="241"/>
      <c r="BG315" s="239"/>
      <c r="BH315" s="241"/>
      <c r="BI315" s="260"/>
      <c r="BJ315" s="241"/>
      <c r="BK315" s="260"/>
      <c r="BL315" s="239"/>
      <c r="BM315" s="256"/>
      <c r="BN315" s="241"/>
      <c r="BO315" s="243"/>
      <c r="BP315" s="241"/>
      <c r="BQ315" s="239"/>
      <c r="BR315" s="276"/>
      <c r="BS315" s="256"/>
      <c r="BT315" s="260"/>
      <c r="BU315" s="261"/>
      <c r="BV315" s="260"/>
      <c r="BW315" s="239"/>
      <c r="BX315" s="260"/>
      <c r="BY315" s="260"/>
      <c r="BZ315" s="239"/>
      <c r="CA315" s="260"/>
      <c r="CB315" s="239"/>
      <c r="CC315" s="260"/>
      <c r="CD315" s="539"/>
      <c r="CE315" s="239"/>
      <c r="CF315" s="276"/>
      <c r="CG315" s="256"/>
      <c r="CH315" s="259"/>
      <c r="CI315" s="347"/>
      <c r="CJ315" s="540"/>
      <c r="CK315" s="256"/>
      <c r="CL315" s="244">
        <v>1</v>
      </c>
      <c r="CM315" s="274">
        <f t="shared" si="4"/>
        <v>2015</v>
      </c>
      <c r="CN315" s="244">
        <f>IF('Grille de saisie'!CM315&lt;18,0,IF('Grille de saisie'!CM315&lt;40,1,IF('Grille de saisie'!CM315&lt;65,2,IF('Grille de saisie'!CM315&lt;100,3,4))))</f>
        <v>4</v>
      </c>
      <c r="CO315" s="236">
        <f>IF(AND('Grille de saisie'!C315=1,'Grille de saisie'!BZ315=0),1,IF(AND('Grille de saisie'!C315="",'Grille de saisie'!BZ315=""),3,IF(AND('Grille de saisie'!C315=5),3,2)))</f>
        <v>3</v>
      </c>
      <c r="CP315" s="236">
        <f>IF(AND('Grille de saisie'!C315=1,'Grille de saisie'!BZ315=0),1,IF(AND('Grille de saisie'!C315=1,'Grille de saisie'!BZ315=1),2,IF(AND('Grille de saisie'!C315=2,'Grille de saisie'!BZ315=0),2,IF(AND('Grille de saisie'!C315=3,'Grille de saisie'!BZ315=0),3,IF(AND('Grille de saisie'!C315=2,'Grille de saisie'!BZ315=1),3,IF(AND('Grille de saisie'!C315=1,'Grille de saisie'!BZ315=2),3,IF(AND('Grille de saisie'!C315="",'Grille de saisie'!BZ315=""),5,IF(AND('Grille de saisie'!C315=5),5,4))))))))</f>
        <v>5</v>
      </c>
      <c r="CQ315" s="237">
        <f>IF('Grille de saisie'!BZ315="",3,IF('Grille de saisie'!C315=5,3,IF('Grille de saisie'!BZ315=0,1,2)))</f>
        <v>3</v>
      </c>
    </row>
    <row r="316" spans="1:95" ht="15">
      <c r="A316" s="510">
        <v>314</v>
      </c>
      <c r="B316" s="240"/>
      <c r="C316" s="513"/>
      <c r="D316" s="240"/>
      <c r="E316" s="517"/>
      <c r="F316" s="265"/>
      <c r="G316" s="513"/>
      <c r="H316" s="265"/>
      <c r="I316" s="520"/>
      <c r="J316" s="241"/>
      <c r="K316" s="520"/>
      <c r="L316" s="241"/>
      <c r="M316" s="521"/>
      <c r="N316" s="241"/>
      <c r="O316" s="521"/>
      <c r="P316" s="241"/>
      <c r="Q316" s="520"/>
      <c r="R316" s="241"/>
      <c r="S316" s="520"/>
      <c r="T316" s="241"/>
      <c r="U316" s="520"/>
      <c r="V316" s="241"/>
      <c r="W316" s="242"/>
      <c r="X316" s="241"/>
      <c r="Y316" s="242"/>
      <c r="Z316" s="241"/>
      <c r="AA316" s="241"/>
      <c r="AB316" s="275"/>
      <c r="AC316" s="524"/>
      <c r="AD316" s="241"/>
      <c r="AE316" s="241"/>
      <c r="AF316" s="241"/>
      <c r="AG316" s="241"/>
      <c r="AH316" s="241"/>
      <c r="AI316" s="241"/>
      <c r="AJ316" s="529"/>
      <c r="AK316" s="258"/>
      <c r="AL316" s="241"/>
      <c r="AM316" s="242"/>
      <c r="AN316" s="241"/>
      <c r="AO316" s="242"/>
      <c r="AP316" s="241"/>
      <c r="AQ316" s="242"/>
      <c r="AR316" s="241"/>
      <c r="AS316" s="242"/>
      <c r="AT316" s="241"/>
      <c r="AU316" s="241"/>
      <c r="AV316" s="256"/>
      <c r="AW316" s="241"/>
      <c r="AX316" s="256"/>
      <c r="AY316" s="241"/>
      <c r="AZ316" s="256"/>
      <c r="BA316" s="239"/>
      <c r="BB316" s="242"/>
      <c r="BC316" s="239"/>
      <c r="BD316" s="242"/>
      <c r="BE316" s="239"/>
      <c r="BF316" s="241"/>
      <c r="BG316" s="239"/>
      <c r="BH316" s="241"/>
      <c r="BI316" s="260"/>
      <c r="BJ316" s="241"/>
      <c r="BK316" s="260"/>
      <c r="BL316" s="239"/>
      <c r="BM316" s="256"/>
      <c r="BN316" s="241"/>
      <c r="BO316" s="243"/>
      <c r="BP316" s="241"/>
      <c r="BQ316" s="239"/>
      <c r="BR316" s="276"/>
      <c r="BS316" s="256"/>
      <c r="BT316" s="260"/>
      <c r="BU316" s="261"/>
      <c r="BV316" s="260"/>
      <c r="BW316" s="239"/>
      <c r="BX316" s="260"/>
      <c r="BY316" s="260"/>
      <c r="BZ316" s="239"/>
      <c r="CA316" s="260"/>
      <c r="CB316" s="239"/>
      <c r="CC316" s="260"/>
      <c r="CD316" s="539"/>
      <c r="CE316" s="239"/>
      <c r="CF316" s="276"/>
      <c r="CG316" s="256"/>
      <c r="CH316" s="259"/>
      <c r="CI316" s="347"/>
      <c r="CJ316" s="540"/>
      <c r="CK316" s="256"/>
      <c r="CL316" s="244">
        <v>1</v>
      </c>
      <c r="CM316" s="274">
        <f t="shared" si="4"/>
        <v>2015</v>
      </c>
      <c r="CN316" s="244">
        <f>IF('Grille de saisie'!CM316&lt;18,0,IF('Grille de saisie'!CM316&lt;40,1,IF('Grille de saisie'!CM316&lt;65,2,IF('Grille de saisie'!CM316&lt;100,3,4))))</f>
        <v>4</v>
      </c>
      <c r="CO316" s="236">
        <f>IF(AND('Grille de saisie'!C316=1,'Grille de saisie'!BZ316=0),1,IF(AND('Grille de saisie'!C316="",'Grille de saisie'!BZ316=""),3,IF(AND('Grille de saisie'!C316=5),3,2)))</f>
        <v>3</v>
      </c>
      <c r="CP316" s="236">
        <f>IF(AND('Grille de saisie'!C316=1,'Grille de saisie'!BZ316=0),1,IF(AND('Grille de saisie'!C316=1,'Grille de saisie'!BZ316=1),2,IF(AND('Grille de saisie'!C316=2,'Grille de saisie'!BZ316=0),2,IF(AND('Grille de saisie'!C316=3,'Grille de saisie'!BZ316=0),3,IF(AND('Grille de saisie'!C316=2,'Grille de saisie'!BZ316=1),3,IF(AND('Grille de saisie'!C316=1,'Grille de saisie'!BZ316=2),3,IF(AND('Grille de saisie'!C316="",'Grille de saisie'!BZ316=""),5,IF(AND('Grille de saisie'!C316=5),5,4))))))))</f>
        <v>5</v>
      </c>
      <c r="CQ316" s="237">
        <f>IF('Grille de saisie'!BZ316="",3,IF('Grille de saisie'!C316=5,3,IF('Grille de saisie'!BZ316=0,1,2)))</f>
        <v>3</v>
      </c>
    </row>
    <row r="317" spans="1:95" ht="15">
      <c r="A317" s="510">
        <v>315</v>
      </c>
      <c r="B317" s="240"/>
      <c r="C317" s="513"/>
      <c r="D317" s="240"/>
      <c r="E317" s="517"/>
      <c r="F317" s="265"/>
      <c r="G317" s="513"/>
      <c r="H317" s="265"/>
      <c r="I317" s="520"/>
      <c r="J317" s="241"/>
      <c r="K317" s="520"/>
      <c r="L317" s="241"/>
      <c r="M317" s="521"/>
      <c r="N317" s="241"/>
      <c r="O317" s="521"/>
      <c r="P317" s="241"/>
      <c r="Q317" s="520"/>
      <c r="R317" s="241"/>
      <c r="S317" s="520"/>
      <c r="T317" s="241"/>
      <c r="U317" s="520"/>
      <c r="V317" s="241"/>
      <c r="W317" s="242"/>
      <c r="X317" s="241"/>
      <c r="Y317" s="242"/>
      <c r="Z317" s="241"/>
      <c r="AA317" s="241"/>
      <c r="AB317" s="275"/>
      <c r="AC317" s="524"/>
      <c r="AD317" s="241"/>
      <c r="AE317" s="241"/>
      <c r="AF317" s="241"/>
      <c r="AG317" s="241"/>
      <c r="AH317" s="241"/>
      <c r="AI317" s="241"/>
      <c r="AJ317" s="529"/>
      <c r="AK317" s="258"/>
      <c r="AL317" s="241"/>
      <c r="AM317" s="242"/>
      <c r="AN317" s="241"/>
      <c r="AO317" s="242"/>
      <c r="AP317" s="241"/>
      <c r="AQ317" s="242"/>
      <c r="AR317" s="241"/>
      <c r="AS317" s="242"/>
      <c r="AT317" s="241"/>
      <c r="AU317" s="241"/>
      <c r="AV317" s="256"/>
      <c r="AW317" s="241"/>
      <c r="AX317" s="256"/>
      <c r="AY317" s="241"/>
      <c r="AZ317" s="256"/>
      <c r="BA317" s="239"/>
      <c r="BB317" s="242"/>
      <c r="BC317" s="239"/>
      <c r="BD317" s="242"/>
      <c r="BE317" s="239"/>
      <c r="BF317" s="241"/>
      <c r="BG317" s="239"/>
      <c r="BH317" s="241"/>
      <c r="BI317" s="260"/>
      <c r="BJ317" s="241"/>
      <c r="BK317" s="260"/>
      <c r="BL317" s="239"/>
      <c r="BM317" s="256"/>
      <c r="BN317" s="241"/>
      <c r="BO317" s="243"/>
      <c r="BP317" s="241"/>
      <c r="BQ317" s="239"/>
      <c r="BR317" s="276"/>
      <c r="BS317" s="256"/>
      <c r="BT317" s="260"/>
      <c r="BU317" s="261"/>
      <c r="BV317" s="260"/>
      <c r="BW317" s="239"/>
      <c r="BX317" s="260"/>
      <c r="BY317" s="260"/>
      <c r="BZ317" s="239"/>
      <c r="CA317" s="260"/>
      <c r="CB317" s="239"/>
      <c r="CC317" s="260"/>
      <c r="CD317" s="539"/>
      <c r="CE317" s="239"/>
      <c r="CF317" s="276"/>
      <c r="CG317" s="256"/>
      <c r="CH317" s="259"/>
      <c r="CI317" s="347"/>
      <c r="CJ317" s="540"/>
      <c r="CK317" s="256"/>
      <c r="CL317" s="244">
        <v>1</v>
      </c>
      <c r="CM317" s="274">
        <f t="shared" si="4"/>
        <v>2015</v>
      </c>
      <c r="CN317" s="244">
        <f>IF('Grille de saisie'!CM317&lt;18,0,IF('Grille de saisie'!CM317&lt;40,1,IF('Grille de saisie'!CM317&lt;65,2,IF('Grille de saisie'!CM317&lt;100,3,4))))</f>
        <v>4</v>
      </c>
      <c r="CO317" s="236">
        <f>IF(AND('Grille de saisie'!C317=1,'Grille de saisie'!BZ317=0),1,IF(AND('Grille de saisie'!C317="",'Grille de saisie'!BZ317=""),3,IF(AND('Grille de saisie'!C317=5),3,2)))</f>
        <v>3</v>
      </c>
      <c r="CP317" s="236">
        <f>IF(AND('Grille de saisie'!C317=1,'Grille de saisie'!BZ317=0),1,IF(AND('Grille de saisie'!C317=1,'Grille de saisie'!BZ317=1),2,IF(AND('Grille de saisie'!C317=2,'Grille de saisie'!BZ317=0),2,IF(AND('Grille de saisie'!C317=3,'Grille de saisie'!BZ317=0),3,IF(AND('Grille de saisie'!C317=2,'Grille de saisie'!BZ317=1),3,IF(AND('Grille de saisie'!C317=1,'Grille de saisie'!BZ317=2),3,IF(AND('Grille de saisie'!C317="",'Grille de saisie'!BZ317=""),5,IF(AND('Grille de saisie'!C317=5),5,4))))))))</f>
        <v>5</v>
      </c>
      <c r="CQ317" s="237">
        <f>IF('Grille de saisie'!BZ317="",3,IF('Grille de saisie'!C317=5,3,IF('Grille de saisie'!BZ317=0,1,2)))</f>
        <v>3</v>
      </c>
    </row>
    <row r="318" spans="1:95" ht="15">
      <c r="A318" s="511">
        <v>316</v>
      </c>
      <c r="B318" s="240"/>
      <c r="C318" s="513"/>
      <c r="D318" s="240"/>
      <c r="E318" s="517"/>
      <c r="F318" s="265"/>
      <c r="G318" s="513"/>
      <c r="H318" s="265"/>
      <c r="I318" s="520"/>
      <c r="J318" s="241"/>
      <c r="K318" s="520"/>
      <c r="L318" s="241"/>
      <c r="M318" s="521"/>
      <c r="N318" s="241"/>
      <c r="O318" s="521"/>
      <c r="P318" s="241"/>
      <c r="Q318" s="520"/>
      <c r="R318" s="241"/>
      <c r="S318" s="520"/>
      <c r="T318" s="241"/>
      <c r="U318" s="520"/>
      <c r="V318" s="241"/>
      <c r="W318" s="242"/>
      <c r="X318" s="241"/>
      <c r="Y318" s="242"/>
      <c r="Z318" s="241"/>
      <c r="AA318" s="241"/>
      <c r="AB318" s="275"/>
      <c r="AC318" s="524"/>
      <c r="AD318" s="241"/>
      <c r="AE318" s="241"/>
      <c r="AF318" s="241"/>
      <c r="AG318" s="241"/>
      <c r="AH318" s="241"/>
      <c r="AI318" s="241"/>
      <c r="AJ318" s="529"/>
      <c r="AK318" s="258"/>
      <c r="AL318" s="241"/>
      <c r="AM318" s="242"/>
      <c r="AN318" s="241"/>
      <c r="AO318" s="242"/>
      <c r="AP318" s="241"/>
      <c r="AQ318" s="242"/>
      <c r="AR318" s="241"/>
      <c r="AS318" s="242"/>
      <c r="AT318" s="241"/>
      <c r="AU318" s="241"/>
      <c r="AV318" s="256"/>
      <c r="AW318" s="241"/>
      <c r="AX318" s="256"/>
      <c r="AY318" s="241"/>
      <c r="AZ318" s="256"/>
      <c r="BA318" s="239"/>
      <c r="BB318" s="242"/>
      <c r="BC318" s="239"/>
      <c r="BD318" s="242"/>
      <c r="BE318" s="239"/>
      <c r="BF318" s="241"/>
      <c r="BG318" s="239"/>
      <c r="BH318" s="241"/>
      <c r="BI318" s="260"/>
      <c r="BJ318" s="241"/>
      <c r="BK318" s="260"/>
      <c r="BL318" s="239"/>
      <c r="BM318" s="256"/>
      <c r="BN318" s="241"/>
      <c r="BO318" s="243"/>
      <c r="BP318" s="241"/>
      <c r="BQ318" s="239"/>
      <c r="BR318" s="276"/>
      <c r="BS318" s="256"/>
      <c r="BT318" s="260"/>
      <c r="BU318" s="261"/>
      <c r="BV318" s="260"/>
      <c r="BW318" s="239"/>
      <c r="BX318" s="260"/>
      <c r="BY318" s="260"/>
      <c r="BZ318" s="239"/>
      <c r="CA318" s="260"/>
      <c r="CB318" s="239"/>
      <c r="CC318" s="260"/>
      <c r="CD318" s="539"/>
      <c r="CE318" s="239"/>
      <c r="CF318" s="276"/>
      <c r="CG318" s="256"/>
      <c r="CH318" s="259"/>
      <c r="CI318" s="347"/>
      <c r="CJ318" s="540"/>
      <c r="CK318" s="256"/>
      <c r="CL318" s="244">
        <v>1</v>
      </c>
      <c r="CM318" s="274">
        <f t="shared" si="4"/>
        <v>2015</v>
      </c>
      <c r="CN318" s="244">
        <f>IF('Grille de saisie'!CM318&lt;18,0,IF('Grille de saisie'!CM318&lt;40,1,IF('Grille de saisie'!CM318&lt;65,2,IF('Grille de saisie'!CM318&lt;100,3,4))))</f>
        <v>4</v>
      </c>
      <c r="CO318" s="236">
        <f>IF(AND('Grille de saisie'!C318=1,'Grille de saisie'!BZ318=0),1,IF(AND('Grille de saisie'!C318="",'Grille de saisie'!BZ318=""),3,IF(AND('Grille de saisie'!C318=5),3,2)))</f>
        <v>3</v>
      </c>
      <c r="CP318" s="236">
        <f>IF(AND('Grille de saisie'!C318=1,'Grille de saisie'!BZ318=0),1,IF(AND('Grille de saisie'!C318=1,'Grille de saisie'!BZ318=1),2,IF(AND('Grille de saisie'!C318=2,'Grille de saisie'!BZ318=0),2,IF(AND('Grille de saisie'!C318=3,'Grille de saisie'!BZ318=0),3,IF(AND('Grille de saisie'!C318=2,'Grille de saisie'!BZ318=1),3,IF(AND('Grille de saisie'!C318=1,'Grille de saisie'!BZ318=2),3,IF(AND('Grille de saisie'!C318="",'Grille de saisie'!BZ318=""),5,IF(AND('Grille de saisie'!C318=5),5,4))))))))</f>
        <v>5</v>
      </c>
      <c r="CQ318" s="237">
        <f>IF('Grille de saisie'!BZ318="",3,IF('Grille de saisie'!C318=5,3,IF('Grille de saisie'!BZ318=0,1,2)))</f>
        <v>3</v>
      </c>
    </row>
    <row r="319" spans="1:95" ht="15">
      <c r="A319" s="510">
        <v>317</v>
      </c>
      <c r="B319" s="240"/>
      <c r="C319" s="513"/>
      <c r="D319" s="240"/>
      <c r="E319" s="517"/>
      <c r="F319" s="265"/>
      <c r="G319" s="513"/>
      <c r="H319" s="265"/>
      <c r="I319" s="520"/>
      <c r="J319" s="241"/>
      <c r="K319" s="520"/>
      <c r="L319" s="241"/>
      <c r="M319" s="521"/>
      <c r="N319" s="241"/>
      <c r="O319" s="521"/>
      <c r="P319" s="241"/>
      <c r="Q319" s="520"/>
      <c r="R319" s="241"/>
      <c r="S319" s="520"/>
      <c r="T319" s="241"/>
      <c r="U319" s="520"/>
      <c r="V319" s="241"/>
      <c r="W319" s="242"/>
      <c r="X319" s="241"/>
      <c r="Y319" s="242"/>
      <c r="Z319" s="241"/>
      <c r="AA319" s="241"/>
      <c r="AB319" s="275"/>
      <c r="AC319" s="524"/>
      <c r="AD319" s="241"/>
      <c r="AE319" s="241"/>
      <c r="AF319" s="241"/>
      <c r="AG319" s="241"/>
      <c r="AH319" s="241"/>
      <c r="AI319" s="241"/>
      <c r="AJ319" s="529"/>
      <c r="AK319" s="258"/>
      <c r="AL319" s="241"/>
      <c r="AM319" s="242"/>
      <c r="AN319" s="241"/>
      <c r="AO319" s="242"/>
      <c r="AP319" s="241"/>
      <c r="AQ319" s="242"/>
      <c r="AR319" s="241"/>
      <c r="AS319" s="242"/>
      <c r="AT319" s="241"/>
      <c r="AU319" s="241"/>
      <c r="AV319" s="256"/>
      <c r="AW319" s="241"/>
      <c r="AX319" s="256"/>
      <c r="AY319" s="241"/>
      <c r="AZ319" s="256"/>
      <c r="BA319" s="239"/>
      <c r="BB319" s="242"/>
      <c r="BC319" s="239"/>
      <c r="BD319" s="242"/>
      <c r="BE319" s="239"/>
      <c r="BF319" s="241"/>
      <c r="BG319" s="239"/>
      <c r="BH319" s="241"/>
      <c r="BI319" s="260"/>
      <c r="BJ319" s="241"/>
      <c r="BK319" s="260"/>
      <c r="BL319" s="239"/>
      <c r="BM319" s="256"/>
      <c r="BN319" s="241"/>
      <c r="BO319" s="243"/>
      <c r="BP319" s="241"/>
      <c r="BQ319" s="239"/>
      <c r="BR319" s="276"/>
      <c r="BS319" s="256"/>
      <c r="BT319" s="260"/>
      <c r="BU319" s="261"/>
      <c r="BV319" s="260"/>
      <c r="BW319" s="239"/>
      <c r="BX319" s="260"/>
      <c r="BY319" s="260"/>
      <c r="BZ319" s="239"/>
      <c r="CA319" s="260"/>
      <c r="CB319" s="239"/>
      <c r="CC319" s="260"/>
      <c r="CD319" s="539"/>
      <c r="CE319" s="239"/>
      <c r="CF319" s="276"/>
      <c r="CG319" s="256"/>
      <c r="CH319" s="259"/>
      <c r="CI319" s="347"/>
      <c r="CJ319" s="540"/>
      <c r="CK319" s="256"/>
      <c r="CL319" s="244">
        <v>1</v>
      </c>
      <c r="CM319" s="274">
        <f t="shared" si="4"/>
        <v>2015</v>
      </c>
      <c r="CN319" s="244">
        <f>IF('Grille de saisie'!CM319&lt;18,0,IF('Grille de saisie'!CM319&lt;40,1,IF('Grille de saisie'!CM319&lt;65,2,IF('Grille de saisie'!CM319&lt;100,3,4))))</f>
        <v>4</v>
      </c>
      <c r="CO319" s="236">
        <f>IF(AND('Grille de saisie'!C319=1,'Grille de saisie'!BZ319=0),1,IF(AND('Grille de saisie'!C319="",'Grille de saisie'!BZ319=""),3,IF(AND('Grille de saisie'!C319=5),3,2)))</f>
        <v>3</v>
      </c>
      <c r="CP319" s="236">
        <f>IF(AND('Grille de saisie'!C319=1,'Grille de saisie'!BZ319=0),1,IF(AND('Grille de saisie'!C319=1,'Grille de saisie'!BZ319=1),2,IF(AND('Grille de saisie'!C319=2,'Grille de saisie'!BZ319=0),2,IF(AND('Grille de saisie'!C319=3,'Grille de saisie'!BZ319=0),3,IF(AND('Grille de saisie'!C319=2,'Grille de saisie'!BZ319=1),3,IF(AND('Grille de saisie'!C319=1,'Grille de saisie'!BZ319=2),3,IF(AND('Grille de saisie'!C319="",'Grille de saisie'!BZ319=""),5,IF(AND('Grille de saisie'!C319=5),5,4))))))))</f>
        <v>5</v>
      </c>
      <c r="CQ319" s="237">
        <f>IF('Grille de saisie'!BZ319="",3,IF('Grille de saisie'!C319=5,3,IF('Grille de saisie'!BZ319=0,1,2)))</f>
        <v>3</v>
      </c>
    </row>
    <row r="320" spans="1:95" ht="15">
      <c r="A320" s="510">
        <v>318</v>
      </c>
      <c r="B320" s="240"/>
      <c r="C320" s="513"/>
      <c r="D320" s="240"/>
      <c r="E320" s="517"/>
      <c r="F320" s="265"/>
      <c r="G320" s="513"/>
      <c r="H320" s="265"/>
      <c r="I320" s="520"/>
      <c r="J320" s="241"/>
      <c r="K320" s="520"/>
      <c r="L320" s="241"/>
      <c r="M320" s="521"/>
      <c r="N320" s="241"/>
      <c r="O320" s="521"/>
      <c r="P320" s="241"/>
      <c r="Q320" s="520"/>
      <c r="R320" s="241"/>
      <c r="S320" s="520"/>
      <c r="T320" s="241"/>
      <c r="U320" s="520"/>
      <c r="V320" s="241"/>
      <c r="W320" s="242"/>
      <c r="X320" s="241"/>
      <c r="Y320" s="242"/>
      <c r="Z320" s="241"/>
      <c r="AA320" s="241"/>
      <c r="AB320" s="275"/>
      <c r="AC320" s="524"/>
      <c r="AD320" s="241"/>
      <c r="AE320" s="241"/>
      <c r="AF320" s="241"/>
      <c r="AG320" s="241"/>
      <c r="AH320" s="241"/>
      <c r="AI320" s="241"/>
      <c r="AJ320" s="529"/>
      <c r="AK320" s="258"/>
      <c r="AL320" s="241"/>
      <c r="AM320" s="242"/>
      <c r="AN320" s="241"/>
      <c r="AO320" s="242"/>
      <c r="AP320" s="241"/>
      <c r="AQ320" s="242"/>
      <c r="AR320" s="241"/>
      <c r="AS320" s="242"/>
      <c r="AT320" s="241"/>
      <c r="AU320" s="241"/>
      <c r="AV320" s="256"/>
      <c r="AW320" s="241"/>
      <c r="AX320" s="256"/>
      <c r="AY320" s="241"/>
      <c r="AZ320" s="256"/>
      <c r="BA320" s="239"/>
      <c r="BB320" s="242"/>
      <c r="BC320" s="239"/>
      <c r="BD320" s="242"/>
      <c r="BE320" s="239"/>
      <c r="BF320" s="241"/>
      <c r="BG320" s="239"/>
      <c r="BH320" s="241"/>
      <c r="BI320" s="260"/>
      <c r="BJ320" s="241"/>
      <c r="BK320" s="260"/>
      <c r="BL320" s="239"/>
      <c r="BM320" s="256"/>
      <c r="BN320" s="241"/>
      <c r="BO320" s="243"/>
      <c r="BP320" s="241"/>
      <c r="BQ320" s="239"/>
      <c r="BR320" s="276"/>
      <c r="BS320" s="256"/>
      <c r="BT320" s="260"/>
      <c r="BU320" s="261"/>
      <c r="BV320" s="260"/>
      <c r="BW320" s="239"/>
      <c r="BX320" s="260"/>
      <c r="BY320" s="260"/>
      <c r="BZ320" s="239"/>
      <c r="CA320" s="260"/>
      <c r="CB320" s="239"/>
      <c r="CC320" s="260"/>
      <c r="CD320" s="539"/>
      <c r="CE320" s="239"/>
      <c r="CF320" s="276"/>
      <c r="CG320" s="256"/>
      <c r="CH320" s="259"/>
      <c r="CI320" s="347"/>
      <c r="CJ320" s="540"/>
      <c r="CK320" s="256"/>
      <c r="CL320" s="244">
        <v>1</v>
      </c>
      <c r="CM320" s="274">
        <f t="shared" si="4"/>
        <v>2015</v>
      </c>
      <c r="CN320" s="244">
        <f>IF('Grille de saisie'!CM320&lt;18,0,IF('Grille de saisie'!CM320&lt;40,1,IF('Grille de saisie'!CM320&lt;65,2,IF('Grille de saisie'!CM320&lt;100,3,4))))</f>
        <v>4</v>
      </c>
      <c r="CO320" s="236">
        <f>IF(AND('Grille de saisie'!C320=1,'Grille de saisie'!BZ320=0),1,IF(AND('Grille de saisie'!C320="",'Grille de saisie'!BZ320=""),3,IF(AND('Grille de saisie'!C320=5),3,2)))</f>
        <v>3</v>
      </c>
      <c r="CP320" s="236">
        <f>IF(AND('Grille de saisie'!C320=1,'Grille de saisie'!BZ320=0),1,IF(AND('Grille de saisie'!C320=1,'Grille de saisie'!BZ320=1),2,IF(AND('Grille de saisie'!C320=2,'Grille de saisie'!BZ320=0),2,IF(AND('Grille de saisie'!C320=3,'Grille de saisie'!BZ320=0),3,IF(AND('Grille de saisie'!C320=2,'Grille de saisie'!BZ320=1),3,IF(AND('Grille de saisie'!C320=1,'Grille de saisie'!BZ320=2),3,IF(AND('Grille de saisie'!C320="",'Grille de saisie'!BZ320=""),5,IF(AND('Grille de saisie'!C320=5),5,4))))))))</f>
        <v>5</v>
      </c>
      <c r="CQ320" s="237">
        <f>IF('Grille de saisie'!BZ320="",3,IF('Grille de saisie'!C320=5,3,IF('Grille de saisie'!BZ320=0,1,2)))</f>
        <v>3</v>
      </c>
    </row>
    <row r="321" spans="1:95" ht="15">
      <c r="A321" s="511">
        <v>319</v>
      </c>
      <c r="B321" s="240"/>
      <c r="C321" s="513"/>
      <c r="D321" s="240"/>
      <c r="E321" s="517"/>
      <c r="F321" s="265"/>
      <c r="G321" s="513"/>
      <c r="H321" s="265"/>
      <c r="I321" s="520"/>
      <c r="J321" s="241"/>
      <c r="K321" s="520"/>
      <c r="L321" s="241"/>
      <c r="M321" s="521"/>
      <c r="N321" s="241"/>
      <c r="O321" s="521"/>
      <c r="P321" s="241"/>
      <c r="Q321" s="520"/>
      <c r="R321" s="241"/>
      <c r="S321" s="520"/>
      <c r="T321" s="241"/>
      <c r="U321" s="520"/>
      <c r="V321" s="241"/>
      <c r="W321" s="242"/>
      <c r="X321" s="241"/>
      <c r="Y321" s="242"/>
      <c r="Z321" s="241"/>
      <c r="AA321" s="241"/>
      <c r="AB321" s="275"/>
      <c r="AC321" s="524"/>
      <c r="AD321" s="241"/>
      <c r="AE321" s="241"/>
      <c r="AF321" s="241"/>
      <c r="AG321" s="241"/>
      <c r="AH321" s="241"/>
      <c r="AI321" s="241"/>
      <c r="AJ321" s="529"/>
      <c r="AK321" s="258"/>
      <c r="AL321" s="241"/>
      <c r="AM321" s="242"/>
      <c r="AN321" s="241"/>
      <c r="AO321" s="242"/>
      <c r="AP321" s="241"/>
      <c r="AQ321" s="242"/>
      <c r="AR321" s="241"/>
      <c r="AS321" s="242"/>
      <c r="AT321" s="241"/>
      <c r="AU321" s="241"/>
      <c r="AV321" s="256"/>
      <c r="AW321" s="241"/>
      <c r="AX321" s="256"/>
      <c r="AY321" s="241"/>
      <c r="AZ321" s="256"/>
      <c r="BA321" s="239"/>
      <c r="BB321" s="242"/>
      <c r="BC321" s="239"/>
      <c r="BD321" s="242"/>
      <c r="BE321" s="239"/>
      <c r="BF321" s="241"/>
      <c r="BG321" s="239"/>
      <c r="BH321" s="241"/>
      <c r="BI321" s="260"/>
      <c r="BJ321" s="241"/>
      <c r="BK321" s="260"/>
      <c r="BL321" s="239"/>
      <c r="BM321" s="256"/>
      <c r="BN321" s="241"/>
      <c r="BO321" s="243"/>
      <c r="BP321" s="241"/>
      <c r="BQ321" s="239"/>
      <c r="BR321" s="276"/>
      <c r="BS321" s="256"/>
      <c r="BT321" s="260"/>
      <c r="BU321" s="261"/>
      <c r="BV321" s="260"/>
      <c r="BW321" s="239"/>
      <c r="BX321" s="260"/>
      <c r="BY321" s="260"/>
      <c r="BZ321" s="239"/>
      <c r="CA321" s="260"/>
      <c r="CB321" s="239"/>
      <c r="CC321" s="260"/>
      <c r="CD321" s="539"/>
      <c r="CE321" s="239"/>
      <c r="CF321" s="276"/>
      <c r="CG321" s="256"/>
      <c r="CH321" s="259"/>
      <c r="CI321" s="347"/>
      <c r="CJ321" s="540"/>
      <c r="CK321" s="256"/>
      <c r="CL321" s="244">
        <v>1</v>
      </c>
      <c r="CM321" s="274">
        <f t="shared" si="4"/>
        <v>2015</v>
      </c>
      <c r="CN321" s="244">
        <f>IF('Grille de saisie'!CM321&lt;18,0,IF('Grille de saisie'!CM321&lt;40,1,IF('Grille de saisie'!CM321&lt;65,2,IF('Grille de saisie'!CM321&lt;100,3,4))))</f>
        <v>4</v>
      </c>
      <c r="CO321" s="236">
        <f>IF(AND('Grille de saisie'!C321=1,'Grille de saisie'!BZ321=0),1,IF(AND('Grille de saisie'!C321="",'Grille de saisie'!BZ321=""),3,IF(AND('Grille de saisie'!C321=5),3,2)))</f>
        <v>3</v>
      </c>
      <c r="CP321" s="236">
        <f>IF(AND('Grille de saisie'!C321=1,'Grille de saisie'!BZ321=0),1,IF(AND('Grille de saisie'!C321=1,'Grille de saisie'!BZ321=1),2,IF(AND('Grille de saisie'!C321=2,'Grille de saisie'!BZ321=0),2,IF(AND('Grille de saisie'!C321=3,'Grille de saisie'!BZ321=0),3,IF(AND('Grille de saisie'!C321=2,'Grille de saisie'!BZ321=1),3,IF(AND('Grille de saisie'!C321=1,'Grille de saisie'!BZ321=2),3,IF(AND('Grille de saisie'!C321="",'Grille de saisie'!BZ321=""),5,IF(AND('Grille de saisie'!C321=5),5,4))))))))</f>
        <v>5</v>
      </c>
      <c r="CQ321" s="237">
        <f>IF('Grille de saisie'!BZ321="",3,IF('Grille de saisie'!C321=5,3,IF('Grille de saisie'!BZ321=0,1,2)))</f>
        <v>3</v>
      </c>
    </row>
    <row r="322" spans="1:95" ht="15">
      <c r="A322" s="510">
        <v>320</v>
      </c>
      <c r="B322" s="240"/>
      <c r="C322" s="513"/>
      <c r="D322" s="240"/>
      <c r="E322" s="517"/>
      <c r="F322" s="265"/>
      <c r="G322" s="513"/>
      <c r="H322" s="265"/>
      <c r="I322" s="520"/>
      <c r="J322" s="241"/>
      <c r="K322" s="520"/>
      <c r="L322" s="241"/>
      <c r="M322" s="521"/>
      <c r="N322" s="241"/>
      <c r="O322" s="521"/>
      <c r="P322" s="241"/>
      <c r="Q322" s="520"/>
      <c r="R322" s="241"/>
      <c r="S322" s="520"/>
      <c r="T322" s="241"/>
      <c r="U322" s="520"/>
      <c r="V322" s="241"/>
      <c r="W322" s="242"/>
      <c r="X322" s="241"/>
      <c r="Y322" s="242"/>
      <c r="Z322" s="241"/>
      <c r="AA322" s="241"/>
      <c r="AB322" s="275"/>
      <c r="AC322" s="524"/>
      <c r="AD322" s="241"/>
      <c r="AE322" s="241"/>
      <c r="AF322" s="241"/>
      <c r="AG322" s="241"/>
      <c r="AH322" s="241"/>
      <c r="AI322" s="241"/>
      <c r="AJ322" s="529"/>
      <c r="AK322" s="258"/>
      <c r="AL322" s="241"/>
      <c r="AM322" s="242"/>
      <c r="AN322" s="241"/>
      <c r="AO322" s="242"/>
      <c r="AP322" s="241"/>
      <c r="AQ322" s="242"/>
      <c r="AR322" s="241"/>
      <c r="AS322" s="242"/>
      <c r="AT322" s="241"/>
      <c r="AU322" s="241"/>
      <c r="AV322" s="256"/>
      <c r="AW322" s="241"/>
      <c r="AX322" s="256"/>
      <c r="AY322" s="241"/>
      <c r="AZ322" s="256"/>
      <c r="BA322" s="239"/>
      <c r="BB322" s="242"/>
      <c r="BC322" s="239"/>
      <c r="BD322" s="242"/>
      <c r="BE322" s="239"/>
      <c r="BF322" s="241"/>
      <c r="BG322" s="239"/>
      <c r="BH322" s="241"/>
      <c r="BI322" s="260"/>
      <c r="BJ322" s="241"/>
      <c r="BK322" s="260"/>
      <c r="BL322" s="239"/>
      <c r="BM322" s="256"/>
      <c r="BN322" s="241"/>
      <c r="BO322" s="243"/>
      <c r="BP322" s="241"/>
      <c r="BQ322" s="239"/>
      <c r="BR322" s="276"/>
      <c r="BS322" s="256"/>
      <c r="BT322" s="260"/>
      <c r="BU322" s="261"/>
      <c r="BV322" s="260"/>
      <c r="BW322" s="239"/>
      <c r="BX322" s="260"/>
      <c r="BY322" s="260"/>
      <c r="BZ322" s="239"/>
      <c r="CA322" s="260"/>
      <c r="CB322" s="239"/>
      <c r="CC322" s="260"/>
      <c r="CD322" s="539"/>
      <c r="CE322" s="239"/>
      <c r="CF322" s="276"/>
      <c r="CG322" s="256"/>
      <c r="CH322" s="259"/>
      <c r="CI322" s="347"/>
      <c r="CJ322" s="540"/>
      <c r="CK322" s="256"/>
      <c r="CL322" s="244">
        <v>1</v>
      </c>
      <c r="CM322" s="274">
        <f t="shared" si="4"/>
        <v>2015</v>
      </c>
      <c r="CN322" s="244">
        <f>IF('Grille de saisie'!CM322&lt;18,0,IF('Grille de saisie'!CM322&lt;40,1,IF('Grille de saisie'!CM322&lt;65,2,IF('Grille de saisie'!CM322&lt;100,3,4))))</f>
        <v>4</v>
      </c>
      <c r="CO322" s="236">
        <f>IF(AND('Grille de saisie'!C322=1,'Grille de saisie'!BZ322=0),1,IF(AND('Grille de saisie'!C322="",'Grille de saisie'!BZ322=""),3,IF(AND('Grille de saisie'!C322=5),3,2)))</f>
        <v>3</v>
      </c>
      <c r="CP322" s="236">
        <f>IF(AND('Grille de saisie'!C322=1,'Grille de saisie'!BZ322=0),1,IF(AND('Grille de saisie'!C322=1,'Grille de saisie'!BZ322=1),2,IF(AND('Grille de saisie'!C322=2,'Grille de saisie'!BZ322=0),2,IF(AND('Grille de saisie'!C322=3,'Grille de saisie'!BZ322=0),3,IF(AND('Grille de saisie'!C322=2,'Grille de saisie'!BZ322=1),3,IF(AND('Grille de saisie'!C322=1,'Grille de saisie'!BZ322=2),3,IF(AND('Grille de saisie'!C322="",'Grille de saisie'!BZ322=""),5,IF(AND('Grille de saisie'!C322=5),5,4))))))))</f>
        <v>5</v>
      </c>
      <c r="CQ322" s="237">
        <f>IF('Grille de saisie'!BZ322="",3,IF('Grille de saisie'!C322=5,3,IF('Grille de saisie'!BZ322=0,1,2)))</f>
        <v>3</v>
      </c>
    </row>
    <row r="323" spans="1:95" ht="15">
      <c r="A323" s="510">
        <v>321</v>
      </c>
      <c r="B323" s="240"/>
      <c r="C323" s="513"/>
      <c r="D323" s="240"/>
      <c r="E323" s="517"/>
      <c r="F323" s="265"/>
      <c r="G323" s="513"/>
      <c r="H323" s="265"/>
      <c r="I323" s="520"/>
      <c r="J323" s="241"/>
      <c r="K323" s="520"/>
      <c r="L323" s="241"/>
      <c r="M323" s="521"/>
      <c r="N323" s="241"/>
      <c r="O323" s="521"/>
      <c r="P323" s="241"/>
      <c r="Q323" s="520"/>
      <c r="R323" s="241"/>
      <c r="S323" s="520"/>
      <c r="T323" s="241"/>
      <c r="U323" s="520"/>
      <c r="V323" s="241"/>
      <c r="W323" s="242"/>
      <c r="X323" s="241"/>
      <c r="Y323" s="242"/>
      <c r="Z323" s="241"/>
      <c r="AA323" s="241"/>
      <c r="AB323" s="275"/>
      <c r="AC323" s="524"/>
      <c r="AD323" s="241"/>
      <c r="AE323" s="241"/>
      <c r="AF323" s="241"/>
      <c r="AG323" s="241"/>
      <c r="AH323" s="241"/>
      <c r="AI323" s="241"/>
      <c r="AJ323" s="529"/>
      <c r="AK323" s="258"/>
      <c r="AL323" s="241"/>
      <c r="AM323" s="242"/>
      <c r="AN323" s="241"/>
      <c r="AO323" s="242"/>
      <c r="AP323" s="241"/>
      <c r="AQ323" s="242"/>
      <c r="AR323" s="241"/>
      <c r="AS323" s="242"/>
      <c r="AT323" s="241"/>
      <c r="AU323" s="241"/>
      <c r="AV323" s="256"/>
      <c r="AW323" s="241"/>
      <c r="AX323" s="256"/>
      <c r="AY323" s="241"/>
      <c r="AZ323" s="256"/>
      <c r="BA323" s="239"/>
      <c r="BB323" s="242"/>
      <c r="BC323" s="239"/>
      <c r="BD323" s="242"/>
      <c r="BE323" s="239"/>
      <c r="BF323" s="241"/>
      <c r="BG323" s="239"/>
      <c r="BH323" s="241"/>
      <c r="BI323" s="260"/>
      <c r="BJ323" s="241"/>
      <c r="BK323" s="260"/>
      <c r="BL323" s="239"/>
      <c r="BM323" s="256"/>
      <c r="BN323" s="241"/>
      <c r="BO323" s="243"/>
      <c r="BP323" s="241"/>
      <c r="BQ323" s="239"/>
      <c r="BR323" s="276"/>
      <c r="BS323" s="256"/>
      <c r="BT323" s="260"/>
      <c r="BU323" s="261"/>
      <c r="BV323" s="260"/>
      <c r="BW323" s="239"/>
      <c r="BX323" s="260"/>
      <c r="BY323" s="260"/>
      <c r="BZ323" s="239"/>
      <c r="CA323" s="260"/>
      <c r="CB323" s="239"/>
      <c r="CC323" s="260"/>
      <c r="CD323" s="539"/>
      <c r="CE323" s="239"/>
      <c r="CF323" s="276"/>
      <c r="CG323" s="256"/>
      <c r="CH323" s="259"/>
      <c r="CI323" s="347"/>
      <c r="CJ323" s="540"/>
      <c r="CK323" s="256"/>
      <c r="CL323" s="244">
        <v>1</v>
      </c>
      <c r="CM323" s="274">
        <f t="shared" si="4"/>
        <v>2015</v>
      </c>
      <c r="CN323" s="244">
        <f>IF('Grille de saisie'!CM323&lt;18,0,IF('Grille de saisie'!CM323&lt;40,1,IF('Grille de saisie'!CM323&lt;65,2,IF('Grille de saisie'!CM323&lt;100,3,4))))</f>
        <v>4</v>
      </c>
      <c r="CO323" s="236">
        <f>IF(AND('Grille de saisie'!C323=1,'Grille de saisie'!BZ323=0),1,IF(AND('Grille de saisie'!C323="",'Grille de saisie'!BZ323=""),3,IF(AND('Grille de saisie'!C323=5),3,2)))</f>
        <v>3</v>
      </c>
      <c r="CP323" s="236">
        <f>IF(AND('Grille de saisie'!C323=1,'Grille de saisie'!BZ323=0),1,IF(AND('Grille de saisie'!C323=1,'Grille de saisie'!BZ323=1),2,IF(AND('Grille de saisie'!C323=2,'Grille de saisie'!BZ323=0),2,IF(AND('Grille de saisie'!C323=3,'Grille de saisie'!BZ323=0),3,IF(AND('Grille de saisie'!C323=2,'Grille de saisie'!BZ323=1),3,IF(AND('Grille de saisie'!C323=1,'Grille de saisie'!BZ323=2),3,IF(AND('Grille de saisie'!C323="",'Grille de saisie'!BZ323=""),5,IF(AND('Grille de saisie'!C323=5),5,4))))))))</f>
        <v>5</v>
      </c>
      <c r="CQ323" s="237">
        <f>IF('Grille de saisie'!BZ323="",3,IF('Grille de saisie'!C323=5,3,IF('Grille de saisie'!BZ323=0,1,2)))</f>
        <v>3</v>
      </c>
    </row>
    <row r="324" spans="1:95" ht="15">
      <c r="A324" s="511">
        <v>322</v>
      </c>
      <c r="B324" s="240"/>
      <c r="C324" s="513"/>
      <c r="D324" s="240"/>
      <c r="E324" s="517"/>
      <c r="F324" s="265"/>
      <c r="G324" s="513"/>
      <c r="H324" s="265"/>
      <c r="I324" s="520"/>
      <c r="J324" s="241"/>
      <c r="K324" s="520"/>
      <c r="L324" s="241"/>
      <c r="M324" s="521"/>
      <c r="N324" s="241"/>
      <c r="O324" s="521"/>
      <c r="P324" s="241"/>
      <c r="Q324" s="520"/>
      <c r="R324" s="241"/>
      <c r="S324" s="520"/>
      <c r="T324" s="241"/>
      <c r="U324" s="520"/>
      <c r="V324" s="241"/>
      <c r="W324" s="242"/>
      <c r="X324" s="241"/>
      <c r="Y324" s="242"/>
      <c r="Z324" s="241"/>
      <c r="AA324" s="241"/>
      <c r="AB324" s="275"/>
      <c r="AC324" s="524"/>
      <c r="AD324" s="241"/>
      <c r="AE324" s="241"/>
      <c r="AF324" s="241"/>
      <c r="AG324" s="241"/>
      <c r="AH324" s="241"/>
      <c r="AI324" s="241"/>
      <c r="AJ324" s="529"/>
      <c r="AK324" s="258"/>
      <c r="AL324" s="241"/>
      <c r="AM324" s="242"/>
      <c r="AN324" s="241"/>
      <c r="AO324" s="242"/>
      <c r="AP324" s="241"/>
      <c r="AQ324" s="242"/>
      <c r="AR324" s="241"/>
      <c r="AS324" s="242"/>
      <c r="AT324" s="241"/>
      <c r="AU324" s="241"/>
      <c r="AV324" s="256"/>
      <c r="AW324" s="241"/>
      <c r="AX324" s="256"/>
      <c r="AY324" s="241"/>
      <c r="AZ324" s="256"/>
      <c r="BA324" s="239"/>
      <c r="BB324" s="242"/>
      <c r="BC324" s="239"/>
      <c r="BD324" s="242"/>
      <c r="BE324" s="239"/>
      <c r="BF324" s="241"/>
      <c r="BG324" s="239"/>
      <c r="BH324" s="241"/>
      <c r="BI324" s="260"/>
      <c r="BJ324" s="241"/>
      <c r="BK324" s="260"/>
      <c r="BL324" s="239"/>
      <c r="BM324" s="256"/>
      <c r="BN324" s="241"/>
      <c r="BO324" s="243"/>
      <c r="BP324" s="241"/>
      <c r="BQ324" s="239"/>
      <c r="BR324" s="276"/>
      <c r="BS324" s="256"/>
      <c r="BT324" s="260"/>
      <c r="BU324" s="261"/>
      <c r="BV324" s="260"/>
      <c r="BW324" s="239"/>
      <c r="BX324" s="260"/>
      <c r="BY324" s="260"/>
      <c r="BZ324" s="239"/>
      <c r="CA324" s="260"/>
      <c r="CB324" s="239"/>
      <c r="CC324" s="260"/>
      <c r="CD324" s="539"/>
      <c r="CE324" s="239"/>
      <c r="CF324" s="276"/>
      <c r="CG324" s="256"/>
      <c r="CH324" s="259"/>
      <c r="CI324" s="347"/>
      <c r="CJ324" s="540"/>
      <c r="CK324" s="256"/>
      <c r="CL324" s="244">
        <v>1</v>
      </c>
      <c r="CM324" s="274">
        <f t="shared" ref="CM324:CM387" si="5">$A$1-CB324</f>
        <v>2015</v>
      </c>
      <c r="CN324" s="244">
        <f>IF('Grille de saisie'!CM324&lt;18,0,IF('Grille de saisie'!CM324&lt;40,1,IF('Grille de saisie'!CM324&lt;65,2,IF('Grille de saisie'!CM324&lt;100,3,4))))</f>
        <v>4</v>
      </c>
      <c r="CO324" s="236">
        <f>IF(AND('Grille de saisie'!C324=1,'Grille de saisie'!BZ324=0),1,IF(AND('Grille de saisie'!C324="",'Grille de saisie'!BZ324=""),3,IF(AND('Grille de saisie'!C324=5),3,2)))</f>
        <v>3</v>
      </c>
      <c r="CP324" s="236">
        <f>IF(AND('Grille de saisie'!C324=1,'Grille de saisie'!BZ324=0),1,IF(AND('Grille de saisie'!C324=1,'Grille de saisie'!BZ324=1),2,IF(AND('Grille de saisie'!C324=2,'Grille de saisie'!BZ324=0),2,IF(AND('Grille de saisie'!C324=3,'Grille de saisie'!BZ324=0),3,IF(AND('Grille de saisie'!C324=2,'Grille de saisie'!BZ324=1),3,IF(AND('Grille de saisie'!C324=1,'Grille de saisie'!BZ324=2),3,IF(AND('Grille de saisie'!C324="",'Grille de saisie'!BZ324=""),5,IF(AND('Grille de saisie'!C324=5),5,4))))))))</f>
        <v>5</v>
      </c>
      <c r="CQ324" s="237">
        <f>IF('Grille de saisie'!BZ324="",3,IF('Grille de saisie'!C324=5,3,IF('Grille de saisie'!BZ324=0,1,2)))</f>
        <v>3</v>
      </c>
    </row>
    <row r="325" spans="1:95" ht="15">
      <c r="A325" s="510">
        <v>323</v>
      </c>
      <c r="B325" s="240"/>
      <c r="C325" s="513"/>
      <c r="D325" s="240"/>
      <c r="E325" s="517"/>
      <c r="F325" s="265"/>
      <c r="G325" s="513"/>
      <c r="H325" s="265"/>
      <c r="I325" s="520"/>
      <c r="J325" s="241"/>
      <c r="K325" s="520"/>
      <c r="L325" s="241"/>
      <c r="M325" s="521"/>
      <c r="N325" s="241"/>
      <c r="O325" s="521"/>
      <c r="P325" s="241"/>
      <c r="Q325" s="520"/>
      <c r="R325" s="241"/>
      <c r="S325" s="520"/>
      <c r="T325" s="241"/>
      <c r="U325" s="520"/>
      <c r="V325" s="241"/>
      <c r="W325" s="242"/>
      <c r="X325" s="241"/>
      <c r="Y325" s="242"/>
      <c r="Z325" s="241"/>
      <c r="AA325" s="241"/>
      <c r="AB325" s="275"/>
      <c r="AC325" s="524"/>
      <c r="AD325" s="241"/>
      <c r="AE325" s="241"/>
      <c r="AF325" s="241"/>
      <c r="AG325" s="241"/>
      <c r="AH325" s="241"/>
      <c r="AI325" s="241"/>
      <c r="AJ325" s="529"/>
      <c r="AK325" s="258"/>
      <c r="AL325" s="241"/>
      <c r="AM325" s="242"/>
      <c r="AN325" s="241"/>
      <c r="AO325" s="242"/>
      <c r="AP325" s="241"/>
      <c r="AQ325" s="242"/>
      <c r="AR325" s="241"/>
      <c r="AS325" s="242"/>
      <c r="AT325" s="241"/>
      <c r="AU325" s="241"/>
      <c r="AV325" s="256"/>
      <c r="AW325" s="241"/>
      <c r="AX325" s="256"/>
      <c r="AY325" s="241"/>
      <c r="AZ325" s="256"/>
      <c r="BA325" s="239"/>
      <c r="BB325" s="242"/>
      <c r="BC325" s="239"/>
      <c r="BD325" s="242"/>
      <c r="BE325" s="239"/>
      <c r="BF325" s="241"/>
      <c r="BG325" s="239"/>
      <c r="BH325" s="241"/>
      <c r="BI325" s="260"/>
      <c r="BJ325" s="241"/>
      <c r="BK325" s="260"/>
      <c r="BL325" s="239"/>
      <c r="BM325" s="256"/>
      <c r="BN325" s="241"/>
      <c r="BO325" s="243"/>
      <c r="BP325" s="241"/>
      <c r="BQ325" s="239"/>
      <c r="BR325" s="276"/>
      <c r="BS325" s="256"/>
      <c r="BT325" s="260"/>
      <c r="BU325" s="261"/>
      <c r="BV325" s="260"/>
      <c r="BW325" s="239"/>
      <c r="BX325" s="260"/>
      <c r="BY325" s="260"/>
      <c r="BZ325" s="239"/>
      <c r="CA325" s="260"/>
      <c r="CB325" s="239"/>
      <c r="CC325" s="260"/>
      <c r="CD325" s="539"/>
      <c r="CE325" s="239"/>
      <c r="CF325" s="276"/>
      <c r="CG325" s="256"/>
      <c r="CH325" s="259"/>
      <c r="CI325" s="347"/>
      <c r="CJ325" s="540"/>
      <c r="CK325" s="256"/>
      <c r="CL325" s="244">
        <v>1</v>
      </c>
      <c r="CM325" s="274">
        <f t="shared" si="5"/>
        <v>2015</v>
      </c>
      <c r="CN325" s="244">
        <f>IF('Grille de saisie'!CM325&lt;18,0,IF('Grille de saisie'!CM325&lt;40,1,IF('Grille de saisie'!CM325&lt;65,2,IF('Grille de saisie'!CM325&lt;100,3,4))))</f>
        <v>4</v>
      </c>
      <c r="CO325" s="236">
        <f>IF(AND('Grille de saisie'!C325=1,'Grille de saisie'!BZ325=0),1,IF(AND('Grille de saisie'!C325="",'Grille de saisie'!BZ325=""),3,IF(AND('Grille de saisie'!C325=5),3,2)))</f>
        <v>3</v>
      </c>
      <c r="CP325" s="236">
        <f>IF(AND('Grille de saisie'!C325=1,'Grille de saisie'!BZ325=0),1,IF(AND('Grille de saisie'!C325=1,'Grille de saisie'!BZ325=1),2,IF(AND('Grille de saisie'!C325=2,'Grille de saisie'!BZ325=0),2,IF(AND('Grille de saisie'!C325=3,'Grille de saisie'!BZ325=0),3,IF(AND('Grille de saisie'!C325=2,'Grille de saisie'!BZ325=1),3,IF(AND('Grille de saisie'!C325=1,'Grille de saisie'!BZ325=2),3,IF(AND('Grille de saisie'!C325="",'Grille de saisie'!BZ325=""),5,IF(AND('Grille de saisie'!C325=5),5,4))))))))</f>
        <v>5</v>
      </c>
      <c r="CQ325" s="237">
        <f>IF('Grille de saisie'!BZ325="",3,IF('Grille de saisie'!C325=5,3,IF('Grille de saisie'!BZ325=0,1,2)))</f>
        <v>3</v>
      </c>
    </row>
    <row r="326" spans="1:95" ht="15">
      <c r="A326" s="510">
        <v>324</v>
      </c>
      <c r="B326" s="240"/>
      <c r="C326" s="513"/>
      <c r="D326" s="240"/>
      <c r="E326" s="517"/>
      <c r="F326" s="265"/>
      <c r="G326" s="513"/>
      <c r="H326" s="265"/>
      <c r="I326" s="520"/>
      <c r="J326" s="241"/>
      <c r="K326" s="520"/>
      <c r="L326" s="241"/>
      <c r="M326" s="521"/>
      <c r="N326" s="241"/>
      <c r="O326" s="521"/>
      <c r="P326" s="241"/>
      <c r="Q326" s="520"/>
      <c r="R326" s="241"/>
      <c r="S326" s="520"/>
      <c r="T326" s="241"/>
      <c r="U326" s="520"/>
      <c r="V326" s="241"/>
      <c r="W326" s="242"/>
      <c r="X326" s="241"/>
      <c r="Y326" s="242"/>
      <c r="Z326" s="241"/>
      <c r="AA326" s="241"/>
      <c r="AB326" s="275"/>
      <c r="AC326" s="524"/>
      <c r="AD326" s="241"/>
      <c r="AE326" s="241"/>
      <c r="AF326" s="241"/>
      <c r="AG326" s="241"/>
      <c r="AH326" s="241"/>
      <c r="AI326" s="241"/>
      <c r="AJ326" s="529"/>
      <c r="AK326" s="258"/>
      <c r="AL326" s="241"/>
      <c r="AM326" s="242"/>
      <c r="AN326" s="241"/>
      <c r="AO326" s="242"/>
      <c r="AP326" s="241"/>
      <c r="AQ326" s="242"/>
      <c r="AR326" s="241"/>
      <c r="AS326" s="242"/>
      <c r="AT326" s="241"/>
      <c r="AU326" s="241"/>
      <c r="AV326" s="256"/>
      <c r="AW326" s="241"/>
      <c r="AX326" s="256"/>
      <c r="AY326" s="241"/>
      <c r="AZ326" s="256"/>
      <c r="BA326" s="239"/>
      <c r="BB326" s="242"/>
      <c r="BC326" s="239"/>
      <c r="BD326" s="242"/>
      <c r="BE326" s="239"/>
      <c r="BF326" s="241"/>
      <c r="BG326" s="239"/>
      <c r="BH326" s="241"/>
      <c r="BI326" s="260"/>
      <c r="BJ326" s="241"/>
      <c r="BK326" s="260"/>
      <c r="BL326" s="239"/>
      <c r="BM326" s="256"/>
      <c r="BN326" s="241"/>
      <c r="BO326" s="243"/>
      <c r="BP326" s="241"/>
      <c r="BQ326" s="239"/>
      <c r="BR326" s="276"/>
      <c r="BS326" s="256"/>
      <c r="BT326" s="260"/>
      <c r="BU326" s="261"/>
      <c r="BV326" s="260"/>
      <c r="BW326" s="239"/>
      <c r="BX326" s="260"/>
      <c r="BY326" s="260"/>
      <c r="BZ326" s="239"/>
      <c r="CA326" s="260"/>
      <c r="CB326" s="239"/>
      <c r="CC326" s="260"/>
      <c r="CD326" s="539"/>
      <c r="CE326" s="239"/>
      <c r="CF326" s="276"/>
      <c r="CG326" s="256"/>
      <c r="CH326" s="259"/>
      <c r="CI326" s="347"/>
      <c r="CJ326" s="540"/>
      <c r="CK326" s="256"/>
      <c r="CL326" s="244">
        <v>1</v>
      </c>
      <c r="CM326" s="274">
        <f t="shared" si="5"/>
        <v>2015</v>
      </c>
      <c r="CN326" s="244">
        <f>IF('Grille de saisie'!CM326&lt;18,0,IF('Grille de saisie'!CM326&lt;40,1,IF('Grille de saisie'!CM326&lt;65,2,IF('Grille de saisie'!CM326&lt;100,3,4))))</f>
        <v>4</v>
      </c>
      <c r="CO326" s="236">
        <f>IF(AND('Grille de saisie'!C326=1,'Grille de saisie'!BZ326=0),1,IF(AND('Grille de saisie'!C326="",'Grille de saisie'!BZ326=""),3,IF(AND('Grille de saisie'!C326=5),3,2)))</f>
        <v>3</v>
      </c>
      <c r="CP326" s="236">
        <f>IF(AND('Grille de saisie'!C326=1,'Grille de saisie'!BZ326=0),1,IF(AND('Grille de saisie'!C326=1,'Grille de saisie'!BZ326=1),2,IF(AND('Grille de saisie'!C326=2,'Grille de saisie'!BZ326=0),2,IF(AND('Grille de saisie'!C326=3,'Grille de saisie'!BZ326=0),3,IF(AND('Grille de saisie'!C326=2,'Grille de saisie'!BZ326=1),3,IF(AND('Grille de saisie'!C326=1,'Grille de saisie'!BZ326=2),3,IF(AND('Grille de saisie'!C326="",'Grille de saisie'!BZ326=""),5,IF(AND('Grille de saisie'!C326=5),5,4))))))))</f>
        <v>5</v>
      </c>
      <c r="CQ326" s="237">
        <f>IF('Grille de saisie'!BZ326="",3,IF('Grille de saisie'!C326=5,3,IF('Grille de saisie'!BZ326=0,1,2)))</f>
        <v>3</v>
      </c>
    </row>
    <row r="327" spans="1:95" ht="15">
      <c r="A327" s="511">
        <v>325</v>
      </c>
      <c r="B327" s="240"/>
      <c r="C327" s="513"/>
      <c r="D327" s="240"/>
      <c r="E327" s="517"/>
      <c r="F327" s="265"/>
      <c r="G327" s="513"/>
      <c r="H327" s="265"/>
      <c r="I327" s="520"/>
      <c r="J327" s="241"/>
      <c r="K327" s="520"/>
      <c r="L327" s="241"/>
      <c r="M327" s="521"/>
      <c r="N327" s="241"/>
      <c r="O327" s="521"/>
      <c r="P327" s="241"/>
      <c r="Q327" s="520"/>
      <c r="R327" s="241"/>
      <c r="S327" s="520"/>
      <c r="T327" s="241"/>
      <c r="U327" s="520"/>
      <c r="V327" s="241"/>
      <c r="W327" s="242"/>
      <c r="X327" s="241"/>
      <c r="Y327" s="242"/>
      <c r="Z327" s="241"/>
      <c r="AA327" s="241"/>
      <c r="AB327" s="275"/>
      <c r="AC327" s="524"/>
      <c r="AD327" s="241"/>
      <c r="AE327" s="241"/>
      <c r="AF327" s="241"/>
      <c r="AG327" s="241"/>
      <c r="AH327" s="241"/>
      <c r="AI327" s="241"/>
      <c r="AJ327" s="529"/>
      <c r="AK327" s="258"/>
      <c r="AL327" s="241"/>
      <c r="AM327" s="242"/>
      <c r="AN327" s="241"/>
      <c r="AO327" s="242"/>
      <c r="AP327" s="241"/>
      <c r="AQ327" s="242"/>
      <c r="AR327" s="241"/>
      <c r="AS327" s="242"/>
      <c r="AT327" s="241"/>
      <c r="AU327" s="241"/>
      <c r="AV327" s="256"/>
      <c r="AW327" s="241"/>
      <c r="AX327" s="256"/>
      <c r="AY327" s="241"/>
      <c r="AZ327" s="256"/>
      <c r="BA327" s="239"/>
      <c r="BB327" s="242"/>
      <c r="BC327" s="239"/>
      <c r="BD327" s="242"/>
      <c r="BE327" s="239"/>
      <c r="BF327" s="241"/>
      <c r="BG327" s="239"/>
      <c r="BH327" s="241"/>
      <c r="BI327" s="260"/>
      <c r="BJ327" s="241"/>
      <c r="BK327" s="260"/>
      <c r="BL327" s="239"/>
      <c r="BM327" s="256"/>
      <c r="BN327" s="241"/>
      <c r="BO327" s="243"/>
      <c r="BP327" s="241"/>
      <c r="BQ327" s="239"/>
      <c r="BR327" s="276"/>
      <c r="BS327" s="256"/>
      <c r="BT327" s="260"/>
      <c r="BU327" s="261"/>
      <c r="BV327" s="260"/>
      <c r="BW327" s="239"/>
      <c r="BX327" s="260"/>
      <c r="BY327" s="260"/>
      <c r="BZ327" s="239"/>
      <c r="CA327" s="260"/>
      <c r="CB327" s="239"/>
      <c r="CC327" s="260"/>
      <c r="CD327" s="539"/>
      <c r="CE327" s="239"/>
      <c r="CF327" s="276"/>
      <c r="CG327" s="256"/>
      <c r="CH327" s="259"/>
      <c r="CI327" s="347"/>
      <c r="CJ327" s="540"/>
      <c r="CK327" s="256"/>
      <c r="CL327" s="244">
        <v>1</v>
      </c>
      <c r="CM327" s="274">
        <f t="shared" si="5"/>
        <v>2015</v>
      </c>
      <c r="CN327" s="244">
        <f>IF('Grille de saisie'!CM327&lt;18,0,IF('Grille de saisie'!CM327&lt;40,1,IF('Grille de saisie'!CM327&lt;65,2,IF('Grille de saisie'!CM327&lt;100,3,4))))</f>
        <v>4</v>
      </c>
      <c r="CO327" s="236">
        <f>IF(AND('Grille de saisie'!C327=1,'Grille de saisie'!BZ327=0),1,IF(AND('Grille de saisie'!C327="",'Grille de saisie'!BZ327=""),3,IF(AND('Grille de saisie'!C327=5),3,2)))</f>
        <v>3</v>
      </c>
      <c r="CP327" s="236">
        <f>IF(AND('Grille de saisie'!C327=1,'Grille de saisie'!BZ327=0),1,IF(AND('Grille de saisie'!C327=1,'Grille de saisie'!BZ327=1),2,IF(AND('Grille de saisie'!C327=2,'Grille de saisie'!BZ327=0),2,IF(AND('Grille de saisie'!C327=3,'Grille de saisie'!BZ327=0),3,IF(AND('Grille de saisie'!C327=2,'Grille de saisie'!BZ327=1),3,IF(AND('Grille de saisie'!C327=1,'Grille de saisie'!BZ327=2),3,IF(AND('Grille de saisie'!C327="",'Grille de saisie'!BZ327=""),5,IF(AND('Grille de saisie'!C327=5),5,4))))))))</f>
        <v>5</v>
      </c>
      <c r="CQ327" s="237">
        <f>IF('Grille de saisie'!BZ327="",3,IF('Grille de saisie'!C327=5,3,IF('Grille de saisie'!BZ327=0,1,2)))</f>
        <v>3</v>
      </c>
    </row>
    <row r="328" spans="1:95" ht="15">
      <c r="A328" s="510">
        <v>326</v>
      </c>
      <c r="B328" s="240"/>
      <c r="C328" s="513"/>
      <c r="D328" s="240"/>
      <c r="E328" s="517"/>
      <c r="F328" s="265"/>
      <c r="G328" s="513"/>
      <c r="H328" s="265"/>
      <c r="I328" s="520"/>
      <c r="J328" s="241"/>
      <c r="K328" s="520"/>
      <c r="L328" s="241"/>
      <c r="M328" s="521"/>
      <c r="N328" s="241"/>
      <c r="O328" s="521"/>
      <c r="P328" s="241"/>
      <c r="Q328" s="520"/>
      <c r="R328" s="241"/>
      <c r="S328" s="520"/>
      <c r="T328" s="241"/>
      <c r="U328" s="520"/>
      <c r="V328" s="241"/>
      <c r="W328" s="242"/>
      <c r="X328" s="241"/>
      <c r="Y328" s="242"/>
      <c r="Z328" s="241"/>
      <c r="AA328" s="241"/>
      <c r="AB328" s="275"/>
      <c r="AC328" s="524"/>
      <c r="AD328" s="241"/>
      <c r="AE328" s="241"/>
      <c r="AF328" s="241"/>
      <c r="AG328" s="241"/>
      <c r="AH328" s="241"/>
      <c r="AI328" s="241"/>
      <c r="AJ328" s="529"/>
      <c r="AK328" s="258"/>
      <c r="AL328" s="241"/>
      <c r="AM328" s="242"/>
      <c r="AN328" s="241"/>
      <c r="AO328" s="242"/>
      <c r="AP328" s="241"/>
      <c r="AQ328" s="242"/>
      <c r="AR328" s="241"/>
      <c r="AS328" s="242"/>
      <c r="AT328" s="241"/>
      <c r="AU328" s="241"/>
      <c r="AV328" s="256"/>
      <c r="AW328" s="241"/>
      <c r="AX328" s="256"/>
      <c r="AY328" s="241"/>
      <c r="AZ328" s="256"/>
      <c r="BA328" s="239"/>
      <c r="BB328" s="242"/>
      <c r="BC328" s="239"/>
      <c r="BD328" s="242"/>
      <c r="BE328" s="239"/>
      <c r="BF328" s="241"/>
      <c r="BG328" s="239"/>
      <c r="BH328" s="241"/>
      <c r="BI328" s="260"/>
      <c r="BJ328" s="241"/>
      <c r="BK328" s="260"/>
      <c r="BL328" s="239"/>
      <c r="BM328" s="256"/>
      <c r="BN328" s="241"/>
      <c r="BO328" s="243"/>
      <c r="BP328" s="241"/>
      <c r="BQ328" s="239"/>
      <c r="BR328" s="276"/>
      <c r="BS328" s="256"/>
      <c r="BT328" s="260"/>
      <c r="BU328" s="261"/>
      <c r="BV328" s="260"/>
      <c r="BW328" s="239"/>
      <c r="BX328" s="260"/>
      <c r="BY328" s="260"/>
      <c r="BZ328" s="239"/>
      <c r="CA328" s="260"/>
      <c r="CB328" s="239"/>
      <c r="CC328" s="260"/>
      <c r="CD328" s="539"/>
      <c r="CE328" s="239"/>
      <c r="CF328" s="276"/>
      <c r="CG328" s="256"/>
      <c r="CH328" s="259"/>
      <c r="CI328" s="347"/>
      <c r="CJ328" s="540"/>
      <c r="CK328" s="256"/>
      <c r="CL328" s="244">
        <v>1</v>
      </c>
      <c r="CM328" s="274">
        <f t="shared" si="5"/>
        <v>2015</v>
      </c>
      <c r="CN328" s="244">
        <f>IF('Grille de saisie'!CM328&lt;18,0,IF('Grille de saisie'!CM328&lt;40,1,IF('Grille de saisie'!CM328&lt;65,2,IF('Grille de saisie'!CM328&lt;100,3,4))))</f>
        <v>4</v>
      </c>
      <c r="CO328" s="236">
        <f>IF(AND('Grille de saisie'!C328=1,'Grille de saisie'!BZ328=0),1,IF(AND('Grille de saisie'!C328="",'Grille de saisie'!BZ328=""),3,IF(AND('Grille de saisie'!C328=5),3,2)))</f>
        <v>3</v>
      </c>
      <c r="CP328" s="236">
        <f>IF(AND('Grille de saisie'!C328=1,'Grille de saisie'!BZ328=0),1,IF(AND('Grille de saisie'!C328=1,'Grille de saisie'!BZ328=1),2,IF(AND('Grille de saisie'!C328=2,'Grille de saisie'!BZ328=0),2,IF(AND('Grille de saisie'!C328=3,'Grille de saisie'!BZ328=0),3,IF(AND('Grille de saisie'!C328=2,'Grille de saisie'!BZ328=1),3,IF(AND('Grille de saisie'!C328=1,'Grille de saisie'!BZ328=2),3,IF(AND('Grille de saisie'!C328="",'Grille de saisie'!BZ328=""),5,IF(AND('Grille de saisie'!C328=5),5,4))))))))</f>
        <v>5</v>
      </c>
      <c r="CQ328" s="237">
        <f>IF('Grille de saisie'!BZ328="",3,IF('Grille de saisie'!C328=5,3,IF('Grille de saisie'!BZ328=0,1,2)))</f>
        <v>3</v>
      </c>
    </row>
    <row r="329" spans="1:95" ht="15">
      <c r="A329" s="510">
        <v>327</v>
      </c>
      <c r="B329" s="240"/>
      <c r="C329" s="513"/>
      <c r="D329" s="240"/>
      <c r="E329" s="517"/>
      <c r="F329" s="265"/>
      <c r="G329" s="513"/>
      <c r="H329" s="265"/>
      <c r="I329" s="520"/>
      <c r="J329" s="241"/>
      <c r="K329" s="520"/>
      <c r="L329" s="241"/>
      <c r="M329" s="521"/>
      <c r="N329" s="241"/>
      <c r="O329" s="521"/>
      <c r="P329" s="241"/>
      <c r="Q329" s="520"/>
      <c r="R329" s="241"/>
      <c r="S329" s="520"/>
      <c r="T329" s="241"/>
      <c r="U329" s="520"/>
      <c r="V329" s="241"/>
      <c r="W329" s="242"/>
      <c r="X329" s="241"/>
      <c r="Y329" s="242"/>
      <c r="Z329" s="241"/>
      <c r="AA329" s="241"/>
      <c r="AB329" s="275"/>
      <c r="AC329" s="524"/>
      <c r="AD329" s="241"/>
      <c r="AE329" s="241"/>
      <c r="AF329" s="241"/>
      <c r="AG329" s="241"/>
      <c r="AH329" s="241"/>
      <c r="AI329" s="241"/>
      <c r="AJ329" s="529"/>
      <c r="AK329" s="258"/>
      <c r="AL329" s="241"/>
      <c r="AM329" s="242"/>
      <c r="AN329" s="241"/>
      <c r="AO329" s="242"/>
      <c r="AP329" s="241"/>
      <c r="AQ329" s="242"/>
      <c r="AR329" s="241"/>
      <c r="AS329" s="242"/>
      <c r="AT329" s="241"/>
      <c r="AU329" s="241"/>
      <c r="AV329" s="256"/>
      <c r="AW329" s="241"/>
      <c r="AX329" s="256"/>
      <c r="AY329" s="241"/>
      <c r="AZ329" s="256"/>
      <c r="BA329" s="239"/>
      <c r="BB329" s="242"/>
      <c r="BC329" s="239"/>
      <c r="BD329" s="242"/>
      <c r="BE329" s="239"/>
      <c r="BF329" s="241"/>
      <c r="BG329" s="239"/>
      <c r="BH329" s="241"/>
      <c r="BI329" s="260"/>
      <c r="BJ329" s="241"/>
      <c r="BK329" s="260"/>
      <c r="BL329" s="239"/>
      <c r="BM329" s="256"/>
      <c r="BN329" s="241"/>
      <c r="BO329" s="243"/>
      <c r="BP329" s="241"/>
      <c r="BQ329" s="239"/>
      <c r="BR329" s="276"/>
      <c r="BS329" s="256"/>
      <c r="BT329" s="260"/>
      <c r="BU329" s="261"/>
      <c r="BV329" s="260"/>
      <c r="BW329" s="239"/>
      <c r="BX329" s="260"/>
      <c r="BY329" s="260"/>
      <c r="BZ329" s="239"/>
      <c r="CA329" s="260"/>
      <c r="CB329" s="239"/>
      <c r="CC329" s="260"/>
      <c r="CD329" s="539"/>
      <c r="CE329" s="239"/>
      <c r="CF329" s="276"/>
      <c r="CG329" s="256"/>
      <c r="CH329" s="259"/>
      <c r="CI329" s="347"/>
      <c r="CJ329" s="540"/>
      <c r="CK329" s="256"/>
      <c r="CL329" s="244">
        <v>1</v>
      </c>
      <c r="CM329" s="274">
        <f t="shared" si="5"/>
        <v>2015</v>
      </c>
      <c r="CN329" s="244">
        <f>IF('Grille de saisie'!CM329&lt;18,0,IF('Grille de saisie'!CM329&lt;40,1,IF('Grille de saisie'!CM329&lt;65,2,IF('Grille de saisie'!CM329&lt;100,3,4))))</f>
        <v>4</v>
      </c>
      <c r="CO329" s="236">
        <f>IF(AND('Grille de saisie'!C329=1,'Grille de saisie'!BZ329=0),1,IF(AND('Grille de saisie'!C329="",'Grille de saisie'!BZ329=""),3,IF(AND('Grille de saisie'!C329=5),3,2)))</f>
        <v>3</v>
      </c>
      <c r="CP329" s="236">
        <f>IF(AND('Grille de saisie'!C329=1,'Grille de saisie'!BZ329=0),1,IF(AND('Grille de saisie'!C329=1,'Grille de saisie'!BZ329=1),2,IF(AND('Grille de saisie'!C329=2,'Grille de saisie'!BZ329=0),2,IF(AND('Grille de saisie'!C329=3,'Grille de saisie'!BZ329=0),3,IF(AND('Grille de saisie'!C329=2,'Grille de saisie'!BZ329=1),3,IF(AND('Grille de saisie'!C329=1,'Grille de saisie'!BZ329=2),3,IF(AND('Grille de saisie'!C329="",'Grille de saisie'!BZ329=""),5,IF(AND('Grille de saisie'!C329=5),5,4))))))))</f>
        <v>5</v>
      </c>
      <c r="CQ329" s="237">
        <f>IF('Grille de saisie'!BZ329="",3,IF('Grille de saisie'!C329=5,3,IF('Grille de saisie'!BZ329=0,1,2)))</f>
        <v>3</v>
      </c>
    </row>
    <row r="330" spans="1:95" ht="15">
      <c r="A330" s="511">
        <v>328</v>
      </c>
      <c r="B330" s="240"/>
      <c r="C330" s="513"/>
      <c r="D330" s="240"/>
      <c r="E330" s="517"/>
      <c r="F330" s="265"/>
      <c r="G330" s="513"/>
      <c r="H330" s="265"/>
      <c r="I330" s="520"/>
      <c r="J330" s="241"/>
      <c r="K330" s="520"/>
      <c r="L330" s="241"/>
      <c r="M330" s="521"/>
      <c r="N330" s="241"/>
      <c r="O330" s="521"/>
      <c r="P330" s="241"/>
      <c r="Q330" s="520"/>
      <c r="R330" s="241"/>
      <c r="S330" s="520"/>
      <c r="T330" s="241"/>
      <c r="U330" s="520"/>
      <c r="V330" s="241"/>
      <c r="W330" s="242"/>
      <c r="X330" s="241"/>
      <c r="Y330" s="242"/>
      <c r="Z330" s="241"/>
      <c r="AA330" s="241"/>
      <c r="AB330" s="275"/>
      <c r="AC330" s="524"/>
      <c r="AD330" s="241"/>
      <c r="AE330" s="241"/>
      <c r="AF330" s="241"/>
      <c r="AG330" s="241"/>
      <c r="AH330" s="241"/>
      <c r="AI330" s="241"/>
      <c r="AJ330" s="529"/>
      <c r="AK330" s="258"/>
      <c r="AL330" s="241"/>
      <c r="AM330" s="242"/>
      <c r="AN330" s="241"/>
      <c r="AO330" s="242"/>
      <c r="AP330" s="241"/>
      <c r="AQ330" s="242"/>
      <c r="AR330" s="241"/>
      <c r="AS330" s="242"/>
      <c r="AT330" s="241"/>
      <c r="AU330" s="241"/>
      <c r="AV330" s="256"/>
      <c r="AW330" s="241"/>
      <c r="AX330" s="256"/>
      <c r="AY330" s="241"/>
      <c r="AZ330" s="256"/>
      <c r="BA330" s="239"/>
      <c r="BB330" s="242"/>
      <c r="BC330" s="239"/>
      <c r="BD330" s="242"/>
      <c r="BE330" s="239"/>
      <c r="BF330" s="241"/>
      <c r="BG330" s="239"/>
      <c r="BH330" s="241"/>
      <c r="BI330" s="260"/>
      <c r="BJ330" s="241"/>
      <c r="BK330" s="260"/>
      <c r="BL330" s="239"/>
      <c r="BM330" s="256"/>
      <c r="BN330" s="241"/>
      <c r="BO330" s="243"/>
      <c r="BP330" s="241"/>
      <c r="BQ330" s="239"/>
      <c r="BR330" s="276"/>
      <c r="BS330" s="256"/>
      <c r="BT330" s="260"/>
      <c r="BU330" s="261"/>
      <c r="BV330" s="260"/>
      <c r="BW330" s="239"/>
      <c r="BX330" s="260"/>
      <c r="BY330" s="260"/>
      <c r="BZ330" s="239"/>
      <c r="CA330" s="260"/>
      <c r="CB330" s="239"/>
      <c r="CC330" s="260"/>
      <c r="CD330" s="539"/>
      <c r="CE330" s="239"/>
      <c r="CF330" s="276"/>
      <c r="CG330" s="256"/>
      <c r="CH330" s="259"/>
      <c r="CI330" s="347"/>
      <c r="CJ330" s="540"/>
      <c r="CK330" s="256"/>
      <c r="CL330" s="244">
        <v>1</v>
      </c>
      <c r="CM330" s="274">
        <f t="shared" si="5"/>
        <v>2015</v>
      </c>
      <c r="CN330" s="244">
        <f>IF('Grille de saisie'!CM330&lt;18,0,IF('Grille de saisie'!CM330&lt;40,1,IF('Grille de saisie'!CM330&lt;65,2,IF('Grille de saisie'!CM330&lt;100,3,4))))</f>
        <v>4</v>
      </c>
      <c r="CO330" s="236">
        <f>IF(AND('Grille de saisie'!C330=1,'Grille de saisie'!BZ330=0),1,IF(AND('Grille de saisie'!C330="",'Grille de saisie'!BZ330=""),3,IF(AND('Grille de saisie'!C330=5),3,2)))</f>
        <v>3</v>
      </c>
      <c r="CP330" s="236">
        <f>IF(AND('Grille de saisie'!C330=1,'Grille de saisie'!BZ330=0),1,IF(AND('Grille de saisie'!C330=1,'Grille de saisie'!BZ330=1),2,IF(AND('Grille de saisie'!C330=2,'Grille de saisie'!BZ330=0),2,IF(AND('Grille de saisie'!C330=3,'Grille de saisie'!BZ330=0),3,IF(AND('Grille de saisie'!C330=2,'Grille de saisie'!BZ330=1),3,IF(AND('Grille de saisie'!C330=1,'Grille de saisie'!BZ330=2),3,IF(AND('Grille de saisie'!C330="",'Grille de saisie'!BZ330=""),5,IF(AND('Grille de saisie'!C330=5),5,4))))))))</f>
        <v>5</v>
      </c>
      <c r="CQ330" s="237">
        <f>IF('Grille de saisie'!BZ330="",3,IF('Grille de saisie'!C330=5,3,IF('Grille de saisie'!BZ330=0,1,2)))</f>
        <v>3</v>
      </c>
    </row>
    <row r="331" spans="1:95" ht="15">
      <c r="A331" s="510">
        <v>329</v>
      </c>
      <c r="B331" s="240"/>
      <c r="C331" s="513"/>
      <c r="D331" s="240"/>
      <c r="E331" s="517"/>
      <c r="F331" s="265"/>
      <c r="G331" s="513"/>
      <c r="H331" s="265"/>
      <c r="I331" s="520"/>
      <c r="J331" s="241"/>
      <c r="K331" s="520"/>
      <c r="L331" s="241"/>
      <c r="M331" s="521"/>
      <c r="N331" s="241"/>
      <c r="O331" s="521"/>
      <c r="P331" s="241"/>
      <c r="Q331" s="520"/>
      <c r="R331" s="241"/>
      <c r="S331" s="520"/>
      <c r="T331" s="241"/>
      <c r="U331" s="520"/>
      <c r="V331" s="241"/>
      <c r="W331" s="242"/>
      <c r="X331" s="241"/>
      <c r="Y331" s="242"/>
      <c r="Z331" s="241"/>
      <c r="AA331" s="241"/>
      <c r="AB331" s="275"/>
      <c r="AC331" s="524"/>
      <c r="AD331" s="241"/>
      <c r="AE331" s="241"/>
      <c r="AF331" s="241"/>
      <c r="AG331" s="241"/>
      <c r="AH331" s="241"/>
      <c r="AI331" s="241"/>
      <c r="AJ331" s="529"/>
      <c r="AK331" s="258"/>
      <c r="AL331" s="241"/>
      <c r="AM331" s="242"/>
      <c r="AN331" s="241"/>
      <c r="AO331" s="242"/>
      <c r="AP331" s="241"/>
      <c r="AQ331" s="242"/>
      <c r="AR331" s="241"/>
      <c r="AS331" s="242"/>
      <c r="AT331" s="241"/>
      <c r="AU331" s="241"/>
      <c r="AV331" s="256"/>
      <c r="AW331" s="241"/>
      <c r="AX331" s="256"/>
      <c r="AY331" s="241"/>
      <c r="AZ331" s="256"/>
      <c r="BA331" s="239"/>
      <c r="BB331" s="242"/>
      <c r="BC331" s="239"/>
      <c r="BD331" s="242"/>
      <c r="BE331" s="239"/>
      <c r="BF331" s="241"/>
      <c r="BG331" s="239"/>
      <c r="BH331" s="241"/>
      <c r="BI331" s="260"/>
      <c r="BJ331" s="241"/>
      <c r="BK331" s="260"/>
      <c r="BL331" s="239"/>
      <c r="BM331" s="256"/>
      <c r="BN331" s="241"/>
      <c r="BO331" s="243"/>
      <c r="BP331" s="241"/>
      <c r="BQ331" s="239"/>
      <c r="BR331" s="276"/>
      <c r="BS331" s="256"/>
      <c r="BT331" s="260"/>
      <c r="BU331" s="261"/>
      <c r="BV331" s="260"/>
      <c r="BW331" s="239"/>
      <c r="BX331" s="260"/>
      <c r="BY331" s="260"/>
      <c r="BZ331" s="239"/>
      <c r="CA331" s="260"/>
      <c r="CB331" s="239"/>
      <c r="CC331" s="260"/>
      <c r="CD331" s="539"/>
      <c r="CE331" s="239"/>
      <c r="CF331" s="276"/>
      <c r="CG331" s="256"/>
      <c r="CH331" s="259"/>
      <c r="CI331" s="347"/>
      <c r="CJ331" s="540"/>
      <c r="CK331" s="256"/>
      <c r="CL331" s="244">
        <v>1</v>
      </c>
      <c r="CM331" s="274">
        <f t="shared" si="5"/>
        <v>2015</v>
      </c>
      <c r="CN331" s="244">
        <f>IF('Grille de saisie'!CM331&lt;18,0,IF('Grille de saisie'!CM331&lt;40,1,IF('Grille de saisie'!CM331&lt;65,2,IF('Grille de saisie'!CM331&lt;100,3,4))))</f>
        <v>4</v>
      </c>
      <c r="CO331" s="236">
        <f>IF(AND('Grille de saisie'!C331=1,'Grille de saisie'!BZ331=0),1,IF(AND('Grille de saisie'!C331="",'Grille de saisie'!BZ331=""),3,IF(AND('Grille de saisie'!C331=5),3,2)))</f>
        <v>3</v>
      </c>
      <c r="CP331" s="236">
        <f>IF(AND('Grille de saisie'!C331=1,'Grille de saisie'!BZ331=0),1,IF(AND('Grille de saisie'!C331=1,'Grille de saisie'!BZ331=1),2,IF(AND('Grille de saisie'!C331=2,'Grille de saisie'!BZ331=0),2,IF(AND('Grille de saisie'!C331=3,'Grille de saisie'!BZ331=0),3,IF(AND('Grille de saisie'!C331=2,'Grille de saisie'!BZ331=1),3,IF(AND('Grille de saisie'!C331=1,'Grille de saisie'!BZ331=2),3,IF(AND('Grille de saisie'!C331="",'Grille de saisie'!BZ331=""),5,IF(AND('Grille de saisie'!C331=5),5,4))))))))</f>
        <v>5</v>
      </c>
      <c r="CQ331" s="237">
        <f>IF('Grille de saisie'!BZ331="",3,IF('Grille de saisie'!C331=5,3,IF('Grille de saisie'!BZ331=0,1,2)))</f>
        <v>3</v>
      </c>
    </row>
    <row r="332" spans="1:95" ht="15">
      <c r="A332" s="510">
        <v>330</v>
      </c>
      <c r="B332" s="240"/>
      <c r="C332" s="513"/>
      <c r="D332" s="240"/>
      <c r="E332" s="517"/>
      <c r="F332" s="265"/>
      <c r="G332" s="513"/>
      <c r="H332" s="265"/>
      <c r="I332" s="520"/>
      <c r="J332" s="241"/>
      <c r="K332" s="520"/>
      <c r="L332" s="241"/>
      <c r="M332" s="521"/>
      <c r="N332" s="241"/>
      <c r="O332" s="521"/>
      <c r="P332" s="241"/>
      <c r="Q332" s="520"/>
      <c r="R332" s="241"/>
      <c r="S332" s="520"/>
      <c r="T332" s="241"/>
      <c r="U332" s="520"/>
      <c r="V332" s="241"/>
      <c r="W332" s="242"/>
      <c r="X332" s="241"/>
      <c r="Y332" s="242"/>
      <c r="Z332" s="241"/>
      <c r="AA332" s="241"/>
      <c r="AB332" s="275"/>
      <c r="AC332" s="524"/>
      <c r="AD332" s="241"/>
      <c r="AE332" s="241"/>
      <c r="AF332" s="241"/>
      <c r="AG332" s="241"/>
      <c r="AH332" s="241"/>
      <c r="AI332" s="241"/>
      <c r="AJ332" s="529"/>
      <c r="AK332" s="258"/>
      <c r="AL332" s="241"/>
      <c r="AM332" s="242"/>
      <c r="AN332" s="241"/>
      <c r="AO332" s="242"/>
      <c r="AP332" s="241"/>
      <c r="AQ332" s="242"/>
      <c r="AR332" s="241"/>
      <c r="AS332" s="242"/>
      <c r="AT332" s="241"/>
      <c r="AU332" s="241"/>
      <c r="AV332" s="256"/>
      <c r="AW332" s="241"/>
      <c r="AX332" s="256"/>
      <c r="AY332" s="241"/>
      <c r="AZ332" s="256"/>
      <c r="BA332" s="239"/>
      <c r="BB332" s="242"/>
      <c r="BC332" s="239"/>
      <c r="BD332" s="242"/>
      <c r="BE332" s="239"/>
      <c r="BF332" s="241"/>
      <c r="BG332" s="239"/>
      <c r="BH332" s="241"/>
      <c r="BI332" s="260"/>
      <c r="BJ332" s="241"/>
      <c r="BK332" s="260"/>
      <c r="BL332" s="239"/>
      <c r="BM332" s="256"/>
      <c r="BN332" s="241"/>
      <c r="BO332" s="243"/>
      <c r="BP332" s="241"/>
      <c r="BQ332" s="239"/>
      <c r="BR332" s="276"/>
      <c r="BS332" s="256"/>
      <c r="BT332" s="260"/>
      <c r="BU332" s="261"/>
      <c r="BV332" s="260"/>
      <c r="BW332" s="239"/>
      <c r="BX332" s="260"/>
      <c r="BY332" s="260"/>
      <c r="BZ332" s="239"/>
      <c r="CA332" s="260"/>
      <c r="CB332" s="239"/>
      <c r="CC332" s="260"/>
      <c r="CD332" s="539"/>
      <c r="CE332" s="239"/>
      <c r="CF332" s="276"/>
      <c r="CG332" s="256"/>
      <c r="CH332" s="259"/>
      <c r="CI332" s="347"/>
      <c r="CJ332" s="540"/>
      <c r="CK332" s="256"/>
      <c r="CL332" s="244">
        <v>1</v>
      </c>
      <c r="CM332" s="274">
        <f t="shared" si="5"/>
        <v>2015</v>
      </c>
      <c r="CN332" s="244">
        <f>IF('Grille de saisie'!CM332&lt;18,0,IF('Grille de saisie'!CM332&lt;40,1,IF('Grille de saisie'!CM332&lt;65,2,IF('Grille de saisie'!CM332&lt;100,3,4))))</f>
        <v>4</v>
      </c>
      <c r="CO332" s="236">
        <f>IF(AND('Grille de saisie'!C332=1,'Grille de saisie'!BZ332=0),1,IF(AND('Grille de saisie'!C332="",'Grille de saisie'!BZ332=""),3,IF(AND('Grille de saisie'!C332=5),3,2)))</f>
        <v>3</v>
      </c>
      <c r="CP332" s="236">
        <f>IF(AND('Grille de saisie'!C332=1,'Grille de saisie'!BZ332=0),1,IF(AND('Grille de saisie'!C332=1,'Grille de saisie'!BZ332=1),2,IF(AND('Grille de saisie'!C332=2,'Grille de saisie'!BZ332=0),2,IF(AND('Grille de saisie'!C332=3,'Grille de saisie'!BZ332=0),3,IF(AND('Grille de saisie'!C332=2,'Grille de saisie'!BZ332=1),3,IF(AND('Grille de saisie'!C332=1,'Grille de saisie'!BZ332=2),3,IF(AND('Grille de saisie'!C332="",'Grille de saisie'!BZ332=""),5,IF(AND('Grille de saisie'!C332=5),5,4))))))))</f>
        <v>5</v>
      </c>
      <c r="CQ332" s="237">
        <f>IF('Grille de saisie'!BZ332="",3,IF('Grille de saisie'!C332=5,3,IF('Grille de saisie'!BZ332=0,1,2)))</f>
        <v>3</v>
      </c>
    </row>
    <row r="333" spans="1:95" ht="15">
      <c r="A333" s="511">
        <v>331</v>
      </c>
      <c r="B333" s="240"/>
      <c r="C333" s="513"/>
      <c r="D333" s="240"/>
      <c r="E333" s="517"/>
      <c r="F333" s="265"/>
      <c r="G333" s="513"/>
      <c r="H333" s="265"/>
      <c r="I333" s="520"/>
      <c r="J333" s="241"/>
      <c r="K333" s="520"/>
      <c r="L333" s="241"/>
      <c r="M333" s="521"/>
      <c r="N333" s="241"/>
      <c r="O333" s="521"/>
      <c r="P333" s="241"/>
      <c r="Q333" s="520"/>
      <c r="R333" s="241"/>
      <c r="S333" s="520"/>
      <c r="T333" s="241"/>
      <c r="U333" s="520"/>
      <c r="V333" s="241"/>
      <c r="W333" s="242"/>
      <c r="X333" s="241"/>
      <c r="Y333" s="242"/>
      <c r="Z333" s="241"/>
      <c r="AA333" s="241"/>
      <c r="AB333" s="275"/>
      <c r="AC333" s="524"/>
      <c r="AD333" s="241"/>
      <c r="AE333" s="241"/>
      <c r="AF333" s="241"/>
      <c r="AG333" s="241"/>
      <c r="AH333" s="241"/>
      <c r="AI333" s="241"/>
      <c r="AJ333" s="529"/>
      <c r="AK333" s="258"/>
      <c r="AL333" s="241"/>
      <c r="AM333" s="242"/>
      <c r="AN333" s="241"/>
      <c r="AO333" s="242"/>
      <c r="AP333" s="241"/>
      <c r="AQ333" s="242"/>
      <c r="AR333" s="241"/>
      <c r="AS333" s="242"/>
      <c r="AT333" s="241"/>
      <c r="AU333" s="241"/>
      <c r="AV333" s="256"/>
      <c r="AW333" s="241"/>
      <c r="AX333" s="256"/>
      <c r="AY333" s="241"/>
      <c r="AZ333" s="256"/>
      <c r="BA333" s="239"/>
      <c r="BB333" s="242"/>
      <c r="BC333" s="239"/>
      <c r="BD333" s="242"/>
      <c r="BE333" s="239"/>
      <c r="BF333" s="241"/>
      <c r="BG333" s="239"/>
      <c r="BH333" s="241"/>
      <c r="BI333" s="260"/>
      <c r="BJ333" s="241"/>
      <c r="BK333" s="260"/>
      <c r="BL333" s="239"/>
      <c r="BM333" s="256"/>
      <c r="BN333" s="241"/>
      <c r="BO333" s="243"/>
      <c r="BP333" s="241"/>
      <c r="BQ333" s="239"/>
      <c r="BR333" s="276"/>
      <c r="BS333" s="256"/>
      <c r="BT333" s="260"/>
      <c r="BU333" s="261"/>
      <c r="BV333" s="260"/>
      <c r="BW333" s="239"/>
      <c r="BX333" s="260"/>
      <c r="BY333" s="260"/>
      <c r="BZ333" s="239"/>
      <c r="CA333" s="260"/>
      <c r="CB333" s="239"/>
      <c r="CC333" s="260"/>
      <c r="CD333" s="539"/>
      <c r="CE333" s="239"/>
      <c r="CF333" s="276"/>
      <c r="CG333" s="256"/>
      <c r="CH333" s="259"/>
      <c r="CI333" s="347"/>
      <c r="CJ333" s="540"/>
      <c r="CK333" s="256"/>
      <c r="CL333" s="244">
        <v>1</v>
      </c>
      <c r="CM333" s="274">
        <f t="shared" si="5"/>
        <v>2015</v>
      </c>
      <c r="CN333" s="244">
        <f>IF('Grille de saisie'!CM333&lt;18,0,IF('Grille de saisie'!CM333&lt;40,1,IF('Grille de saisie'!CM333&lt;65,2,IF('Grille de saisie'!CM333&lt;100,3,4))))</f>
        <v>4</v>
      </c>
      <c r="CO333" s="236">
        <f>IF(AND('Grille de saisie'!C333=1,'Grille de saisie'!BZ333=0),1,IF(AND('Grille de saisie'!C333="",'Grille de saisie'!BZ333=""),3,IF(AND('Grille de saisie'!C333=5),3,2)))</f>
        <v>3</v>
      </c>
      <c r="CP333" s="236">
        <f>IF(AND('Grille de saisie'!C333=1,'Grille de saisie'!BZ333=0),1,IF(AND('Grille de saisie'!C333=1,'Grille de saisie'!BZ333=1),2,IF(AND('Grille de saisie'!C333=2,'Grille de saisie'!BZ333=0),2,IF(AND('Grille de saisie'!C333=3,'Grille de saisie'!BZ333=0),3,IF(AND('Grille de saisie'!C333=2,'Grille de saisie'!BZ333=1),3,IF(AND('Grille de saisie'!C333=1,'Grille de saisie'!BZ333=2),3,IF(AND('Grille de saisie'!C333="",'Grille de saisie'!BZ333=""),5,IF(AND('Grille de saisie'!C333=5),5,4))))))))</f>
        <v>5</v>
      </c>
      <c r="CQ333" s="237">
        <f>IF('Grille de saisie'!BZ333="",3,IF('Grille de saisie'!C333=5,3,IF('Grille de saisie'!BZ333=0,1,2)))</f>
        <v>3</v>
      </c>
    </row>
    <row r="334" spans="1:95" ht="15">
      <c r="A334" s="510">
        <v>332</v>
      </c>
      <c r="B334" s="240"/>
      <c r="C334" s="513"/>
      <c r="D334" s="240"/>
      <c r="E334" s="517"/>
      <c r="F334" s="265"/>
      <c r="G334" s="513"/>
      <c r="H334" s="265"/>
      <c r="I334" s="520"/>
      <c r="J334" s="241"/>
      <c r="K334" s="520"/>
      <c r="L334" s="241"/>
      <c r="M334" s="521"/>
      <c r="N334" s="241"/>
      <c r="O334" s="521"/>
      <c r="P334" s="241"/>
      <c r="Q334" s="520"/>
      <c r="R334" s="241"/>
      <c r="S334" s="520"/>
      <c r="T334" s="241"/>
      <c r="U334" s="520"/>
      <c r="V334" s="241"/>
      <c r="W334" s="242"/>
      <c r="X334" s="241"/>
      <c r="Y334" s="242"/>
      <c r="Z334" s="241"/>
      <c r="AA334" s="241"/>
      <c r="AB334" s="275"/>
      <c r="AC334" s="524"/>
      <c r="AD334" s="241"/>
      <c r="AE334" s="241"/>
      <c r="AF334" s="241"/>
      <c r="AG334" s="241"/>
      <c r="AH334" s="241"/>
      <c r="AI334" s="241"/>
      <c r="AJ334" s="529"/>
      <c r="AK334" s="258"/>
      <c r="AL334" s="241"/>
      <c r="AM334" s="242"/>
      <c r="AN334" s="241"/>
      <c r="AO334" s="242"/>
      <c r="AP334" s="241"/>
      <c r="AQ334" s="242"/>
      <c r="AR334" s="241"/>
      <c r="AS334" s="242"/>
      <c r="AT334" s="241"/>
      <c r="AU334" s="241"/>
      <c r="AV334" s="256"/>
      <c r="AW334" s="241"/>
      <c r="AX334" s="256"/>
      <c r="AY334" s="241"/>
      <c r="AZ334" s="256"/>
      <c r="BA334" s="239"/>
      <c r="BB334" s="242"/>
      <c r="BC334" s="239"/>
      <c r="BD334" s="242"/>
      <c r="BE334" s="239"/>
      <c r="BF334" s="241"/>
      <c r="BG334" s="239"/>
      <c r="BH334" s="241"/>
      <c r="BI334" s="260"/>
      <c r="BJ334" s="241"/>
      <c r="BK334" s="260"/>
      <c r="BL334" s="239"/>
      <c r="BM334" s="256"/>
      <c r="BN334" s="241"/>
      <c r="BO334" s="243"/>
      <c r="BP334" s="241"/>
      <c r="BQ334" s="239"/>
      <c r="BR334" s="276"/>
      <c r="BS334" s="256"/>
      <c r="BT334" s="260"/>
      <c r="BU334" s="261"/>
      <c r="BV334" s="260"/>
      <c r="BW334" s="239"/>
      <c r="BX334" s="260"/>
      <c r="BY334" s="260"/>
      <c r="BZ334" s="239"/>
      <c r="CA334" s="260"/>
      <c r="CB334" s="239"/>
      <c r="CC334" s="260"/>
      <c r="CD334" s="539"/>
      <c r="CE334" s="239"/>
      <c r="CF334" s="276"/>
      <c r="CG334" s="256"/>
      <c r="CH334" s="259"/>
      <c r="CI334" s="347"/>
      <c r="CJ334" s="540"/>
      <c r="CK334" s="256"/>
      <c r="CL334" s="244">
        <v>1</v>
      </c>
      <c r="CM334" s="274">
        <f t="shared" si="5"/>
        <v>2015</v>
      </c>
      <c r="CN334" s="244">
        <f>IF('Grille de saisie'!CM334&lt;18,0,IF('Grille de saisie'!CM334&lt;40,1,IF('Grille de saisie'!CM334&lt;65,2,IF('Grille de saisie'!CM334&lt;100,3,4))))</f>
        <v>4</v>
      </c>
      <c r="CO334" s="236">
        <f>IF(AND('Grille de saisie'!C334=1,'Grille de saisie'!BZ334=0),1,IF(AND('Grille de saisie'!C334="",'Grille de saisie'!BZ334=""),3,IF(AND('Grille de saisie'!C334=5),3,2)))</f>
        <v>3</v>
      </c>
      <c r="CP334" s="236">
        <f>IF(AND('Grille de saisie'!C334=1,'Grille de saisie'!BZ334=0),1,IF(AND('Grille de saisie'!C334=1,'Grille de saisie'!BZ334=1),2,IF(AND('Grille de saisie'!C334=2,'Grille de saisie'!BZ334=0),2,IF(AND('Grille de saisie'!C334=3,'Grille de saisie'!BZ334=0),3,IF(AND('Grille de saisie'!C334=2,'Grille de saisie'!BZ334=1),3,IF(AND('Grille de saisie'!C334=1,'Grille de saisie'!BZ334=2),3,IF(AND('Grille de saisie'!C334="",'Grille de saisie'!BZ334=""),5,IF(AND('Grille de saisie'!C334=5),5,4))))))))</f>
        <v>5</v>
      </c>
      <c r="CQ334" s="237">
        <f>IF('Grille de saisie'!BZ334="",3,IF('Grille de saisie'!C334=5,3,IF('Grille de saisie'!BZ334=0,1,2)))</f>
        <v>3</v>
      </c>
    </row>
    <row r="335" spans="1:95" ht="15">
      <c r="A335" s="510">
        <v>333</v>
      </c>
      <c r="B335" s="240"/>
      <c r="C335" s="513"/>
      <c r="D335" s="240"/>
      <c r="E335" s="517"/>
      <c r="F335" s="265"/>
      <c r="G335" s="513"/>
      <c r="H335" s="265"/>
      <c r="I335" s="520"/>
      <c r="J335" s="241"/>
      <c r="K335" s="520"/>
      <c r="L335" s="241"/>
      <c r="M335" s="521"/>
      <c r="N335" s="241"/>
      <c r="O335" s="521"/>
      <c r="P335" s="241"/>
      <c r="Q335" s="520"/>
      <c r="R335" s="241"/>
      <c r="S335" s="520"/>
      <c r="T335" s="241"/>
      <c r="U335" s="520"/>
      <c r="V335" s="241"/>
      <c r="W335" s="242"/>
      <c r="X335" s="241"/>
      <c r="Y335" s="242"/>
      <c r="Z335" s="241"/>
      <c r="AA335" s="241"/>
      <c r="AB335" s="275"/>
      <c r="AC335" s="524"/>
      <c r="AD335" s="241"/>
      <c r="AE335" s="241"/>
      <c r="AF335" s="241"/>
      <c r="AG335" s="241"/>
      <c r="AH335" s="241"/>
      <c r="AI335" s="241"/>
      <c r="AJ335" s="529"/>
      <c r="AK335" s="258"/>
      <c r="AL335" s="241"/>
      <c r="AM335" s="242"/>
      <c r="AN335" s="241"/>
      <c r="AO335" s="242"/>
      <c r="AP335" s="241"/>
      <c r="AQ335" s="242"/>
      <c r="AR335" s="241"/>
      <c r="AS335" s="242"/>
      <c r="AT335" s="241"/>
      <c r="AU335" s="241"/>
      <c r="AV335" s="256"/>
      <c r="AW335" s="241"/>
      <c r="AX335" s="256"/>
      <c r="AY335" s="241"/>
      <c r="AZ335" s="256"/>
      <c r="BA335" s="239"/>
      <c r="BB335" s="242"/>
      <c r="BC335" s="239"/>
      <c r="BD335" s="242"/>
      <c r="BE335" s="239"/>
      <c r="BF335" s="241"/>
      <c r="BG335" s="239"/>
      <c r="BH335" s="241"/>
      <c r="BI335" s="260"/>
      <c r="BJ335" s="241"/>
      <c r="BK335" s="260"/>
      <c r="BL335" s="239"/>
      <c r="BM335" s="256"/>
      <c r="BN335" s="241"/>
      <c r="BO335" s="243"/>
      <c r="BP335" s="241"/>
      <c r="BQ335" s="239"/>
      <c r="BR335" s="276"/>
      <c r="BS335" s="256"/>
      <c r="BT335" s="260"/>
      <c r="BU335" s="261"/>
      <c r="BV335" s="260"/>
      <c r="BW335" s="239"/>
      <c r="BX335" s="260"/>
      <c r="BY335" s="260"/>
      <c r="BZ335" s="239"/>
      <c r="CA335" s="260"/>
      <c r="CB335" s="239"/>
      <c r="CC335" s="260"/>
      <c r="CD335" s="539"/>
      <c r="CE335" s="239"/>
      <c r="CF335" s="276"/>
      <c r="CG335" s="256"/>
      <c r="CH335" s="259"/>
      <c r="CI335" s="347"/>
      <c r="CJ335" s="540"/>
      <c r="CK335" s="256"/>
      <c r="CL335" s="244">
        <v>1</v>
      </c>
      <c r="CM335" s="274">
        <f t="shared" si="5"/>
        <v>2015</v>
      </c>
      <c r="CN335" s="244">
        <f>IF('Grille de saisie'!CM335&lt;18,0,IF('Grille de saisie'!CM335&lt;40,1,IF('Grille de saisie'!CM335&lt;65,2,IF('Grille de saisie'!CM335&lt;100,3,4))))</f>
        <v>4</v>
      </c>
      <c r="CO335" s="236">
        <f>IF(AND('Grille de saisie'!C335=1,'Grille de saisie'!BZ335=0),1,IF(AND('Grille de saisie'!C335="",'Grille de saisie'!BZ335=""),3,IF(AND('Grille de saisie'!C335=5),3,2)))</f>
        <v>3</v>
      </c>
      <c r="CP335" s="236">
        <f>IF(AND('Grille de saisie'!C335=1,'Grille de saisie'!BZ335=0),1,IF(AND('Grille de saisie'!C335=1,'Grille de saisie'!BZ335=1),2,IF(AND('Grille de saisie'!C335=2,'Grille de saisie'!BZ335=0),2,IF(AND('Grille de saisie'!C335=3,'Grille de saisie'!BZ335=0),3,IF(AND('Grille de saisie'!C335=2,'Grille de saisie'!BZ335=1),3,IF(AND('Grille de saisie'!C335=1,'Grille de saisie'!BZ335=2),3,IF(AND('Grille de saisie'!C335="",'Grille de saisie'!BZ335=""),5,IF(AND('Grille de saisie'!C335=5),5,4))))))))</f>
        <v>5</v>
      </c>
      <c r="CQ335" s="237">
        <f>IF('Grille de saisie'!BZ335="",3,IF('Grille de saisie'!C335=5,3,IF('Grille de saisie'!BZ335=0,1,2)))</f>
        <v>3</v>
      </c>
    </row>
    <row r="336" spans="1:95" ht="15">
      <c r="A336" s="511">
        <v>334</v>
      </c>
      <c r="B336" s="240"/>
      <c r="C336" s="513"/>
      <c r="D336" s="240"/>
      <c r="E336" s="517"/>
      <c r="F336" s="265"/>
      <c r="G336" s="513"/>
      <c r="H336" s="265"/>
      <c r="I336" s="520"/>
      <c r="J336" s="241"/>
      <c r="K336" s="520"/>
      <c r="L336" s="241"/>
      <c r="M336" s="521"/>
      <c r="N336" s="241"/>
      <c r="O336" s="521"/>
      <c r="P336" s="241"/>
      <c r="Q336" s="520"/>
      <c r="R336" s="241"/>
      <c r="S336" s="520"/>
      <c r="T336" s="241"/>
      <c r="U336" s="520"/>
      <c r="V336" s="241"/>
      <c r="W336" s="242"/>
      <c r="X336" s="241"/>
      <c r="Y336" s="242"/>
      <c r="Z336" s="241"/>
      <c r="AA336" s="241"/>
      <c r="AB336" s="275"/>
      <c r="AC336" s="524"/>
      <c r="AD336" s="241"/>
      <c r="AE336" s="241"/>
      <c r="AF336" s="241"/>
      <c r="AG336" s="241"/>
      <c r="AH336" s="241"/>
      <c r="AI336" s="241"/>
      <c r="AJ336" s="529"/>
      <c r="AK336" s="258"/>
      <c r="AL336" s="241"/>
      <c r="AM336" s="242"/>
      <c r="AN336" s="241"/>
      <c r="AO336" s="242"/>
      <c r="AP336" s="241"/>
      <c r="AQ336" s="242"/>
      <c r="AR336" s="241"/>
      <c r="AS336" s="242"/>
      <c r="AT336" s="241"/>
      <c r="AU336" s="241"/>
      <c r="AV336" s="256"/>
      <c r="AW336" s="241"/>
      <c r="AX336" s="256"/>
      <c r="AY336" s="241"/>
      <c r="AZ336" s="256"/>
      <c r="BA336" s="239"/>
      <c r="BB336" s="242"/>
      <c r="BC336" s="239"/>
      <c r="BD336" s="242"/>
      <c r="BE336" s="239"/>
      <c r="BF336" s="241"/>
      <c r="BG336" s="239"/>
      <c r="BH336" s="241"/>
      <c r="BI336" s="260"/>
      <c r="BJ336" s="241"/>
      <c r="BK336" s="260"/>
      <c r="BL336" s="239"/>
      <c r="BM336" s="256"/>
      <c r="BN336" s="241"/>
      <c r="BO336" s="243"/>
      <c r="BP336" s="241"/>
      <c r="BQ336" s="239"/>
      <c r="BR336" s="276"/>
      <c r="BS336" s="256"/>
      <c r="BT336" s="260"/>
      <c r="BU336" s="261"/>
      <c r="BV336" s="260"/>
      <c r="BW336" s="239"/>
      <c r="BX336" s="260"/>
      <c r="BY336" s="260"/>
      <c r="BZ336" s="239"/>
      <c r="CA336" s="260"/>
      <c r="CB336" s="239"/>
      <c r="CC336" s="260"/>
      <c r="CD336" s="539"/>
      <c r="CE336" s="239"/>
      <c r="CF336" s="276"/>
      <c r="CG336" s="256"/>
      <c r="CH336" s="259"/>
      <c r="CI336" s="347"/>
      <c r="CJ336" s="540"/>
      <c r="CK336" s="256"/>
      <c r="CL336" s="244">
        <v>1</v>
      </c>
      <c r="CM336" s="274">
        <f t="shared" si="5"/>
        <v>2015</v>
      </c>
      <c r="CN336" s="244">
        <f>IF('Grille de saisie'!CM336&lt;18,0,IF('Grille de saisie'!CM336&lt;40,1,IF('Grille de saisie'!CM336&lt;65,2,IF('Grille de saisie'!CM336&lt;100,3,4))))</f>
        <v>4</v>
      </c>
      <c r="CO336" s="236">
        <f>IF(AND('Grille de saisie'!C336=1,'Grille de saisie'!BZ336=0),1,IF(AND('Grille de saisie'!C336="",'Grille de saisie'!BZ336=""),3,IF(AND('Grille de saisie'!C336=5),3,2)))</f>
        <v>3</v>
      </c>
      <c r="CP336" s="236">
        <f>IF(AND('Grille de saisie'!C336=1,'Grille de saisie'!BZ336=0),1,IF(AND('Grille de saisie'!C336=1,'Grille de saisie'!BZ336=1),2,IF(AND('Grille de saisie'!C336=2,'Grille de saisie'!BZ336=0),2,IF(AND('Grille de saisie'!C336=3,'Grille de saisie'!BZ336=0),3,IF(AND('Grille de saisie'!C336=2,'Grille de saisie'!BZ336=1),3,IF(AND('Grille de saisie'!C336=1,'Grille de saisie'!BZ336=2),3,IF(AND('Grille de saisie'!C336="",'Grille de saisie'!BZ336=""),5,IF(AND('Grille de saisie'!C336=5),5,4))))))))</f>
        <v>5</v>
      </c>
      <c r="CQ336" s="237">
        <f>IF('Grille de saisie'!BZ336="",3,IF('Grille de saisie'!C336=5,3,IF('Grille de saisie'!BZ336=0,1,2)))</f>
        <v>3</v>
      </c>
    </row>
    <row r="337" spans="1:95" ht="15">
      <c r="A337" s="510">
        <v>335</v>
      </c>
      <c r="B337" s="240"/>
      <c r="C337" s="513"/>
      <c r="D337" s="240"/>
      <c r="E337" s="517"/>
      <c r="F337" s="265"/>
      <c r="G337" s="513"/>
      <c r="H337" s="265"/>
      <c r="I337" s="520"/>
      <c r="J337" s="241"/>
      <c r="K337" s="520"/>
      <c r="L337" s="241"/>
      <c r="M337" s="521"/>
      <c r="N337" s="241"/>
      <c r="O337" s="521"/>
      <c r="P337" s="241"/>
      <c r="Q337" s="520"/>
      <c r="R337" s="241"/>
      <c r="S337" s="520"/>
      <c r="T337" s="241"/>
      <c r="U337" s="520"/>
      <c r="V337" s="241"/>
      <c r="W337" s="242"/>
      <c r="X337" s="241"/>
      <c r="Y337" s="242"/>
      <c r="Z337" s="241"/>
      <c r="AA337" s="241"/>
      <c r="AB337" s="275"/>
      <c r="AC337" s="524"/>
      <c r="AD337" s="241"/>
      <c r="AE337" s="241"/>
      <c r="AF337" s="241"/>
      <c r="AG337" s="241"/>
      <c r="AH337" s="241"/>
      <c r="AI337" s="241"/>
      <c r="AJ337" s="529"/>
      <c r="AK337" s="258"/>
      <c r="AL337" s="241"/>
      <c r="AM337" s="242"/>
      <c r="AN337" s="241"/>
      <c r="AO337" s="242"/>
      <c r="AP337" s="241"/>
      <c r="AQ337" s="242"/>
      <c r="AR337" s="241"/>
      <c r="AS337" s="242"/>
      <c r="AT337" s="241"/>
      <c r="AU337" s="241"/>
      <c r="AV337" s="256"/>
      <c r="AW337" s="241"/>
      <c r="AX337" s="256"/>
      <c r="AY337" s="241"/>
      <c r="AZ337" s="256"/>
      <c r="BA337" s="239"/>
      <c r="BB337" s="242"/>
      <c r="BC337" s="239"/>
      <c r="BD337" s="242"/>
      <c r="BE337" s="239"/>
      <c r="BF337" s="241"/>
      <c r="BG337" s="239"/>
      <c r="BH337" s="241"/>
      <c r="BI337" s="260"/>
      <c r="BJ337" s="241"/>
      <c r="BK337" s="260"/>
      <c r="BL337" s="239"/>
      <c r="BM337" s="256"/>
      <c r="BN337" s="241"/>
      <c r="BO337" s="243"/>
      <c r="BP337" s="241"/>
      <c r="BQ337" s="239"/>
      <c r="BR337" s="276"/>
      <c r="BS337" s="256"/>
      <c r="BT337" s="260"/>
      <c r="BU337" s="261"/>
      <c r="BV337" s="260"/>
      <c r="BW337" s="239"/>
      <c r="BX337" s="260"/>
      <c r="BY337" s="260"/>
      <c r="BZ337" s="239"/>
      <c r="CA337" s="260"/>
      <c r="CB337" s="239"/>
      <c r="CC337" s="260"/>
      <c r="CD337" s="539"/>
      <c r="CE337" s="239"/>
      <c r="CF337" s="276"/>
      <c r="CG337" s="256"/>
      <c r="CH337" s="259"/>
      <c r="CI337" s="347"/>
      <c r="CJ337" s="540"/>
      <c r="CK337" s="256"/>
      <c r="CL337" s="244">
        <v>1</v>
      </c>
      <c r="CM337" s="274">
        <f t="shared" si="5"/>
        <v>2015</v>
      </c>
      <c r="CN337" s="244">
        <f>IF('Grille de saisie'!CM337&lt;18,0,IF('Grille de saisie'!CM337&lt;40,1,IF('Grille de saisie'!CM337&lt;65,2,IF('Grille de saisie'!CM337&lt;100,3,4))))</f>
        <v>4</v>
      </c>
      <c r="CO337" s="236">
        <f>IF(AND('Grille de saisie'!C337=1,'Grille de saisie'!BZ337=0),1,IF(AND('Grille de saisie'!C337="",'Grille de saisie'!BZ337=""),3,IF(AND('Grille de saisie'!C337=5),3,2)))</f>
        <v>3</v>
      </c>
      <c r="CP337" s="236">
        <f>IF(AND('Grille de saisie'!C337=1,'Grille de saisie'!BZ337=0),1,IF(AND('Grille de saisie'!C337=1,'Grille de saisie'!BZ337=1),2,IF(AND('Grille de saisie'!C337=2,'Grille de saisie'!BZ337=0),2,IF(AND('Grille de saisie'!C337=3,'Grille de saisie'!BZ337=0),3,IF(AND('Grille de saisie'!C337=2,'Grille de saisie'!BZ337=1),3,IF(AND('Grille de saisie'!C337=1,'Grille de saisie'!BZ337=2),3,IF(AND('Grille de saisie'!C337="",'Grille de saisie'!BZ337=""),5,IF(AND('Grille de saisie'!C337=5),5,4))))))))</f>
        <v>5</v>
      </c>
      <c r="CQ337" s="237">
        <f>IF('Grille de saisie'!BZ337="",3,IF('Grille de saisie'!C337=5,3,IF('Grille de saisie'!BZ337=0,1,2)))</f>
        <v>3</v>
      </c>
    </row>
    <row r="338" spans="1:95" ht="15">
      <c r="A338" s="510">
        <v>336</v>
      </c>
      <c r="B338" s="240"/>
      <c r="C338" s="513"/>
      <c r="D338" s="240"/>
      <c r="E338" s="517"/>
      <c r="F338" s="265"/>
      <c r="G338" s="513"/>
      <c r="H338" s="265"/>
      <c r="I338" s="520"/>
      <c r="J338" s="241"/>
      <c r="K338" s="520"/>
      <c r="L338" s="241"/>
      <c r="M338" s="521"/>
      <c r="N338" s="241"/>
      <c r="O338" s="521"/>
      <c r="P338" s="241"/>
      <c r="Q338" s="520"/>
      <c r="R338" s="241"/>
      <c r="S338" s="520"/>
      <c r="T338" s="241"/>
      <c r="U338" s="520"/>
      <c r="V338" s="241"/>
      <c r="W338" s="242"/>
      <c r="X338" s="241"/>
      <c r="Y338" s="242"/>
      <c r="Z338" s="241"/>
      <c r="AA338" s="241"/>
      <c r="AB338" s="275"/>
      <c r="AC338" s="524"/>
      <c r="AD338" s="241"/>
      <c r="AE338" s="241"/>
      <c r="AF338" s="241"/>
      <c r="AG338" s="241"/>
      <c r="AH338" s="241"/>
      <c r="AI338" s="241"/>
      <c r="AJ338" s="529"/>
      <c r="AK338" s="258"/>
      <c r="AL338" s="241"/>
      <c r="AM338" s="242"/>
      <c r="AN338" s="241"/>
      <c r="AO338" s="242"/>
      <c r="AP338" s="241"/>
      <c r="AQ338" s="242"/>
      <c r="AR338" s="241"/>
      <c r="AS338" s="242"/>
      <c r="AT338" s="241"/>
      <c r="AU338" s="241"/>
      <c r="AV338" s="256"/>
      <c r="AW338" s="241"/>
      <c r="AX338" s="256"/>
      <c r="AY338" s="241"/>
      <c r="AZ338" s="256"/>
      <c r="BA338" s="239"/>
      <c r="BB338" s="242"/>
      <c r="BC338" s="239"/>
      <c r="BD338" s="242"/>
      <c r="BE338" s="239"/>
      <c r="BF338" s="241"/>
      <c r="BG338" s="239"/>
      <c r="BH338" s="241"/>
      <c r="BI338" s="260"/>
      <c r="BJ338" s="241"/>
      <c r="BK338" s="260"/>
      <c r="BL338" s="239"/>
      <c r="BM338" s="256"/>
      <c r="BN338" s="241"/>
      <c r="BO338" s="243"/>
      <c r="BP338" s="241"/>
      <c r="BQ338" s="239"/>
      <c r="BR338" s="276"/>
      <c r="BS338" s="256"/>
      <c r="BT338" s="260"/>
      <c r="BU338" s="261"/>
      <c r="BV338" s="260"/>
      <c r="BW338" s="239"/>
      <c r="BX338" s="260"/>
      <c r="BY338" s="260"/>
      <c r="BZ338" s="239"/>
      <c r="CA338" s="260"/>
      <c r="CB338" s="239"/>
      <c r="CC338" s="260"/>
      <c r="CD338" s="539"/>
      <c r="CE338" s="239"/>
      <c r="CF338" s="276"/>
      <c r="CG338" s="256"/>
      <c r="CH338" s="259"/>
      <c r="CI338" s="347"/>
      <c r="CJ338" s="540"/>
      <c r="CK338" s="256"/>
      <c r="CL338" s="244">
        <v>1</v>
      </c>
      <c r="CM338" s="274">
        <f t="shared" si="5"/>
        <v>2015</v>
      </c>
      <c r="CN338" s="244">
        <f>IF('Grille de saisie'!CM338&lt;18,0,IF('Grille de saisie'!CM338&lt;40,1,IF('Grille de saisie'!CM338&lt;65,2,IF('Grille de saisie'!CM338&lt;100,3,4))))</f>
        <v>4</v>
      </c>
      <c r="CO338" s="236">
        <f>IF(AND('Grille de saisie'!C338=1,'Grille de saisie'!BZ338=0),1,IF(AND('Grille de saisie'!C338="",'Grille de saisie'!BZ338=""),3,IF(AND('Grille de saisie'!C338=5),3,2)))</f>
        <v>3</v>
      </c>
      <c r="CP338" s="236">
        <f>IF(AND('Grille de saisie'!C338=1,'Grille de saisie'!BZ338=0),1,IF(AND('Grille de saisie'!C338=1,'Grille de saisie'!BZ338=1),2,IF(AND('Grille de saisie'!C338=2,'Grille de saisie'!BZ338=0),2,IF(AND('Grille de saisie'!C338=3,'Grille de saisie'!BZ338=0),3,IF(AND('Grille de saisie'!C338=2,'Grille de saisie'!BZ338=1),3,IF(AND('Grille de saisie'!C338=1,'Grille de saisie'!BZ338=2),3,IF(AND('Grille de saisie'!C338="",'Grille de saisie'!BZ338=""),5,IF(AND('Grille de saisie'!C338=5),5,4))))))))</f>
        <v>5</v>
      </c>
      <c r="CQ338" s="237">
        <f>IF('Grille de saisie'!BZ338="",3,IF('Grille de saisie'!C338=5,3,IF('Grille de saisie'!BZ338=0,1,2)))</f>
        <v>3</v>
      </c>
    </row>
    <row r="339" spans="1:95" ht="15">
      <c r="A339" s="511">
        <v>337</v>
      </c>
      <c r="B339" s="240"/>
      <c r="C339" s="513"/>
      <c r="D339" s="240"/>
      <c r="E339" s="517"/>
      <c r="F339" s="265"/>
      <c r="G339" s="513"/>
      <c r="H339" s="265"/>
      <c r="I339" s="520"/>
      <c r="J339" s="241"/>
      <c r="K339" s="520"/>
      <c r="L339" s="241"/>
      <c r="M339" s="521"/>
      <c r="N339" s="241"/>
      <c r="O339" s="521"/>
      <c r="P339" s="241"/>
      <c r="Q339" s="520"/>
      <c r="R339" s="241"/>
      <c r="S339" s="520"/>
      <c r="T339" s="241"/>
      <c r="U339" s="520"/>
      <c r="V339" s="241"/>
      <c r="W339" s="242"/>
      <c r="X339" s="241"/>
      <c r="Y339" s="242"/>
      <c r="Z339" s="241"/>
      <c r="AA339" s="241"/>
      <c r="AB339" s="275"/>
      <c r="AC339" s="524"/>
      <c r="AD339" s="241"/>
      <c r="AE339" s="241"/>
      <c r="AF339" s="241"/>
      <c r="AG339" s="241"/>
      <c r="AH339" s="241"/>
      <c r="AI339" s="241"/>
      <c r="AJ339" s="529"/>
      <c r="AK339" s="258"/>
      <c r="AL339" s="241"/>
      <c r="AM339" s="242"/>
      <c r="AN339" s="241"/>
      <c r="AO339" s="242"/>
      <c r="AP339" s="241"/>
      <c r="AQ339" s="242"/>
      <c r="AR339" s="241"/>
      <c r="AS339" s="242"/>
      <c r="AT339" s="241"/>
      <c r="AU339" s="241"/>
      <c r="AV339" s="256"/>
      <c r="AW339" s="241"/>
      <c r="AX339" s="256"/>
      <c r="AY339" s="241"/>
      <c r="AZ339" s="256"/>
      <c r="BA339" s="239"/>
      <c r="BB339" s="242"/>
      <c r="BC339" s="239"/>
      <c r="BD339" s="242"/>
      <c r="BE339" s="239"/>
      <c r="BF339" s="241"/>
      <c r="BG339" s="239"/>
      <c r="BH339" s="241"/>
      <c r="BI339" s="260"/>
      <c r="BJ339" s="241"/>
      <c r="BK339" s="260"/>
      <c r="BL339" s="239"/>
      <c r="BM339" s="256"/>
      <c r="BN339" s="241"/>
      <c r="BO339" s="243"/>
      <c r="BP339" s="241"/>
      <c r="BQ339" s="239"/>
      <c r="BR339" s="276"/>
      <c r="BS339" s="256"/>
      <c r="BT339" s="260"/>
      <c r="BU339" s="261"/>
      <c r="BV339" s="260"/>
      <c r="BW339" s="239"/>
      <c r="BX339" s="260"/>
      <c r="BY339" s="260"/>
      <c r="BZ339" s="239"/>
      <c r="CA339" s="260"/>
      <c r="CB339" s="239"/>
      <c r="CC339" s="260"/>
      <c r="CD339" s="539"/>
      <c r="CE339" s="239"/>
      <c r="CF339" s="276"/>
      <c r="CG339" s="256"/>
      <c r="CH339" s="259"/>
      <c r="CI339" s="347"/>
      <c r="CJ339" s="540"/>
      <c r="CK339" s="256"/>
      <c r="CL339" s="244">
        <v>1</v>
      </c>
      <c r="CM339" s="274">
        <f t="shared" si="5"/>
        <v>2015</v>
      </c>
      <c r="CN339" s="244">
        <f>IF('Grille de saisie'!CM339&lt;18,0,IF('Grille de saisie'!CM339&lt;40,1,IF('Grille de saisie'!CM339&lt;65,2,IF('Grille de saisie'!CM339&lt;100,3,4))))</f>
        <v>4</v>
      </c>
      <c r="CO339" s="236">
        <f>IF(AND('Grille de saisie'!C339=1,'Grille de saisie'!BZ339=0),1,IF(AND('Grille de saisie'!C339="",'Grille de saisie'!BZ339=""),3,IF(AND('Grille de saisie'!C339=5),3,2)))</f>
        <v>3</v>
      </c>
      <c r="CP339" s="236">
        <f>IF(AND('Grille de saisie'!C339=1,'Grille de saisie'!BZ339=0),1,IF(AND('Grille de saisie'!C339=1,'Grille de saisie'!BZ339=1),2,IF(AND('Grille de saisie'!C339=2,'Grille de saisie'!BZ339=0),2,IF(AND('Grille de saisie'!C339=3,'Grille de saisie'!BZ339=0),3,IF(AND('Grille de saisie'!C339=2,'Grille de saisie'!BZ339=1),3,IF(AND('Grille de saisie'!C339=1,'Grille de saisie'!BZ339=2),3,IF(AND('Grille de saisie'!C339="",'Grille de saisie'!BZ339=""),5,IF(AND('Grille de saisie'!C339=5),5,4))))))))</f>
        <v>5</v>
      </c>
      <c r="CQ339" s="237">
        <f>IF('Grille de saisie'!BZ339="",3,IF('Grille de saisie'!C339=5,3,IF('Grille de saisie'!BZ339=0,1,2)))</f>
        <v>3</v>
      </c>
    </row>
    <row r="340" spans="1:95" ht="15">
      <c r="A340" s="510">
        <v>338</v>
      </c>
      <c r="B340" s="240"/>
      <c r="C340" s="513"/>
      <c r="D340" s="240"/>
      <c r="E340" s="517"/>
      <c r="F340" s="265"/>
      <c r="G340" s="513"/>
      <c r="H340" s="265"/>
      <c r="I340" s="520"/>
      <c r="J340" s="241"/>
      <c r="K340" s="520"/>
      <c r="L340" s="241"/>
      <c r="M340" s="521"/>
      <c r="N340" s="241"/>
      <c r="O340" s="521"/>
      <c r="P340" s="241"/>
      <c r="Q340" s="520"/>
      <c r="R340" s="241"/>
      <c r="S340" s="520"/>
      <c r="T340" s="241"/>
      <c r="U340" s="520"/>
      <c r="V340" s="241"/>
      <c r="W340" s="242"/>
      <c r="X340" s="241"/>
      <c r="Y340" s="242"/>
      <c r="Z340" s="241"/>
      <c r="AA340" s="241"/>
      <c r="AB340" s="275"/>
      <c r="AC340" s="524"/>
      <c r="AD340" s="241"/>
      <c r="AE340" s="241"/>
      <c r="AF340" s="241"/>
      <c r="AG340" s="241"/>
      <c r="AH340" s="241"/>
      <c r="AI340" s="241"/>
      <c r="AJ340" s="529"/>
      <c r="AK340" s="258"/>
      <c r="AL340" s="241"/>
      <c r="AM340" s="242"/>
      <c r="AN340" s="241"/>
      <c r="AO340" s="242"/>
      <c r="AP340" s="241"/>
      <c r="AQ340" s="242"/>
      <c r="AR340" s="241"/>
      <c r="AS340" s="242"/>
      <c r="AT340" s="241"/>
      <c r="AU340" s="241"/>
      <c r="AV340" s="256"/>
      <c r="AW340" s="241"/>
      <c r="AX340" s="256"/>
      <c r="AY340" s="241"/>
      <c r="AZ340" s="256"/>
      <c r="BA340" s="239"/>
      <c r="BB340" s="242"/>
      <c r="BC340" s="239"/>
      <c r="BD340" s="242"/>
      <c r="BE340" s="239"/>
      <c r="BF340" s="241"/>
      <c r="BG340" s="239"/>
      <c r="BH340" s="241"/>
      <c r="BI340" s="260"/>
      <c r="BJ340" s="241"/>
      <c r="BK340" s="260"/>
      <c r="BL340" s="239"/>
      <c r="BM340" s="256"/>
      <c r="BN340" s="241"/>
      <c r="BO340" s="243"/>
      <c r="BP340" s="241"/>
      <c r="BQ340" s="239"/>
      <c r="BR340" s="276"/>
      <c r="BS340" s="256"/>
      <c r="BT340" s="260"/>
      <c r="BU340" s="261"/>
      <c r="BV340" s="260"/>
      <c r="BW340" s="239"/>
      <c r="BX340" s="260"/>
      <c r="BY340" s="260"/>
      <c r="BZ340" s="239"/>
      <c r="CA340" s="260"/>
      <c r="CB340" s="239"/>
      <c r="CC340" s="260"/>
      <c r="CD340" s="539"/>
      <c r="CE340" s="239"/>
      <c r="CF340" s="276"/>
      <c r="CG340" s="256"/>
      <c r="CH340" s="259"/>
      <c r="CI340" s="347"/>
      <c r="CJ340" s="540"/>
      <c r="CK340" s="256"/>
      <c r="CL340" s="244">
        <v>1</v>
      </c>
      <c r="CM340" s="274">
        <f t="shared" si="5"/>
        <v>2015</v>
      </c>
      <c r="CN340" s="244">
        <f>IF('Grille de saisie'!CM340&lt;18,0,IF('Grille de saisie'!CM340&lt;40,1,IF('Grille de saisie'!CM340&lt;65,2,IF('Grille de saisie'!CM340&lt;100,3,4))))</f>
        <v>4</v>
      </c>
      <c r="CO340" s="236">
        <f>IF(AND('Grille de saisie'!C340=1,'Grille de saisie'!BZ340=0),1,IF(AND('Grille de saisie'!C340="",'Grille de saisie'!BZ340=""),3,IF(AND('Grille de saisie'!C340=5),3,2)))</f>
        <v>3</v>
      </c>
      <c r="CP340" s="236">
        <f>IF(AND('Grille de saisie'!C340=1,'Grille de saisie'!BZ340=0),1,IF(AND('Grille de saisie'!C340=1,'Grille de saisie'!BZ340=1),2,IF(AND('Grille de saisie'!C340=2,'Grille de saisie'!BZ340=0),2,IF(AND('Grille de saisie'!C340=3,'Grille de saisie'!BZ340=0),3,IF(AND('Grille de saisie'!C340=2,'Grille de saisie'!BZ340=1),3,IF(AND('Grille de saisie'!C340=1,'Grille de saisie'!BZ340=2),3,IF(AND('Grille de saisie'!C340="",'Grille de saisie'!BZ340=""),5,IF(AND('Grille de saisie'!C340=5),5,4))))))))</f>
        <v>5</v>
      </c>
      <c r="CQ340" s="237">
        <f>IF('Grille de saisie'!BZ340="",3,IF('Grille de saisie'!C340=5,3,IF('Grille de saisie'!BZ340=0,1,2)))</f>
        <v>3</v>
      </c>
    </row>
    <row r="341" spans="1:95" ht="15">
      <c r="A341" s="510">
        <v>339</v>
      </c>
      <c r="B341" s="240"/>
      <c r="C341" s="513"/>
      <c r="D341" s="240"/>
      <c r="E341" s="517"/>
      <c r="F341" s="265"/>
      <c r="G341" s="513"/>
      <c r="H341" s="265"/>
      <c r="I341" s="520"/>
      <c r="J341" s="241"/>
      <c r="K341" s="520"/>
      <c r="L341" s="241"/>
      <c r="M341" s="521"/>
      <c r="N341" s="241"/>
      <c r="O341" s="521"/>
      <c r="P341" s="241"/>
      <c r="Q341" s="520"/>
      <c r="R341" s="241"/>
      <c r="S341" s="520"/>
      <c r="T341" s="241"/>
      <c r="U341" s="520"/>
      <c r="V341" s="241"/>
      <c r="W341" s="242"/>
      <c r="X341" s="241"/>
      <c r="Y341" s="242"/>
      <c r="Z341" s="241"/>
      <c r="AA341" s="241"/>
      <c r="AB341" s="275"/>
      <c r="AC341" s="524"/>
      <c r="AD341" s="241"/>
      <c r="AE341" s="241"/>
      <c r="AF341" s="241"/>
      <c r="AG341" s="241"/>
      <c r="AH341" s="241"/>
      <c r="AI341" s="241"/>
      <c r="AJ341" s="529"/>
      <c r="AK341" s="258"/>
      <c r="AL341" s="241"/>
      <c r="AM341" s="242"/>
      <c r="AN341" s="241"/>
      <c r="AO341" s="242"/>
      <c r="AP341" s="241"/>
      <c r="AQ341" s="242"/>
      <c r="AR341" s="241"/>
      <c r="AS341" s="242"/>
      <c r="AT341" s="241"/>
      <c r="AU341" s="241"/>
      <c r="AV341" s="256"/>
      <c r="AW341" s="241"/>
      <c r="AX341" s="256"/>
      <c r="AY341" s="241"/>
      <c r="AZ341" s="256"/>
      <c r="BA341" s="239"/>
      <c r="BB341" s="242"/>
      <c r="BC341" s="239"/>
      <c r="BD341" s="242"/>
      <c r="BE341" s="239"/>
      <c r="BF341" s="241"/>
      <c r="BG341" s="239"/>
      <c r="BH341" s="241"/>
      <c r="BI341" s="260"/>
      <c r="BJ341" s="241"/>
      <c r="BK341" s="260"/>
      <c r="BL341" s="239"/>
      <c r="BM341" s="256"/>
      <c r="BN341" s="241"/>
      <c r="BO341" s="243"/>
      <c r="BP341" s="241"/>
      <c r="BQ341" s="239"/>
      <c r="BR341" s="276"/>
      <c r="BS341" s="256"/>
      <c r="BT341" s="260"/>
      <c r="BU341" s="261"/>
      <c r="BV341" s="260"/>
      <c r="BW341" s="239"/>
      <c r="BX341" s="260"/>
      <c r="BY341" s="260"/>
      <c r="BZ341" s="239"/>
      <c r="CA341" s="260"/>
      <c r="CB341" s="239"/>
      <c r="CC341" s="260"/>
      <c r="CD341" s="539"/>
      <c r="CE341" s="239"/>
      <c r="CF341" s="276"/>
      <c r="CG341" s="256"/>
      <c r="CH341" s="259"/>
      <c r="CI341" s="347"/>
      <c r="CJ341" s="540"/>
      <c r="CK341" s="256"/>
      <c r="CL341" s="244">
        <v>1</v>
      </c>
      <c r="CM341" s="274">
        <f t="shared" si="5"/>
        <v>2015</v>
      </c>
      <c r="CN341" s="244">
        <f>IF('Grille de saisie'!CM341&lt;18,0,IF('Grille de saisie'!CM341&lt;40,1,IF('Grille de saisie'!CM341&lt;65,2,IF('Grille de saisie'!CM341&lt;100,3,4))))</f>
        <v>4</v>
      </c>
      <c r="CO341" s="236">
        <f>IF(AND('Grille de saisie'!C341=1,'Grille de saisie'!BZ341=0),1,IF(AND('Grille de saisie'!C341="",'Grille de saisie'!BZ341=""),3,IF(AND('Grille de saisie'!C341=5),3,2)))</f>
        <v>3</v>
      </c>
      <c r="CP341" s="236">
        <f>IF(AND('Grille de saisie'!C341=1,'Grille de saisie'!BZ341=0),1,IF(AND('Grille de saisie'!C341=1,'Grille de saisie'!BZ341=1),2,IF(AND('Grille de saisie'!C341=2,'Grille de saisie'!BZ341=0),2,IF(AND('Grille de saisie'!C341=3,'Grille de saisie'!BZ341=0),3,IF(AND('Grille de saisie'!C341=2,'Grille de saisie'!BZ341=1),3,IF(AND('Grille de saisie'!C341=1,'Grille de saisie'!BZ341=2),3,IF(AND('Grille de saisie'!C341="",'Grille de saisie'!BZ341=""),5,IF(AND('Grille de saisie'!C341=5),5,4))))))))</f>
        <v>5</v>
      </c>
      <c r="CQ341" s="237">
        <f>IF('Grille de saisie'!BZ341="",3,IF('Grille de saisie'!C341=5,3,IF('Grille de saisie'!BZ341=0,1,2)))</f>
        <v>3</v>
      </c>
    </row>
    <row r="342" spans="1:95" ht="15">
      <c r="A342" s="511">
        <v>340</v>
      </c>
      <c r="B342" s="240"/>
      <c r="C342" s="513"/>
      <c r="D342" s="240"/>
      <c r="E342" s="517"/>
      <c r="F342" s="265"/>
      <c r="G342" s="513"/>
      <c r="H342" s="265"/>
      <c r="I342" s="520"/>
      <c r="J342" s="241"/>
      <c r="K342" s="520"/>
      <c r="L342" s="241"/>
      <c r="M342" s="521"/>
      <c r="N342" s="241"/>
      <c r="O342" s="521"/>
      <c r="P342" s="241"/>
      <c r="Q342" s="520"/>
      <c r="R342" s="241"/>
      <c r="S342" s="520"/>
      <c r="T342" s="241"/>
      <c r="U342" s="520"/>
      <c r="V342" s="241"/>
      <c r="W342" s="242"/>
      <c r="X342" s="241"/>
      <c r="Y342" s="242"/>
      <c r="Z342" s="241"/>
      <c r="AA342" s="241"/>
      <c r="AB342" s="275"/>
      <c r="AC342" s="524"/>
      <c r="AD342" s="241"/>
      <c r="AE342" s="241"/>
      <c r="AF342" s="241"/>
      <c r="AG342" s="241"/>
      <c r="AH342" s="241"/>
      <c r="AI342" s="241"/>
      <c r="AJ342" s="529"/>
      <c r="AK342" s="258"/>
      <c r="AL342" s="241"/>
      <c r="AM342" s="242"/>
      <c r="AN342" s="241"/>
      <c r="AO342" s="242"/>
      <c r="AP342" s="241"/>
      <c r="AQ342" s="242"/>
      <c r="AR342" s="241"/>
      <c r="AS342" s="242"/>
      <c r="AT342" s="241"/>
      <c r="AU342" s="241"/>
      <c r="AV342" s="256"/>
      <c r="AW342" s="241"/>
      <c r="AX342" s="256"/>
      <c r="AY342" s="241"/>
      <c r="AZ342" s="256"/>
      <c r="BA342" s="239"/>
      <c r="BB342" s="242"/>
      <c r="BC342" s="239"/>
      <c r="BD342" s="242"/>
      <c r="BE342" s="239"/>
      <c r="BF342" s="241"/>
      <c r="BG342" s="239"/>
      <c r="BH342" s="241"/>
      <c r="BI342" s="260"/>
      <c r="BJ342" s="241"/>
      <c r="BK342" s="260"/>
      <c r="BL342" s="239"/>
      <c r="BM342" s="256"/>
      <c r="BN342" s="241"/>
      <c r="BO342" s="243"/>
      <c r="BP342" s="241"/>
      <c r="BQ342" s="239"/>
      <c r="BR342" s="276"/>
      <c r="BS342" s="256"/>
      <c r="BT342" s="260"/>
      <c r="BU342" s="261"/>
      <c r="BV342" s="260"/>
      <c r="BW342" s="239"/>
      <c r="BX342" s="260"/>
      <c r="BY342" s="260"/>
      <c r="BZ342" s="239"/>
      <c r="CA342" s="260"/>
      <c r="CB342" s="239"/>
      <c r="CC342" s="260"/>
      <c r="CD342" s="539"/>
      <c r="CE342" s="239"/>
      <c r="CF342" s="276"/>
      <c r="CG342" s="256"/>
      <c r="CH342" s="259"/>
      <c r="CI342" s="347"/>
      <c r="CJ342" s="540"/>
      <c r="CK342" s="256"/>
      <c r="CL342" s="244">
        <v>1</v>
      </c>
      <c r="CM342" s="274">
        <f t="shared" si="5"/>
        <v>2015</v>
      </c>
      <c r="CN342" s="244">
        <f>IF('Grille de saisie'!CM342&lt;18,0,IF('Grille de saisie'!CM342&lt;40,1,IF('Grille de saisie'!CM342&lt;65,2,IF('Grille de saisie'!CM342&lt;100,3,4))))</f>
        <v>4</v>
      </c>
      <c r="CO342" s="236">
        <f>IF(AND('Grille de saisie'!C342=1,'Grille de saisie'!BZ342=0),1,IF(AND('Grille de saisie'!C342="",'Grille de saisie'!BZ342=""),3,IF(AND('Grille de saisie'!C342=5),3,2)))</f>
        <v>3</v>
      </c>
      <c r="CP342" s="236">
        <f>IF(AND('Grille de saisie'!C342=1,'Grille de saisie'!BZ342=0),1,IF(AND('Grille de saisie'!C342=1,'Grille de saisie'!BZ342=1),2,IF(AND('Grille de saisie'!C342=2,'Grille de saisie'!BZ342=0),2,IF(AND('Grille de saisie'!C342=3,'Grille de saisie'!BZ342=0),3,IF(AND('Grille de saisie'!C342=2,'Grille de saisie'!BZ342=1),3,IF(AND('Grille de saisie'!C342=1,'Grille de saisie'!BZ342=2),3,IF(AND('Grille de saisie'!C342="",'Grille de saisie'!BZ342=""),5,IF(AND('Grille de saisie'!C342=5),5,4))))))))</f>
        <v>5</v>
      </c>
      <c r="CQ342" s="237">
        <f>IF('Grille de saisie'!BZ342="",3,IF('Grille de saisie'!C342=5,3,IF('Grille de saisie'!BZ342=0,1,2)))</f>
        <v>3</v>
      </c>
    </row>
    <row r="343" spans="1:95" ht="15">
      <c r="A343" s="510">
        <v>341</v>
      </c>
      <c r="B343" s="240"/>
      <c r="C343" s="513"/>
      <c r="D343" s="240"/>
      <c r="E343" s="517"/>
      <c r="F343" s="265"/>
      <c r="G343" s="513"/>
      <c r="H343" s="265"/>
      <c r="I343" s="520"/>
      <c r="J343" s="241"/>
      <c r="K343" s="520"/>
      <c r="L343" s="241"/>
      <c r="M343" s="521"/>
      <c r="N343" s="241"/>
      <c r="O343" s="521"/>
      <c r="P343" s="241"/>
      <c r="Q343" s="520"/>
      <c r="R343" s="241"/>
      <c r="S343" s="520"/>
      <c r="T343" s="241"/>
      <c r="U343" s="520"/>
      <c r="V343" s="241"/>
      <c r="W343" s="242"/>
      <c r="X343" s="241"/>
      <c r="Y343" s="242"/>
      <c r="Z343" s="241"/>
      <c r="AA343" s="241"/>
      <c r="AB343" s="275"/>
      <c r="AC343" s="524"/>
      <c r="AD343" s="241"/>
      <c r="AE343" s="241"/>
      <c r="AF343" s="241"/>
      <c r="AG343" s="241"/>
      <c r="AH343" s="241"/>
      <c r="AI343" s="241"/>
      <c r="AJ343" s="529"/>
      <c r="AK343" s="258"/>
      <c r="AL343" s="241"/>
      <c r="AM343" s="242"/>
      <c r="AN343" s="241"/>
      <c r="AO343" s="242"/>
      <c r="AP343" s="241"/>
      <c r="AQ343" s="242"/>
      <c r="AR343" s="241"/>
      <c r="AS343" s="242"/>
      <c r="AT343" s="241"/>
      <c r="AU343" s="241"/>
      <c r="AV343" s="256"/>
      <c r="AW343" s="241"/>
      <c r="AX343" s="256"/>
      <c r="AY343" s="241"/>
      <c r="AZ343" s="256"/>
      <c r="BA343" s="239"/>
      <c r="BB343" s="242"/>
      <c r="BC343" s="239"/>
      <c r="BD343" s="242"/>
      <c r="BE343" s="239"/>
      <c r="BF343" s="241"/>
      <c r="BG343" s="239"/>
      <c r="BH343" s="241"/>
      <c r="BI343" s="260"/>
      <c r="BJ343" s="241"/>
      <c r="BK343" s="260"/>
      <c r="BL343" s="239"/>
      <c r="BM343" s="256"/>
      <c r="BN343" s="241"/>
      <c r="BO343" s="243"/>
      <c r="BP343" s="241"/>
      <c r="BQ343" s="239"/>
      <c r="BR343" s="276"/>
      <c r="BS343" s="256"/>
      <c r="BT343" s="260"/>
      <c r="BU343" s="261"/>
      <c r="BV343" s="260"/>
      <c r="BW343" s="239"/>
      <c r="BX343" s="260"/>
      <c r="BY343" s="260"/>
      <c r="BZ343" s="239"/>
      <c r="CA343" s="260"/>
      <c r="CB343" s="239"/>
      <c r="CC343" s="260"/>
      <c r="CD343" s="539"/>
      <c r="CE343" s="239"/>
      <c r="CF343" s="276"/>
      <c r="CG343" s="256"/>
      <c r="CH343" s="259"/>
      <c r="CI343" s="347"/>
      <c r="CJ343" s="540"/>
      <c r="CK343" s="256"/>
      <c r="CL343" s="244">
        <v>1</v>
      </c>
      <c r="CM343" s="274">
        <f t="shared" si="5"/>
        <v>2015</v>
      </c>
      <c r="CN343" s="244">
        <f>IF('Grille de saisie'!CM343&lt;18,0,IF('Grille de saisie'!CM343&lt;40,1,IF('Grille de saisie'!CM343&lt;65,2,IF('Grille de saisie'!CM343&lt;100,3,4))))</f>
        <v>4</v>
      </c>
      <c r="CO343" s="236">
        <f>IF(AND('Grille de saisie'!C343=1,'Grille de saisie'!BZ343=0),1,IF(AND('Grille de saisie'!C343="",'Grille de saisie'!BZ343=""),3,IF(AND('Grille de saisie'!C343=5),3,2)))</f>
        <v>3</v>
      </c>
      <c r="CP343" s="236">
        <f>IF(AND('Grille de saisie'!C343=1,'Grille de saisie'!BZ343=0),1,IF(AND('Grille de saisie'!C343=1,'Grille de saisie'!BZ343=1),2,IF(AND('Grille de saisie'!C343=2,'Grille de saisie'!BZ343=0),2,IF(AND('Grille de saisie'!C343=3,'Grille de saisie'!BZ343=0),3,IF(AND('Grille de saisie'!C343=2,'Grille de saisie'!BZ343=1),3,IF(AND('Grille de saisie'!C343=1,'Grille de saisie'!BZ343=2),3,IF(AND('Grille de saisie'!C343="",'Grille de saisie'!BZ343=""),5,IF(AND('Grille de saisie'!C343=5),5,4))))))))</f>
        <v>5</v>
      </c>
      <c r="CQ343" s="237">
        <f>IF('Grille de saisie'!BZ343="",3,IF('Grille de saisie'!C343=5,3,IF('Grille de saisie'!BZ343=0,1,2)))</f>
        <v>3</v>
      </c>
    </row>
    <row r="344" spans="1:95" ht="15">
      <c r="A344" s="510">
        <v>342</v>
      </c>
      <c r="B344" s="240"/>
      <c r="C344" s="513"/>
      <c r="D344" s="240"/>
      <c r="E344" s="517"/>
      <c r="F344" s="265"/>
      <c r="G344" s="513"/>
      <c r="H344" s="265"/>
      <c r="I344" s="520"/>
      <c r="J344" s="241"/>
      <c r="K344" s="520"/>
      <c r="L344" s="241"/>
      <c r="M344" s="521"/>
      <c r="N344" s="241"/>
      <c r="O344" s="521"/>
      <c r="P344" s="241"/>
      <c r="Q344" s="520"/>
      <c r="R344" s="241"/>
      <c r="S344" s="520"/>
      <c r="T344" s="241"/>
      <c r="U344" s="520"/>
      <c r="V344" s="241"/>
      <c r="W344" s="242"/>
      <c r="X344" s="241"/>
      <c r="Y344" s="242"/>
      <c r="Z344" s="241"/>
      <c r="AA344" s="241"/>
      <c r="AB344" s="275"/>
      <c r="AC344" s="524"/>
      <c r="AD344" s="241"/>
      <c r="AE344" s="241"/>
      <c r="AF344" s="241"/>
      <c r="AG344" s="241"/>
      <c r="AH344" s="241"/>
      <c r="AI344" s="241"/>
      <c r="AJ344" s="529"/>
      <c r="AK344" s="258"/>
      <c r="AL344" s="241"/>
      <c r="AM344" s="242"/>
      <c r="AN344" s="241"/>
      <c r="AO344" s="242"/>
      <c r="AP344" s="241"/>
      <c r="AQ344" s="242"/>
      <c r="AR344" s="241"/>
      <c r="AS344" s="242"/>
      <c r="AT344" s="241"/>
      <c r="AU344" s="241"/>
      <c r="AV344" s="256"/>
      <c r="AW344" s="241"/>
      <c r="AX344" s="256"/>
      <c r="AY344" s="241"/>
      <c r="AZ344" s="256"/>
      <c r="BA344" s="239"/>
      <c r="BB344" s="242"/>
      <c r="BC344" s="239"/>
      <c r="BD344" s="242"/>
      <c r="BE344" s="239"/>
      <c r="BF344" s="241"/>
      <c r="BG344" s="239"/>
      <c r="BH344" s="241"/>
      <c r="BI344" s="260"/>
      <c r="BJ344" s="241"/>
      <c r="BK344" s="260"/>
      <c r="BL344" s="239"/>
      <c r="BM344" s="256"/>
      <c r="BN344" s="241"/>
      <c r="BO344" s="243"/>
      <c r="BP344" s="241"/>
      <c r="BQ344" s="239"/>
      <c r="BR344" s="276"/>
      <c r="BS344" s="256"/>
      <c r="BT344" s="260"/>
      <c r="BU344" s="261"/>
      <c r="BV344" s="260"/>
      <c r="BW344" s="239"/>
      <c r="BX344" s="260"/>
      <c r="BY344" s="260"/>
      <c r="BZ344" s="239"/>
      <c r="CA344" s="260"/>
      <c r="CB344" s="239"/>
      <c r="CC344" s="260"/>
      <c r="CD344" s="539"/>
      <c r="CE344" s="239"/>
      <c r="CF344" s="276"/>
      <c r="CG344" s="256"/>
      <c r="CH344" s="259"/>
      <c r="CI344" s="347"/>
      <c r="CJ344" s="540"/>
      <c r="CK344" s="256"/>
      <c r="CL344" s="244">
        <v>1</v>
      </c>
      <c r="CM344" s="274">
        <f t="shared" si="5"/>
        <v>2015</v>
      </c>
      <c r="CN344" s="244">
        <f>IF('Grille de saisie'!CM344&lt;18,0,IF('Grille de saisie'!CM344&lt;40,1,IF('Grille de saisie'!CM344&lt;65,2,IF('Grille de saisie'!CM344&lt;100,3,4))))</f>
        <v>4</v>
      </c>
      <c r="CO344" s="236">
        <f>IF(AND('Grille de saisie'!C344=1,'Grille de saisie'!BZ344=0),1,IF(AND('Grille de saisie'!C344="",'Grille de saisie'!BZ344=""),3,IF(AND('Grille de saisie'!C344=5),3,2)))</f>
        <v>3</v>
      </c>
      <c r="CP344" s="236">
        <f>IF(AND('Grille de saisie'!C344=1,'Grille de saisie'!BZ344=0),1,IF(AND('Grille de saisie'!C344=1,'Grille de saisie'!BZ344=1),2,IF(AND('Grille de saisie'!C344=2,'Grille de saisie'!BZ344=0),2,IF(AND('Grille de saisie'!C344=3,'Grille de saisie'!BZ344=0),3,IF(AND('Grille de saisie'!C344=2,'Grille de saisie'!BZ344=1),3,IF(AND('Grille de saisie'!C344=1,'Grille de saisie'!BZ344=2),3,IF(AND('Grille de saisie'!C344="",'Grille de saisie'!BZ344=""),5,IF(AND('Grille de saisie'!C344=5),5,4))))))))</f>
        <v>5</v>
      </c>
      <c r="CQ344" s="237">
        <f>IF('Grille de saisie'!BZ344="",3,IF('Grille de saisie'!C344=5,3,IF('Grille de saisie'!BZ344=0,1,2)))</f>
        <v>3</v>
      </c>
    </row>
    <row r="345" spans="1:95" ht="15">
      <c r="A345" s="511">
        <v>343</v>
      </c>
      <c r="B345" s="240"/>
      <c r="C345" s="513"/>
      <c r="D345" s="240"/>
      <c r="E345" s="517"/>
      <c r="F345" s="265"/>
      <c r="G345" s="513"/>
      <c r="H345" s="265"/>
      <c r="I345" s="520"/>
      <c r="J345" s="241"/>
      <c r="K345" s="520"/>
      <c r="L345" s="241"/>
      <c r="M345" s="521"/>
      <c r="N345" s="241"/>
      <c r="O345" s="521"/>
      <c r="P345" s="241"/>
      <c r="Q345" s="520"/>
      <c r="R345" s="241"/>
      <c r="S345" s="520"/>
      <c r="T345" s="241"/>
      <c r="U345" s="520"/>
      <c r="V345" s="241"/>
      <c r="W345" s="242"/>
      <c r="X345" s="241"/>
      <c r="Y345" s="242"/>
      <c r="Z345" s="241"/>
      <c r="AA345" s="241"/>
      <c r="AB345" s="275"/>
      <c r="AC345" s="524"/>
      <c r="AD345" s="241"/>
      <c r="AE345" s="241"/>
      <c r="AF345" s="241"/>
      <c r="AG345" s="241"/>
      <c r="AH345" s="241"/>
      <c r="AI345" s="241"/>
      <c r="AJ345" s="529"/>
      <c r="AK345" s="258"/>
      <c r="AL345" s="241"/>
      <c r="AM345" s="242"/>
      <c r="AN345" s="241"/>
      <c r="AO345" s="242"/>
      <c r="AP345" s="241"/>
      <c r="AQ345" s="242"/>
      <c r="AR345" s="241"/>
      <c r="AS345" s="242"/>
      <c r="AT345" s="241"/>
      <c r="AU345" s="241"/>
      <c r="AV345" s="256"/>
      <c r="AW345" s="241"/>
      <c r="AX345" s="256"/>
      <c r="AY345" s="241"/>
      <c r="AZ345" s="256"/>
      <c r="BA345" s="239"/>
      <c r="BB345" s="242"/>
      <c r="BC345" s="239"/>
      <c r="BD345" s="242"/>
      <c r="BE345" s="239"/>
      <c r="BF345" s="241"/>
      <c r="BG345" s="239"/>
      <c r="BH345" s="241"/>
      <c r="BI345" s="260"/>
      <c r="BJ345" s="241"/>
      <c r="BK345" s="260"/>
      <c r="BL345" s="239"/>
      <c r="BM345" s="256"/>
      <c r="BN345" s="241"/>
      <c r="BO345" s="243"/>
      <c r="BP345" s="241"/>
      <c r="BQ345" s="239"/>
      <c r="BR345" s="276"/>
      <c r="BS345" s="256"/>
      <c r="BT345" s="260"/>
      <c r="BU345" s="261"/>
      <c r="BV345" s="260"/>
      <c r="BW345" s="239"/>
      <c r="BX345" s="260"/>
      <c r="BY345" s="260"/>
      <c r="BZ345" s="239"/>
      <c r="CA345" s="260"/>
      <c r="CB345" s="239"/>
      <c r="CC345" s="260"/>
      <c r="CD345" s="539"/>
      <c r="CE345" s="239"/>
      <c r="CF345" s="276"/>
      <c r="CG345" s="256"/>
      <c r="CH345" s="259"/>
      <c r="CI345" s="347"/>
      <c r="CJ345" s="540"/>
      <c r="CK345" s="256"/>
      <c r="CL345" s="244">
        <v>1</v>
      </c>
      <c r="CM345" s="274">
        <f t="shared" si="5"/>
        <v>2015</v>
      </c>
      <c r="CN345" s="244">
        <f>IF('Grille de saisie'!CM345&lt;18,0,IF('Grille de saisie'!CM345&lt;40,1,IF('Grille de saisie'!CM345&lt;65,2,IF('Grille de saisie'!CM345&lt;100,3,4))))</f>
        <v>4</v>
      </c>
      <c r="CO345" s="236">
        <f>IF(AND('Grille de saisie'!C345=1,'Grille de saisie'!BZ345=0),1,IF(AND('Grille de saisie'!C345="",'Grille de saisie'!BZ345=""),3,IF(AND('Grille de saisie'!C345=5),3,2)))</f>
        <v>3</v>
      </c>
      <c r="CP345" s="236">
        <f>IF(AND('Grille de saisie'!C345=1,'Grille de saisie'!BZ345=0),1,IF(AND('Grille de saisie'!C345=1,'Grille de saisie'!BZ345=1),2,IF(AND('Grille de saisie'!C345=2,'Grille de saisie'!BZ345=0),2,IF(AND('Grille de saisie'!C345=3,'Grille de saisie'!BZ345=0),3,IF(AND('Grille de saisie'!C345=2,'Grille de saisie'!BZ345=1),3,IF(AND('Grille de saisie'!C345=1,'Grille de saisie'!BZ345=2),3,IF(AND('Grille de saisie'!C345="",'Grille de saisie'!BZ345=""),5,IF(AND('Grille de saisie'!C345=5),5,4))))))))</f>
        <v>5</v>
      </c>
      <c r="CQ345" s="237">
        <f>IF('Grille de saisie'!BZ345="",3,IF('Grille de saisie'!C345=5,3,IF('Grille de saisie'!BZ345=0,1,2)))</f>
        <v>3</v>
      </c>
    </row>
    <row r="346" spans="1:95" ht="15">
      <c r="A346" s="510">
        <v>344</v>
      </c>
      <c r="B346" s="240"/>
      <c r="C346" s="513"/>
      <c r="D346" s="240"/>
      <c r="E346" s="517"/>
      <c r="F346" s="265"/>
      <c r="G346" s="513"/>
      <c r="H346" s="265"/>
      <c r="I346" s="520"/>
      <c r="J346" s="241"/>
      <c r="K346" s="520"/>
      <c r="L346" s="241"/>
      <c r="M346" s="521"/>
      <c r="N346" s="241"/>
      <c r="O346" s="521"/>
      <c r="P346" s="241"/>
      <c r="Q346" s="520"/>
      <c r="R346" s="241"/>
      <c r="S346" s="520"/>
      <c r="T346" s="241"/>
      <c r="U346" s="520"/>
      <c r="V346" s="241"/>
      <c r="W346" s="242"/>
      <c r="X346" s="241"/>
      <c r="Y346" s="242"/>
      <c r="Z346" s="241"/>
      <c r="AA346" s="241"/>
      <c r="AB346" s="275"/>
      <c r="AC346" s="524"/>
      <c r="AD346" s="241"/>
      <c r="AE346" s="241"/>
      <c r="AF346" s="241"/>
      <c r="AG346" s="241"/>
      <c r="AH346" s="241"/>
      <c r="AI346" s="241"/>
      <c r="AJ346" s="529"/>
      <c r="AK346" s="258"/>
      <c r="AL346" s="241"/>
      <c r="AM346" s="242"/>
      <c r="AN346" s="241"/>
      <c r="AO346" s="242"/>
      <c r="AP346" s="241"/>
      <c r="AQ346" s="242"/>
      <c r="AR346" s="241"/>
      <c r="AS346" s="242"/>
      <c r="AT346" s="241"/>
      <c r="AU346" s="241"/>
      <c r="AV346" s="256"/>
      <c r="AW346" s="241"/>
      <c r="AX346" s="256"/>
      <c r="AY346" s="241"/>
      <c r="AZ346" s="256"/>
      <c r="BA346" s="239"/>
      <c r="BB346" s="242"/>
      <c r="BC346" s="239"/>
      <c r="BD346" s="242"/>
      <c r="BE346" s="239"/>
      <c r="BF346" s="241"/>
      <c r="BG346" s="239"/>
      <c r="BH346" s="241"/>
      <c r="BI346" s="260"/>
      <c r="BJ346" s="241"/>
      <c r="BK346" s="260"/>
      <c r="BL346" s="239"/>
      <c r="BM346" s="256"/>
      <c r="BN346" s="241"/>
      <c r="BO346" s="243"/>
      <c r="BP346" s="241"/>
      <c r="BQ346" s="239"/>
      <c r="BR346" s="276"/>
      <c r="BS346" s="256"/>
      <c r="BT346" s="260"/>
      <c r="BU346" s="261"/>
      <c r="BV346" s="260"/>
      <c r="BW346" s="239"/>
      <c r="BX346" s="260"/>
      <c r="BY346" s="260"/>
      <c r="BZ346" s="239"/>
      <c r="CA346" s="260"/>
      <c r="CB346" s="239"/>
      <c r="CC346" s="260"/>
      <c r="CD346" s="539"/>
      <c r="CE346" s="239"/>
      <c r="CF346" s="276"/>
      <c r="CG346" s="256"/>
      <c r="CH346" s="259"/>
      <c r="CI346" s="347"/>
      <c r="CJ346" s="540"/>
      <c r="CK346" s="256"/>
      <c r="CL346" s="244">
        <v>1</v>
      </c>
      <c r="CM346" s="274">
        <f t="shared" si="5"/>
        <v>2015</v>
      </c>
      <c r="CN346" s="244">
        <f>IF('Grille de saisie'!CM346&lt;18,0,IF('Grille de saisie'!CM346&lt;40,1,IF('Grille de saisie'!CM346&lt;65,2,IF('Grille de saisie'!CM346&lt;100,3,4))))</f>
        <v>4</v>
      </c>
      <c r="CO346" s="236">
        <f>IF(AND('Grille de saisie'!C346=1,'Grille de saisie'!BZ346=0),1,IF(AND('Grille de saisie'!C346="",'Grille de saisie'!BZ346=""),3,IF(AND('Grille de saisie'!C346=5),3,2)))</f>
        <v>3</v>
      </c>
      <c r="CP346" s="236">
        <f>IF(AND('Grille de saisie'!C346=1,'Grille de saisie'!BZ346=0),1,IF(AND('Grille de saisie'!C346=1,'Grille de saisie'!BZ346=1),2,IF(AND('Grille de saisie'!C346=2,'Grille de saisie'!BZ346=0),2,IF(AND('Grille de saisie'!C346=3,'Grille de saisie'!BZ346=0),3,IF(AND('Grille de saisie'!C346=2,'Grille de saisie'!BZ346=1),3,IF(AND('Grille de saisie'!C346=1,'Grille de saisie'!BZ346=2),3,IF(AND('Grille de saisie'!C346="",'Grille de saisie'!BZ346=""),5,IF(AND('Grille de saisie'!C346=5),5,4))))))))</f>
        <v>5</v>
      </c>
      <c r="CQ346" s="237">
        <f>IF('Grille de saisie'!BZ346="",3,IF('Grille de saisie'!C346=5,3,IF('Grille de saisie'!BZ346=0,1,2)))</f>
        <v>3</v>
      </c>
    </row>
    <row r="347" spans="1:95" ht="15">
      <c r="A347" s="510">
        <v>345</v>
      </c>
      <c r="B347" s="240"/>
      <c r="C347" s="513"/>
      <c r="D347" s="240"/>
      <c r="E347" s="517"/>
      <c r="F347" s="265"/>
      <c r="G347" s="513"/>
      <c r="H347" s="265"/>
      <c r="I347" s="520"/>
      <c r="J347" s="241"/>
      <c r="K347" s="520"/>
      <c r="L347" s="241"/>
      <c r="M347" s="521"/>
      <c r="N347" s="241"/>
      <c r="O347" s="521"/>
      <c r="P347" s="241"/>
      <c r="Q347" s="520"/>
      <c r="R347" s="241"/>
      <c r="S347" s="520"/>
      <c r="T347" s="241"/>
      <c r="U347" s="520"/>
      <c r="V347" s="241"/>
      <c r="W347" s="242"/>
      <c r="X347" s="241"/>
      <c r="Y347" s="242"/>
      <c r="Z347" s="241"/>
      <c r="AA347" s="241"/>
      <c r="AB347" s="275"/>
      <c r="AC347" s="524"/>
      <c r="AD347" s="241"/>
      <c r="AE347" s="241"/>
      <c r="AF347" s="241"/>
      <c r="AG347" s="241"/>
      <c r="AH347" s="241"/>
      <c r="AI347" s="241"/>
      <c r="AJ347" s="529"/>
      <c r="AK347" s="258"/>
      <c r="AL347" s="241"/>
      <c r="AM347" s="242"/>
      <c r="AN347" s="241"/>
      <c r="AO347" s="242"/>
      <c r="AP347" s="241"/>
      <c r="AQ347" s="242"/>
      <c r="AR347" s="241"/>
      <c r="AS347" s="242"/>
      <c r="AT347" s="241"/>
      <c r="AU347" s="241"/>
      <c r="AV347" s="256"/>
      <c r="AW347" s="241"/>
      <c r="AX347" s="256"/>
      <c r="AY347" s="241"/>
      <c r="AZ347" s="256"/>
      <c r="BA347" s="239"/>
      <c r="BB347" s="242"/>
      <c r="BC347" s="239"/>
      <c r="BD347" s="242"/>
      <c r="BE347" s="239"/>
      <c r="BF347" s="241"/>
      <c r="BG347" s="239"/>
      <c r="BH347" s="241"/>
      <c r="BI347" s="260"/>
      <c r="BJ347" s="241"/>
      <c r="BK347" s="260"/>
      <c r="BL347" s="239"/>
      <c r="BM347" s="256"/>
      <c r="BN347" s="241"/>
      <c r="BO347" s="243"/>
      <c r="BP347" s="241"/>
      <c r="BQ347" s="239"/>
      <c r="BR347" s="276"/>
      <c r="BS347" s="256"/>
      <c r="BT347" s="260"/>
      <c r="BU347" s="261"/>
      <c r="BV347" s="260"/>
      <c r="BW347" s="239"/>
      <c r="BX347" s="260"/>
      <c r="BY347" s="260"/>
      <c r="BZ347" s="239"/>
      <c r="CA347" s="260"/>
      <c r="CB347" s="239"/>
      <c r="CC347" s="260"/>
      <c r="CD347" s="539"/>
      <c r="CE347" s="239"/>
      <c r="CF347" s="276"/>
      <c r="CG347" s="256"/>
      <c r="CH347" s="259"/>
      <c r="CI347" s="347"/>
      <c r="CJ347" s="540"/>
      <c r="CK347" s="256"/>
      <c r="CL347" s="244">
        <v>1</v>
      </c>
      <c r="CM347" s="274">
        <f t="shared" si="5"/>
        <v>2015</v>
      </c>
      <c r="CN347" s="244">
        <f>IF('Grille de saisie'!CM347&lt;18,0,IF('Grille de saisie'!CM347&lt;40,1,IF('Grille de saisie'!CM347&lt;65,2,IF('Grille de saisie'!CM347&lt;100,3,4))))</f>
        <v>4</v>
      </c>
      <c r="CO347" s="236">
        <f>IF(AND('Grille de saisie'!C347=1,'Grille de saisie'!BZ347=0),1,IF(AND('Grille de saisie'!C347="",'Grille de saisie'!BZ347=""),3,IF(AND('Grille de saisie'!C347=5),3,2)))</f>
        <v>3</v>
      </c>
      <c r="CP347" s="236">
        <f>IF(AND('Grille de saisie'!C347=1,'Grille de saisie'!BZ347=0),1,IF(AND('Grille de saisie'!C347=1,'Grille de saisie'!BZ347=1),2,IF(AND('Grille de saisie'!C347=2,'Grille de saisie'!BZ347=0),2,IF(AND('Grille de saisie'!C347=3,'Grille de saisie'!BZ347=0),3,IF(AND('Grille de saisie'!C347=2,'Grille de saisie'!BZ347=1),3,IF(AND('Grille de saisie'!C347=1,'Grille de saisie'!BZ347=2),3,IF(AND('Grille de saisie'!C347="",'Grille de saisie'!BZ347=""),5,IF(AND('Grille de saisie'!C347=5),5,4))))))))</f>
        <v>5</v>
      </c>
      <c r="CQ347" s="237">
        <f>IF('Grille de saisie'!BZ347="",3,IF('Grille de saisie'!C347=5,3,IF('Grille de saisie'!BZ347=0,1,2)))</f>
        <v>3</v>
      </c>
    </row>
    <row r="348" spans="1:95" ht="15">
      <c r="A348" s="511">
        <v>346</v>
      </c>
      <c r="B348" s="240"/>
      <c r="C348" s="513"/>
      <c r="D348" s="240"/>
      <c r="E348" s="517"/>
      <c r="F348" s="265"/>
      <c r="G348" s="513"/>
      <c r="H348" s="265"/>
      <c r="I348" s="520"/>
      <c r="J348" s="241"/>
      <c r="K348" s="520"/>
      <c r="L348" s="241"/>
      <c r="M348" s="521"/>
      <c r="N348" s="241"/>
      <c r="O348" s="521"/>
      <c r="P348" s="241"/>
      <c r="Q348" s="520"/>
      <c r="R348" s="241"/>
      <c r="S348" s="520"/>
      <c r="T348" s="241"/>
      <c r="U348" s="520"/>
      <c r="V348" s="241"/>
      <c r="W348" s="242"/>
      <c r="X348" s="241"/>
      <c r="Y348" s="242"/>
      <c r="Z348" s="241"/>
      <c r="AA348" s="241"/>
      <c r="AB348" s="275"/>
      <c r="AC348" s="524"/>
      <c r="AD348" s="241"/>
      <c r="AE348" s="241"/>
      <c r="AF348" s="241"/>
      <c r="AG348" s="241"/>
      <c r="AH348" s="241"/>
      <c r="AI348" s="241"/>
      <c r="AJ348" s="529"/>
      <c r="AK348" s="258"/>
      <c r="AL348" s="241"/>
      <c r="AM348" s="242"/>
      <c r="AN348" s="241"/>
      <c r="AO348" s="242"/>
      <c r="AP348" s="241"/>
      <c r="AQ348" s="242"/>
      <c r="AR348" s="241"/>
      <c r="AS348" s="242"/>
      <c r="AT348" s="241"/>
      <c r="AU348" s="241"/>
      <c r="AV348" s="256"/>
      <c r="AW348" s="241"/>
      <c r="AX348" s="256"/>
      <c r="AY348" s="241"/>
      <c r="AZ348" s="256"/>
      <c r="BA348" s="239"/>
      <c r="BB348" s="242"/>
      <c r="BC348" s="239"/>
      <c r="BD348" s="242"/>
      <c r="BE348" s="239"/>
      <c r="BF348" s="241"/>
      <c r="BG348" s="239"/>
      <c r="BH348" s="241"/>
      <c r="BI348" s="260"/>
      <c r="BJ348" s="241"/>
      <c r="BK348" s="260"/>
      <c r="BL348" s="239"/>
      <c r="BM348" s="256"/>
      <c r="BN348" s="241"/>
      <c r="BO348" s="243"/>
      <c r="BP348" s="241"/>
      <c r="BQ348" s="239"/>
      <c r="BR348" s="276"/>
      <c r="BS348" s="256"/>
      <c r="BT348" s="260"/>
      <c r="BU348" s="261"/>
      <c r="BV348" s="260"/>
      <c r="BW348" s="239"/>
      <c r="BX348" s="260"/>
      <c r="BY348" s="260"/>
      <c r="BZ348" s="239"/>
      <c r="CA348" s="260"/>
      <c r="CB348" s="239"/>
      <c r="CC348" s="260"/>
      <c r="CD348" s="539"/>
      <c r="CE348" s="239"/>
      <c r="CF348" s="276"/>
      <c r="CG348" s="256"/>
      <c r="CH348" s="259"/>
      <c r="CI348" s="347"/>
      <c r="CJ348" s="540"/>
      <c r="CK348" s="256"/>
      <c r="CL348" s="244">
        <v>1</v>
      </c>
      <c r="CM348" s="274">
        <f t="shared" si="5"/>
        <v>2015</v>
      </c>
      <c r="CN348" s="244">
        <f>IF('Grille de saisie'!CM348&lt;18,0,IF('Grille de saisie'!CM348&lt;40,1,IF('Grille de saisie'!CM348&lt;65,2,IF('Grille de saisie'!CM348&lt;100,3,4))))</f>
        <v>4</v>
      </c>
      <c r="CO348" s="236">
        <f>IF(AND('Grille de saisie'!C348=1,'Grille de saisie'!BZ348=0),1,IF(AND('Grille de saisie'!C348="",'Grille de saisie'!BZ348=""),3,IF(AND('Grille de saisie'!C348=5),3,2)))</f>
        <v>3</v>
      </c>
      <c r="CP348" s="236">
        <f>IF(AND('Grille de saisie'!C348=1,'Grille de saisie'!BZ348=0),1,IF(AND('Grille de saisie'!C348=1,'Grille de saisie'!BZ348=1),2,IF(AND('Grille de saisie'!C348=2,'Grille de saisie'!BZ348=0),2,IF(AND('Grille de saisie'!C348=3,'Grille de saisie'!BZ348=0),3,IF(AND('Grille de saisie'!C348=2,'Grille de saisie'!BZ348=1),3,IF(AND('Grille de saisie'!C348=1,'Grille de saisie'!BZ348=2),3,IF(AND('Grille de saisie'!C348="",'Grille de saisie'!BZ348=""),5,IF(AND('Grille de saisie'!C348=5),5,4))))))))</f>
        <v>5</v>
      </c>
      <c r="CQ348" s="237">
        <f>IF('Grille de saisie'!BZ348="",3,IF('Grille de saisie'!C348=5,3,IF('Grille de saisie'!BZ348=0,1,2)))</f>
        <v>3</v>
      </c>
    </row>
    <row r="349" spans="1:95" ht="15">
      <c r="A349" s="510">
        <v>347</v>
      </c>
      <c r="B349" s="240"/>
      <c r="C349" s="513"/>
      <c r="D349" s="240"/>
      <c r="E349" s="517"/>
      <c r="F349" s="265"/>
      <c r="G349" s="513"/>
      <c r="H349" s="265"/>
      <c r="I349" s="520"/>
      <c r="J349" s="241"/>
      <c r="K349" s="520"/>
      <c r="L349" s="241"/>
      <c r="M349" s="521"/>
      <c r="N349" s="241"/>
      <c r="O349" s="521"/>
      <c r="P349" s="241"/>
      <c r="Q349" s="520"/>
      <c r="R349" s="241"/>
      <c r="S349" s="520"/>
      <c r="T349" s="241"/>
      <c r="U349" s="520"/>
      <c r="V349" s="241"/>
      <c r="W349" s="242"/>
      <c r="X349" s="241"/>
      <c r="Y349" s="242"/>
      <c r="Z349" s="241"/>
      <c r="AA349" s="241"/>
      <c r="AB349" s="275"/>
      <c r="AC349" s="524"/>
      <c r="AD349" s="241"/>
      <c r="AE349" s="241"/>
      <c r="AF349" s="241"/>
      <c r="AG349" s="241"/>
      <c r="AH349" s="241"/>
      <c r="AI349" s="241"/>
      <c r="AJ349" s="529"/>
      <c r="AK349" s="258"/>
      <c r="AL349" s="241"/>
      <c r="AM349" s="242"/>
      <c r="AN349" s="241"/>
      <c r="AO349" s="242"/>
      <c r="AP349" s="241"/>
      <c r="AQ349" s="242"/>
      <c r="AR349" s="241"/>
      <c r="AS349" s="242"/>
      <c r="AT349" s="241"/>
      <c r="AU349" s="241"/>
      <c r="AV349" s="256"/>
      <c r="AW349" s="241"/>
      <c r="AX349" s="256"/>
      <c r="AY349" s="241"/>
      <c r="AZ349" s="256"/>
      <c r="BA349" s="239"/>
      <c r="BB349" s="242"/>
      <c r="BC349" s="239"/>
      <c r="BD349" s="242"/>
      <c r="BE349" s="239"/>
      <c r="BF349" s="241"/>
      <c r="BG349" s="239"/>
      <c r="BH349" s="241"/>
      <c r="BI349" s="260"/>
      <c r="BJ349" s="241"/>
      <c r="BK349" s="260"/>
      <c r="BL349" s="239"/>
      <c r="BM349" s="256"/>
      <c r="BN349" s="241"/>
      <c r="BO349" s="243"/>
      <c r="BP349" s="241"/>
      <c r="BQ349" s="239"/>
      <c r="BR349" s="276"/>
      <c r="BS349" s="256"/>
      <c r="BT349" s="260"/>
      <c r="BU349" s="261"/>
      <c r="BV349" s="260"/>
      <c r="BW349" s="239"/>
      <c r="BX349" s="260"/>
      <c r="BY349" s="260"/>
      <c r="BZ349" s="239"/>
      <c r="CA349" s="260"/>
      <c r="CB349" s="239"/>
      <c r="CC349" s="260"/>
      <c r="CD349" s="539"/>
      <c r="CE349" s="239"/>
      <c r="CF349" s="276"/>
      <c r="CG349" s="256"/>
      <c r="CH349" s="259"/>
      <c r="CI349" s="347"/>
      <c r="CJ349" s="540"/>
      <c r="CK349" s="256"/>
      <c r="CL349" s="244">
        <v>1</v>
      </c>
      <c r="CM349" s="274">
        <f t="shared" si="5"/>
        <v>2015</v>
      </c>
      <c r="CN349" s="244">
        <f>IF('Grille de saisie'!CM349&lt;18,0,IF('Grille de saisie'!CM349&lt;40,1,IF('Grille de saisie'!CM349&lt;65,2,IF('Grille de saisie'!CM349&lt;100,3,4))))</f>
        <v>4</v>
      </c>
      <c r="CO349" s="236">
        <f>IF(AND('Grille de saisie'!C349=1,'Grille de saisie'!BZ349=0),1,IF(AND('Grille de saisie'!C349="",'Grille de saisie'!BZ349=""),3,IF(AND('Grille de saisie'!C349=5),3,2)))</f>
        <v>3</v>
      </c>
      <c r="CP349" s="236">
        <f>IF(AND('Grille de saisie'!C349=1,'Grille de saisie'!BZ349=0),1,IF(AND('Grille de saisie'!C349=1,'Grille de saisie'!BZ349=1),2,IF(AND('Grille de saisie'!C349=2,'Grille de saisie'!BZ349=0),2,IF(AND('Grille de saisie'!C349=3,'Grille de saisie'!BZ349=0),3,IF(AND('Grille de saisie'!C349=2,'Grille de saisie'!BZ349=1),3,IF(AND('Grille de saisie'!C349=1,'Grille de saisie'!BZ349=2),3,IF(AND('Grille de saisie'!C349="",'Grille de saisie'!BZ349=""),5,IF(AND('Grille de saisie'!C349=5),5,4))))))))</f>
        <v>5</v>
      </c>
      <c r="CQ349" s="237">
        <f>IF('Grille de saisie'!BZ349="",3,IF('Grille de saisie'!C349=5,3,IF('Grille de saisie'!BZ349=0,1,2)))</f>
        <v>3</v>
      </c>
    </row>
    <row r="350" spans="1:95" ht="15">
      <c r="A350" s="510">
        <v>348</v>
      </c>
      <c r="B350" s="240"/>
      <c r="C350" s="513"/>
      <c r="D350" s="240"/>
      <c r="E350" s="517"/>
      <c r="F350" s="265"/>
      <c r="G350" s="513"/>
      <c r="H350" s="265"/>
      <c r="I350" s="520"/>
      <c r="J350" s="241"/>
      <c r="K350" s="520"/>
      <c r="L350" s="241"/>
      <c r="M350" s="521"/>
      <c r="N350" s="241"/>
      <c r="O350" s="521"/>
      <c r="P350" s="241"/>
      <c r="Q350" s="520"/>
      <c r="R350" s="241"/>
      <c r="S350" s="520"/>
      <c r="T350" s="241"/>
      <c r="U350" s="520"/>
      <c r="V350" s="241"/>
      <c r="W350" s="242"/>
      <c r="X350" s="241"/>
      <c r="Y350" s="242"/>
      <c r="Z350" s="241"/>
      <c r="AA350" s="241"/>
      <c r="AB350" s="275"/>
      <c r="AC350" s="524"/>
      <c r="AD350" s="241"/>
      <c r="AE350" s="241"/>
      <c r="AF350" s="241"/>
      <c r="AG350" s="241"/>
      <c r="AH350" s="241"/>
      <c r="AI350" s="241"/>
      <c r="AJ350" s="529"/>
      <c r="AK350" s="258"/>
      <c r="AL350" s="241"/>
      <c r="AM350" s="242"/>
      <c r="AN350" s="241"/>
      <c r="AO350" s="242"/>
      <c r="AP350" s="241"/>
      <c r="AQ350" s="242"/>
      <c r="AR350" s="241"/>
      <c r="AS350" s="242"/>
      <c r="AT350" s="241"/>
      <c r="AU350" s="241"/>
      <c r="AV350" s="256"/>
      <c r="AW350" s="241"/>
      <c r="AX350" s="256"/>
      <c r="AY350" s="241"/>
      <c r="AZ350" s="256"/>
      <c r="BA350" s="239"/>
      <c r="BB350" s="242"/>
      <c r="BC350" s="239"/>
      <c r="BD350" s="242"/>
      <c r="BE350" s="239"/>
      <c r="BF350" s="241"/>
      <c r="BG350" s="239"/>
      <c r="BH350" s="241"/>
      <c r="BI350" s="260"/>
      <c r="BJ350" s="241"/>
      <c r="BK350" s="260"/>
      <c r="BL350" s="239"/>
      <c r="BM350" s="256"/>
      <c r="BN350" s="241"/>
      <c r="BO350" s="243"/>
      <c r="BP350" s="241"/>
      <c r="BQ350" s="239"/>
      <c r="BR350" s="276"/>
      <c r="BS350" s="256"/>
      <c r="BT350" s="260"/>
      <c r="BU350" s="261"/>
      <c r="BV350" s="260"/>
      <c r="BW350" s="239"/>
      <c r="BX350" s="260"/>
      <c r="BY350" s="260"/>
      <c r="BZ350" s="239"/>
      <c r="CA350" s="260"/>
      <c r="CB350" s="239"/>
      <c r="CC350" s="260"/>
      <c r="CD350" s="539"/>
      <c r="CE350" s="239"/>
      <c r="CF350" s="276"/>
      <c r="CG350" s="256"/>
      <c r="CH350" s="259"/>
      <c r="CI350" s="347"/>
      <c r="CJ350" s="540"/>
      <c r="CK350" s="256"/>
      <c r="CL350" s="244">
        <v>1</v>
      </c>
      <c r="CM350" s="274">
        <f t="shared" si="5"/>
        <v>2015</v>
      </c>
      <c r="CN350" s="244">
        <f>IF('Grille de saisie'!CM350&lt;18,0,IF('Grille de saisie'!CM350&lt;40,1,IF('Grille de saisie'!CM350&lt;65,2,IF('Grille de saisie'!CM350&lt;100,3,4))))</f>
        <v>4</v>
      </c>
      <c r="CO350" s="236">
        <f>IF(AND('Grille de saisie'!C350=1,'Grille de saisie'!BZ350=0),1,IF(AND('Grille de saisie'!C350="",'Grille de saisie'!BZ350=""),3,IF(AND('Grille de saisie'!C350=5),3,2)))</f>
        <v>3</v>
      </c>
      <c r="CP350" s="236">
        <f>IF(AND('Grille de saisie'!C350=1,'Grille de saisie'!BZ350=0),1,IF(AND('Grille de saisie'!C350=1,'Grille de saisie'!BZ350=1),2,IF(AND('Grille de saisie'!C350=2,'Grille de saisie'!BZ350=0),2,IF(AND('Grille de saisie'!C350=3,'Grille de saisie'!BZ350=0),3,IF(AND('Grille de saisie'!C350=2,'Grille de saisie'!BZ350=1),3,IF(AND('Grille de saisie'!C350=1,'Grille de saisie'!BZ350=2),3,IF(AND('Grille de saisie'!C350="",'Grille de saisie'!BZ350=""),5,IF(AND('Grille de saisie'!C350=5),5,4))))))))</f>
        <v>5</v>
      </c>
      <c r="CQ350" s="237">
        <f>IF('Grille de saisie'!BZ350="",3,IF('Grille de saisie'!C350=5,3,IF('Grille de saisie'!BZ350=0,1,2)))</f>
        <v>3</v>
      </c>
    </row>
    <row r="351" spans="1:95" ht="15">
      <c r="A351" s="511">
        <v>349</v>
      </c>
      <c r="B351" s="240"/>
      <c r="C351" s="513"/>
      <c r="D351" s="240"/>
      <c r="E351" s="517"/>
      <c r="F351" s="265"/>
      <c r="G351" s="513"/>
      <c r="H351" s="265"/>
      <c r="I351" s="520"/>
      <c r="J351" s="241"/>
      <c r="K351" s="520"/>
      <c r="L351" s="241"/>
      <c r="M351" s="521"/>
      <c r="N351" s="241"/>
      <c r="O351" s="521"/>
      <c r="P351" s="241"/>
      <c r="Q351" s="520"/>
      <c r="R351" s="241"/>
      <c r="S351" s="520"/>
      <c r="T351" s="241"/>
      <c r="U351" s="520"/>
      <c r="V351" s="241"/>
      <c r="W351" s="242"/>
      <c r="X351" s="241"/>
      <c r="Y351" s="242"/>
      <c r="Z351" s="241"/>
      <c r="AA351" s="241"/>
      <c r="AB351" s="275"/>
      <c r="AC351" s="524"/>
      <c r="AD351" s="241"/>
      <c r="AE351" s="241"/>
      <c r="AF351" s="241"/>
      <c r="AG351" s="241"/>
      <c r="AH351" s="241"/>
      <c r="AI351" s="241"/>
      <c r="AJ351" s="529"/>
      <c r="AK351" s="258"/>
      <c r="AL351" s="241"/>
      <c r="AM351" s="242"/>
      <c r="AN351" s="241"/>
      <c r="AO351" s="242"/>
      <c r="AP351" s="241"/>
      <c r="AQ351" s="242"/>
      <c r="AR351" s="241"/>
      <c r="AS351" s="242"/>
      <c r="AT351" s="241"/>
      <c r="AU351" s="241"/>
      <c r="AV351" s="256"/>
      <c r="AW351" s="241"/>
      <c r="AX351" s="256"/>
      <c r="AY351" s="241"/>
      <c r="AZ351" s="256"/>
      <c r="BA351" s="239"/>
      <c r="BB351" s="242"/>
      <c r="BC351" s="239"/>
      <c r="BD351" s="242"/>
      <c r="BE351" s="239"/>
      <c r="BF351" s="241"/>
      <c r="BG351" s="239"/>
      <c r="BH351" s="241"/>
      <c r="BI351" s="260"/>
      <c r="BJ351" s="241"/>
      <c r="BK351" s="260"/>
      <c r="BL351" s="239"/>
      <c r="BM351" s="256"/>
      <c r="BN351" s="241"/>
      <c r="BO351" s="243"/>
      <c r="BP351" s="241"/>
      <c r="BQ351" s="239"/>
      <c r="BR351" s="276"/>
      <c r="BS351" s="256"/>
      <c r="BT351" s="260"/>
      <c r="BU351" s="261"/>
      <c r="BV351" s="260"/>
      <c r="BW351" s="239"/>
      <c r="BX351" s="260"/>
      <c r="BY351" s="260"/>
      <c r="BZ351" s="239"/>
      <c r="CA351" s="260"/>
      <c r="CB351" s="239"/>
      <c r="CC351" s="260"/>
      <c r="CD351" s="539"/>
      <c r="CE351" s="239"/>
      <c r="CF351" s="276"/>
      <c r="CG351" s="256"/>
      <c r="CH351" s="259"/>
      <c r="CI351" s="347"/>
      <c r="CJ351" s="540"/>
      <c r="CK351" s="256"/>
      <c r="CL351" s="244">
        <v>1</v>
      </c>
      <c r="CM351" s="274">
        <f t="shared" si="5"/>
        <v>2015</v>
      </c>
      <c r="CN351" s="244">
        <f>IF('Grille de saisie'!CM351&lt;18,0,IF('Grille de saisie'!CM351&lt;40,1,IF('Grille de saisie'!CM351&lt;65,2,IF('Grille de saisie'!CM351&lt;100,3,4))))</f>
        <v>4</v>
      </c>
      <c r="CO351" s="236">
        <f>IF(AND('Grille de saisie'!C351=1,'Grille de saisie'!BZ351=0),1,IF(AND('Grille de saisie'!C351="",'Grille de saisie'!BZ351=""),3,IF(AND('Grille de saisie'!C351=5),3,2)))</f>
        <v>3</v>
      </c>
      <c r="CP351" s="236">
        <f>IF(AND('Grille de saisie'!C351=1,'Grille de saisie'!BZ351=0),1,IF(AND('Grille de saisie'!C351=1,'Grille de saisie'!BZ351=1),2,IF(AND('Grille de saisie'!C351=2,'Grille de saisie'!BZ351=0),2,IF(AND('Grille de saisie'!C351=3,'Grille de saisie'!BZ351=0),3,IF(AND('Grille de saisie'!C351=2,'Grille de saisie'!BZ351=1),3,IF(AND('Grille de saisie'!C351=1,'Grille de saisie'!BZ351=2),3,IF(AND('Grille de saisie'!C351="",'Grille de saisie'!BZ351=""),5,IF(AND('Grille de saisie'!C351=5),5,4))))))))</f>
        <v>5</v>
      </c>
      <c r="CQ351" s="237">
        <f>IF('Grille de saisie'!BZ351="",3,IF('Grille de saisie'!C351=5,3,IF('Grille de saisie'!BZ351=0,1,2)))</f>
        <v>3</v>
      </c>
    </row>
    <row r="352" spans="1:95" ht="15">
      <c r="A352" s="510">
        <v>350</v>
      </c>
      <c r="B352" s="240"/>
      <c r="C352" s="513"/>
      <c r="D352" s="240"/>
      <c r="E352" s="517"/>
      <c r="F352" s="265"/>
      <c r="G352" s="513"/>
      <c r="H352" s="265"/>
      <c r="I352" s="520"/>
      <c r="J352" s="241"/>
      <c r="K352" s="520"/>
      <c r="L352" s="241"/>
      <c r="M352" s="521"/>
      <c r="N352" s="241"/>
      <c r="O352" s="521"/>
      <c r="P352" s="241"/>
      <c r="Q352" s="520"/>
      <c r="R352" s="241"/>
      <c r="S352" s="520"/>
      <c r="T352" s="241"/>
      <c r="U352" s="520"/>
      <c r="V352" s="241"/>
      <c r="W352" s="242"/>
      <c r="X352" s="241"/>
      <c r="Y352" s="242"/>
      <c r="Z352" s="241"/>
      <c r="AA352" s="241"/>
      <c r="AB352" s="275"/>
      <c r="AC352" s="524"/>
      <c r="AD352" s="241"/>
      <c r="AE352" s="241"/>
      <c r="AF352" s="241"/>
      <c r="AG352" s="241"/>
      <c r="AH352" s="241"/>
      <c r="AI352" s="241"/>
      <c r="AJ352" s="529"/>
      <c r="AK352" s="258"/>
      <c r="AL352" s="241"/>
      <c r="AM352" s="242"/>
      <c r="AN352" s="241"/>
      <c r="AO352" s="242"/>
      <c r="AP352" s="241"/>
      <c r="AQ352" s="242"/>
      <c r="AR352" s="241"/>
      <c r="AS352" s="242"/>
      <c r="AT352" s="241"/>
      <c r="AU352" s="241"/>
      <c r="AV352" s="256"/>
      <c r="AW352" s="241"/>
      <c r="AX352" s="256"/>
      <c r="AY352" s="241"/>
      <c r="AZ352" s="256"/>
      <c r="BA352" s="239"/>
      <c r="BB352" s="242"/>
      <c r="BC352" s="239"/>
      <c r="BD352" s="242"/>
      <c r="BE352" s="239"/>
      <c r="BF352" s="241"/>
      <c r="BG352" s="239"/>
      <c r="BH352" s="241"/>
      <c r="BI352" s="260"/>
      <c r="BJ352" s="241"/>
      <c r="BK352" s="260"/>
      <c r="BL352" s="239"/>
      <c r="BM352" s="256"/>
      <c r="BN352" s="241"/>
      <c r="BO352" s="243"/>
      <c r="BP352" s="241"/>
      <c r="BQ352" s="239"/>
      <c r="BR352" s="276"/>
      <c r="BS352" s="256"/>
      <c r="BT352" s="260"/>
      <c r="BU352" s="261"/>
      <c r="BV352" s="260"/>
      <c r="BW352" s="239"/>
      <c r="BX352" s="260"/>
      <c r="BY352" s="260"/>
      <c r="BZ352" s="239"/>
      <c r="CA352" s="260"/>
      <c r="CB352" s="239"/>
      <c r="CC352" s="260"/>
      <c r="CD352" s="539"/>
      <c r="CE352" s="239"/>
      <c r="CF352" s="276"/>
      <c r="CG352" s="256"/>
      <c r="CH352" s="259"/>
      <c r="CI352" s="347"/>
      <c r="CJ352" s="540"/>
      <c r="CK352" s="256"/>
      <c r="CL352" s="244">
        <v>1</v>
      </c>
      <c r="CM352" s="274">
        <f t="shared" si="5"/>
        <v>2015</v>
      </c>
      <c r="CN352" s="244">
        <f>IF('Grille de saisie'!CM352&lt;18,0,IF('Grille de saisie'!CM352&lt;40,1,IF('Grille de saisie'!CM352&lt;65,2,IF('Grille de saisie'!CM352&lt;100,3,4))))</f>
        <v>4</v>
      </c>
      <c r="CO352" s="236">
        <f>IF(AND('Grille de saisie'!C352=1,'Grille de saisie'!BZ352=0),1,IF(AND('Grille de saisie'!C352="",'Grille de saisie'!BZ352=""),3,IF(AND('Grille de saisie'!C352=5),3,2)))</f>
        <v>3</v>
      </c>
      <c r="CP352" s="236">
        <f>IF(AND('Grille de saisie'!C352=1,'Grille de saisie'!BZ352=0),1,IF(AND('Grille de saisie'!C352=1,'Grille de saisie'!BZ352=1),2,IF(AND('Grille de saisie'!C352=2,'Grille de saisie'!BZ352=0),2,IF(AND('Grille de saisie'!C352=3,'Grille de saisie'!BZ352=0),3,IF(AND('Grille de saisie'!C352=2,'Grille de saisie'!BZ352=1),3,IF(AND('Grille de saisie'!C352=1,'Grille de saisie'!BZ352=2),3,IF(AND('Grille de saisie'!C352="",'Grille de saisie'!BZ352=""),5,IF(AND('Grille de saisie'!C352=5),5,4))))))))</f>
        <v>5</v>
      </c>
      <c r="CQ352" s="237">
        <f>IF('Grille de saisie'!BZ352="",3,IF('Grille de saisie'!C352=5,3,IF('Grille de saisie'!BZ352=0,1,2)))</f>
        <v>3</v>
      </c>
    </row>
    <row r="353" spans="1:95" ht="15">
      <c r="A353" s="510">
        <v>351</v>
      </c>
      <c r="B353" s="240"/>
      <c r="C353" s="513"/>
      <c r="D353" s="240"/>
      <c r="E353" s="517"/>
      <c r="F353" s="265"/>
      <c r="G353" s="513"/>
      <c r="H353" s="265"/>
      <c r="I353" s="520"/>
      <c r="J353" s="241"/>
      <c r="K353" s="520"/>
      <c r="L353" s="241"/>
      <c r="M353" s="521"/>
      <c r="N353" s="241"/>
      <c r="O353" s="521"/>
      <c r="P353" s="241"/>
      <c r="Q353" s="520"/>
      <c r="R353" s="241"/>
      <c r="S353" s="520"/>
      <c r="T353" s="241"/>
      <c r="U353" s="520"/>
      <c r="V353" s="241"/>
      <c r="W353" s="242"/>
      <c r="X353" s="241"/>
      <c r="Y353" s="242"/>
      <c r="Z353" s="241"/>
      <c r="AA353" s="241"/>
      <c r="AB353" s="275"/>
      <c r="AC353" s="524"/>
      <c r="AD353" s="241"/>
      <c r="AE353" s="241"/>
      <c r="AF353" s="241"/>
      <c r="AG353" s="241"/>
      <c r="AH353" s="241"/>
      <c r="AI353" s="241"/>
      <c r="AJ353" s="529"/>
      <c r="AK353" s="258"/>
      <c r="AL353" s="241"/>
      <c r="AM353" s="242"/>
      <c r="AN353" s="241"/>
      <c r="AO353" s="242"/>
      <c r="AP353" s="241"/>
      <c r="AQ353" s="242"/>
      <c r="AR353" s="241"/>
      <c r="AS353" s="242"/>
      <c r="AT353" s="241"/>
      <c r="AU353" s="241"/>
      <c r="AV353" s="256"/>
      <c r="AW353" s="241"/>
      <c r="AX353" s="256"/>
      <c r="AY353" s="241"/>
      <c r="AZ353" s="256"/>
      <c r="BA353" s="239"/>
      <c r="BB353" s="242"/>
      <c r="BC353" s="239"/>
      <c r="BD353" s="242"/>
      <c r="BE353" s="239"/>
      <c r="BF353" s="241"/>
      <c r="BG353" s="239"/>
      <c r="BH353" s="241"/>
      <c r="BI353" s="260"/>
      <c r="BJ353" s="241"/>
      <c r="BK353" s="260"/>
      <c r="BL353" s="239"/>
      <c r="BM353" s="256"/>
      <c r="BN353" s="241"/>
      <c r="BO353" s="243"/>
      <c r="BP353" s="241"/>
      <c r="BQ353" s="239"/>
      <c r="BR353" s="276"/>
      <c r="BS353" s="256"/>
      <c r="BT353" s="260"/>
      <c r="BU353" s="261"/>
      <c r="BV353" s="260"/>
      <c r="BW353" s="239"/>
      <c r="BX353" s="260"/>
      <c r="BY353" s="260"/>
      <c r="BZ353" s="239"/>
      <c r="CA353" s="260"/>
      <c r="CB353" s="239"/>
      <c r="CC353" s="260"/>
      <c r="CD353" s="539"/>
      <c r="CE353" s="239"/>
      <c r="CF353" s="276"/>
      <c r="CG353" s="256"/>
      <c r="CH353" s="259"/>
      <c r="CI353" s="347"/>
      <c r="CJ353" s="540"/>
      <c r="CK353" s="256"/>
      <c r="CL353" s="244">
        <v>1</v>
      </c>
      <c r="CM353" s="274">
        <f t="shared" si="5"/>
        <v>2015</v>
      </c>
      <c r="CN353" s="244">
        <f>IF('Grille de saisie'!CM353&lt;18,0,IF('Grille de saisie'!CM353&lt;40,1,IF('Grille de saisie'!CM353&lt;65,2,IF('Grille de saisie'!CM353&lt;100,3,4))))</f>
        <v>4</v>
      </c>
      <c r="CO353" s="236">
        <f>IF(AND('Grille de saisie'!C353=1,'Grille de saisie'!BZ353=0),1,IF(AND('Grille de saisie'!C353="",'Grille de saisie'!BZ353=""),3,IF(AND('Grille de saisie'!C353=5),3,2)))</f>
        <v>3</v>
      </c>
      <c r="CP353" s="236">
        <f>IF(AND('Grille de saisie'!C353=1,'Grille de saisie'!BZ353=0),1,IF(AND('Grille de saisie'!C353=1,'Grille de saisie'!BZ353=1),2,IF(AND('Grille de saisie'!C353=2,'Grille de saisie'!BZ353=0),2,IF(AND('Grille de saisie'!C353=3,'Grille de saisie'!BZ353=0),3,IF(AND('Grille de saisie'!C353=2,'Grille de saisie'!BZ353=1),3,IF(AND('Grille de saisie'!C353=1,'Grille de saisie'!BZ353=2),3,IF(AND('Grille de saisie'!C353="",'Grille de saisie'!BZ353=""),5,IF(AND('Grille de saisie'!C353=5),5,4))))))))</f>
        <v>5</v>
      </c>
      <c r="CQ353" s="237">
        <f>IF('Grille de saisie'!BZ353="",3,IF('Grille de saisie'!C353=5,3,IF('Grille de saisie'!BZ353=0,1,2)))</f>
        <v>3</v>
      </c>
    </row>
    <row r="354" spans="1:95" ht="15">
      <c r="A354" s="511">
        <v>352</v>
      </c>
      <c r="B354" s="240"/>
      <c r="C354" s="513"/>
      <c r="D354" s="240"/>
      <c r="E354" s="517"/>
      <c r="F354" s="265"/>
      <c r="G354" s="513"/>
      <c r="H354" s="265"/>
      <c r="I354" s="520"/>
      <c r="J354" s="241"/>
      <c r="K354" s="520"/>
      <c r="L354" s="241"/>
      <c r="M354" s="521"/>
      <c r="N354" s="241"/>
      <c r="O354" s="521"/>
      <c r="P354" s="241"/>
      <c r="Q354" s="520"/>
      <c r="R354" s="241"/>
      <c r="S354" s="520"/>
      <c r="T354" s="241"/>
      <c r="U354" s="520"/>
      <c r="V354" s="241"/>
      <c r="W354" s="242"/>
      <c r="X354" s="241"/>
      <c r="Y354" s="242"/>
      <c r="Z354" s="241"/>
      <c r="AA354" s="241"/>
      <c r="AB354" s="275"/>
      <c r="AC354" s="524"/>
      <c r="AD354" s="241"/>
      <c r="AE354" s="241"/>
      <c r="AF354" s="241"/>
      <c r="AG354" s="241"/>
      <c r="AH354" s="241"/>
      <c r="AI354" s="241"/>
      <c r="AJ354" s="529"/>
      <c r="AK354" s="258"/>
      <c r="AL354" s="241"/>
      <c r="AM354" s="242"/>
      <c r="AN354" s="241"/>
      <c r="AO354" s="242"/>
      <c r="AP354" s="241"/>
      <c r="AQ354" s="242"/>
      <c r="AR354" s="241"/>
      <c r="AS354" s="242"/>
      <c r="AT354" s="241"/>
      <c r="AU354" s="241"/>
      <c r="AV354" s="256"/>
      <c r="AW354" s="241"/>
      <c r="AX354" s="256"/>
      <c r="AY354" s="241"/>
      <c r="AZ354" s="256"/>
      <c r="BA354" s="239"/>
      <c r="BB354" s="242"/>
      <c r="BC354" s="239"/>
      <c r="BD354" s="242"/>
      <c r="BE354" s="239"/>
      <c r="BF354" s="241"/>
      <c r="BG354" s="239"/>
      <c r="BH354" s="241"/>
      <c r="BI354" s="260"/>
      <c r="BJ354" s="241"/>
      <c r="BK354" s="260"/>
      <c r="BL354" s="239"/>
      <c r="BM354" s="256"/>
      <c r="BN354" s="241"/>
      <c r="BO354" s="243"/>
      <c r="BP354" s="241"/>
      <c r="BQ354" s="239"/>
      <c r="BR354" s="276"/>
      <c r="BS354" s="256"/>
      <c r="BT354" s="260"/>
      <c r="BU354" s="261"/>
      <c r="BV354" s="260"/>
      <c r="BW354" s="239"/>
      <c r="BX354" s="260"/>
      <c r="BY354" s="260"/>
      <c r="BZ354" s="239"/>
      <c r="CA354" s="260"/>
      <c r="CB354" s="239"/>
      <c r="CC354" s="260"/>
      <c r="CD354" s="539"/>
      <c r="CE354" s="239"/>
      <c r="CF354" s="276"/>
      <c r="CG354" s="256"/>
      <c r="CH354" s="259"/>
      <c r="CI354" s="347"/>
      <c r="CJ354" s="540"/>
      <c r="CK354" s="256"/>
      <c r="CL354" s="244">
        <v>1</v>
      </c>
      <c r="CM354" s="274">
        <f t="shared" si="5"/>
        <v>2015</v>
      </c>
      <c r="CN354" s="244">
        <f>IF('Grille de saisie'!CM354&lt;18,0,IF('Grille de saisie'!CM354&lt;40,1,IF('Grille de saisie'!CM354&lt;65,2,IF('Grille de saisie'!CM354&lt;100,3,4))))</f>
        <v>4</v>
      </c>
      <c r="CO354" s="236">
        <f>IF(AND('Grille de saisie'!C354=1,'Grille de saisie'!BZ354=0),1,IF(AND('Grille de saisie'!C354="",'Grille de saisie'!BZ354=""),3,IF(AND('Grille de saisie'!C354=5),3,2)))</f>
        <v>3</v>
      </c>
      <c r="CP354" s="236">
        <f>IF(AND('Grille de saisie'!C354=1,'Grille de saisie'!BZ354=0),1,IF(AND('Grille de saisie'!C354=1,'Grille de saisie'!BZ354=1),2,IF(AND('Grille de saisie'!C354=2,'Grille de saisie'!BZ354=0),2,IF(AND('Grille de saisie'!C354=3,'Grille de saisie'!BZ354=0),3,IF(AND('Grille de saisie'!C354=2,'Grille de saisie'!BZ354=1),3,IF(AND('Grille de saisie'!C354=1,'Grille de saisie'!BZ354=2),3,IF(AND('Grille de saisie'!C354="",'Grille de saisie'!BZ354=""),5,IF(AND('Grille de saisie'!C354=5),5,4))))))))</f>
        <v>5</v>
      </c>
      <c r="CQ354" s="237">
        <f>IF('Grille de saisie'!BZ354="",3,IF('Grille de saisie'!C354=5,3,IF('Grille de saisie'!BZ354=0,1,2)))</f>
        <v>3</v>
      </c>
    </row>
    <row r="355" spans="1:95" ht="15">
      <c r="A355" s="510">
        <v>353</v>
      </c>
      <c r="B355" s="240"/>
      <c r="C355" s="513"/>
      <c r="D355" s="240"/>
      <c r="E355" s="517"/>
      <c r="F355" s="265"/>
      <c r="G355" s="513"/>
      <c r="H355" s="265"/>
      <c r="I355" s="520"/>
      <c r="J355" s="241"/>
      <c r="K355" s="520"/>
      <c r="L355" s="241"/>
      <c r="M355" s="521"/>
      <c r="N355" s="241"/>
      <c r="O355" s="521"/>
      <c r="P355" s="241"/>
      <c r="Q355" s="520"/>
      <c r="R355" s="241"/>
      <c r="S355" s="520"/>
      <c r="T355" s="241"/>
      <c r="U355" s="520"/>
      <c r="V355" s="241"/>
      <c r="W355" s="242"/>
      <c r="X355" s="241"/>
      <c r="Y355" s="242"/>
      <c r="Z355" s="241"/>
      <c r="AA355" s="241"/>
      <c r="AB355" s="275"/>
      <c r="AC355" s="524"/>
      <c r="AD355" s="241"/>
      <c r="AE355" s="241"/>
      <c r="AF355" s="241"/>
      <c r="AG355" s="241"/>
      <c r="AH355" s="241"/>
      <c r="AI355" s="241"/>
      <c r="AJ355" s="529"/>
      <c r="AK355" s="258"/>
      <c r="AL355" s="241"/>
      <c r="AM355" s="242"/>
      <c r="AN355" s="241"/>
      <c r="AO355" s="242"/>
      <c r="AP355" s="241"/>
      <c r="AQ355" s="242"/>
      <c r="AR355" s="241"/>
      <c r="AS355" s="242"/>
      <c r="AT355" s="241"/>
      <c r="AU355" s="241"/>
      <c r="AV355" s="256"/>
      <c r="AW355" s="241"/>
      <c r="AX355" s="256"/>
      <c r="AY355" s="241"/>
      <c r="AZ355" s="256"/>
      <c r="BA355" s="239"/>
      <c r="BB355" s="242"/>
      <c r="BC355" s="239"/>
      <c r="BD355" s="242"/>
      <c r="BE355" s="239"/>
      <c r="BF355" s="241"/>
      <c r="BG355" s="239"/>
      <c r="BH355" s="241"/>
      <c r="BI355" s="260"/>
      <c r="BJ355" s="241"/>
      <c r="BK355" s="260"/>
      <c r="BL355" s="239"/>
      <c r="BM355" s="256"/>
      <c r="BN355" s="241"/>
      <c r="BO355" s="243"/>
      <c r="BP355" s="241"/>
      <c r="BQ355" s="239"/>
      <c r="BR355" s="276"/>
      <c r="BS355" s="256"/>
      <c r="BT355" s="260"/>
      <c r="BU355" s="261"/>
      <c r="BV355" s="260"/>
      <c r="BW355" s="239"/>
      <c r="BX355" s="260"/>
      <c r="BY355" s="260"/>
      <c r="BZ355" s="239"/>
      <c r="CA355" s="260"/>
      <c r="CB355" s="239"/>
      <c r="CC355" s="260"/>
      <c r="CD355" s="539"/>
      <c r="CE355" s="239"/>
      <c r="CF355" s="276"/>
      <c r="CG355" s="256"/>
      <c r="CH355" s="259"/>
      <c r="CI355" s="347"/>
      <c r="CJ355" s="540"/>
      <c r="CK355" s="256"/>
      <c r="CL355" s="244">
        <v>1</v>
      </c>
      <c r="CM355" s="274">
        <f t="shared" si="5"/>
        <v>2015</v>
      </c>
      <c r="CN355" s="244">
        <f>IF('Grille de saisie'!CM355&lt;18,0,IF('Grille de saisie'!CM355&lt;40,1,IF('Grille de saisie'!CM355&lt;65,2,IF('Grille de saisie'!CM355&lt;100,3,4))))</f>
        <v>4</v>
      </c>
      <c r="CO355" s="236">
        <f>IF(AND('Grille de saisie'!C355=1,'Grille de saisie'!BZ355=0),1,IF(AND('Grille de saisie'!C355="",'Grille de saisie'!BZ355=""),3,IF(AND('Grille de saisie'!C355=5),3,2)))</f>
        <v>3</v>
      </c>
      <c r="CP355" s="236">
        <f>IF(AND('Grille de saisie'!C355=1,'Grille de saisie'!BZ355=0),1,IF(AND('Grille de saisie'!C355=1,'Grille de saisie'!BZ355=1),2,IF(AND('Grille de saisie'!C355=2,'Grille de saisie'!BZ355=0),2,IF(AND('Grille de saisie'!C355=3,'Grille de saisie'!BZ355=0),3,IF(AND('Grille de saisie'!C355=2,'Grille de saisie'!BZ355=1),3,IF(AND('Grille de saisie'!C355=1,'Grille de saisie'!BZ355=2),3,IF(AND('Grille de saisie'!C355="",'Grille de saisie'!BZ355=""),5,IF(AND('Grille de saisie'!C355=5),5,4))))))))</f>
        <v>5</v>
      </c>
      <c r="CQ355" s="237">
        <f>IF('Grille de saisie'!BZ355="",3,IF('Grille de saisie'!C355=5,3,IF('Grille de saisie'!BZ355=0,1,2)))</f>
        <v>3</v>
      </c>
    </row>
    <row r="356" spans="1:95" ht="15">
      <c r="A356" s="510">
        <v>354</v>
      </c>
      <c r="B356" s="240"/>
      <c r="C356" s="513"/>
      <c r="D356" s="240"/>
      <c r="E356" s="517"/>
      <c r="F356" s="265"/>
      <c r="G356" s="513"/>
      <c r="H356" s="265"/>
      <c r="I356" s="520"/>
      <c r="J356" s="241"/>
      <c r="K356" s="520"/>
      <c r="L356" s="241"/>
      <c r="M356" s="521"/>
      <c r="N356" s="241"/>
      <c r="O356" s="521"/>
      <c r="P356" s="241"/>
      <c r="Q356" s="520"/>
      <c r="R356" s="241"/>
      <c r="S356" s="520"/>
      <c r="T356" s="241"/>
      <c r="U356" s="520"/>
      <c r="V356" s="241"/>
      <c r="W356" s="242"/>
      <c r="X356" s="241"/>
      <c r="Y356" s="242"/>
      <c r="Z356" s="241"/>
      <c r="AA356" s="241"/>
      <c r="AB356" s="275"/>
      <c r="AC356" s="524"/>
      <c r="AD356" s="241"/>
      <c r="AE356" s="241"/>
      <c r="AF356" s="241"/>
      <c r="AG356" s="241"/>
      <c r="AH356" s="241"/>
      <c r="AI356" s="241"/>
      <c r="AJ356" s="529"/>
      <c r="AK356" s="258"/>
      <c r="AL356" s="241"/>
      <c r="AM356" s="242"/>
      <c r="AN356" s="241"/>
      <c r="AO356" s="242"/>
      <c r="AP356" s="241"/>
      <c r="AQ356" s="242"/>
      <c r="AR356" s="241"/>
      <c r="AS356" s="242"/>
      <c r="AT356" s="241"/>
      <c r="AU356" s="241"/>
      <c r="AV356" s="256"/>
      <c r="AW356" s="241"/>
      <c r="AX356" s="256"/>
      <c r="AY356" s="241"/>
      <c r="AZ356" s="256"/>
      <c r="BA356" s="239"/>
      <c r="BB356" s="242"/>
      <c r="BC356" s="239"/>
      <c r="BD356" s="242"/>
      <c r="BE356" s="239"/>
      <c r="BF356" s="241"/>
      <c r="BG356" s="239"/>
      <c r="BH356" s="241"/>
      <c r="BI356" s="260"/>
      <c r="BJ356" s="241"/>
      <c r="BK356" s="260"/>
      <c r="BL356" s="239"/>
      <c r="BM356" s="256"/>
      <c r="BN356" s="241"/>
      <c r="BO356" s="243"/>
      <c r="BP356" s="241"/>
      <c r="BQ356" s="239"/>
      <c r="BR356" s="276"/>
      <c r="BS356" s="256"/>
      <c r="BT356" s="260"/>
      <c r="BU356" s="261"/>
      <c r="BV356" s="260"/>
      <c r="BW356" s="239"/>
      <c r="BX356" s="260"/>
      <c r="BY356" s="260"/>
      <c r="BZ356" s="239"/>
      <c r="CA356" s="260"/>
      <c r="CB356" s="239"/>
      <c r="CC356" s="260"/>
      <c r="CD356" s="539"/>
      <c r="CE356" s="239"/>
      <c r="CF356" s="276"/>
      <c r="CG356" s="256"/>
      <c r="CH356" s="259"/>
      <c r="CI356" s="347"/>
      <c r="CJ356" s="540"/>
      <c r="CK356" s="256"/>
      <c r="CL356" s="244">
        <v>1</v>
      </c>
      <c r="CM356" s="274">
        <f t="shared" si="5"/>
        <v>2015</v>
      </c>
      <c r="CN356" s="244">
        <f>IF('Grille de saisie'!CM356&lt;18,0,IF('Grille de saisie'!CM356&lt;40,1,IF('Grille de saisie'!CM356&lt;65,2,IF('Grille de saisie'!CM356&lt;100,3,4))))</f>
        <v>4</v>
      </c>
      <c r="CO356" s="236">
        <f>IF(AND('Grille de saisie'!C356=1,'Grille de saisie'!BZ356=0),1,IF(AND('Grille de saisie'!C356="",'Grille de saisie'!BZ356=""),3,IF(AND('Grille de saisie'!C356=5),3,2)))</f>
        <v>3</v>
      </c>
      <c r="CP356" s="236">
        <f>IF(AND('Grille de saisie'!C356=1,'Grille de saisie'!BZ356=0),1,IF(AND('Grille de saisie'!C356=1,'Grille de saisie'!BZ356=1),2,IF(AND('Grille de saisie'!C356=2,'Grille de saisie'!BZ356=0),2,IF(AND('Grille de saisie'!C356=3,'Grille de saisie'!BZ356=0),3,IF(AND('Grille de saisie'!C356=2,'Grille de saisie'!BZ356=1),3,IF(AND('Grille de saisie'!C356=1,'Grille de saisie'!BZ356=2),3,IF(AND('Grille de saisie'!C356="",'Grille de saisie'!BZ356=""),5,IF(AND('Grille de saisie'!C356=5),5,4))))))))</f>
        <v>5</v>
      </c>
      <c r="CQ356" s="237">
        <f>IF('Grille de saisie'!BZ356="",3,IF('Grille de saisie'!C356=5,3,IF('Grille de saisie'!BZ356=0,1,2)))</f>
        <v>3</v>
      </c>
    </row>
    <row r="357" spans="1:95" ht="15">
      <c r="A357" s="511">
        <v>355</v>
      </c>
      <c r="B357" s="240"/>
      <c r="C357" s="513"/>
      <c r="D357" s="240"/>
      <c r="E357" s="517"/>
      <c r="F357" s="265"/>
      <c r="G357" s="513"/>
      <c r="H357" s="265"/>
      <c r="I357" s="520"/>
      <c r="J357" s="241"/>
      <c r="K357" s="520"/>
      <c r="L357" s="241"/>
      <c r="M357" s="521"/>
      <c r="N357" s="241"/>
      <c r="O357" s="521"/>
      <c r="P357" s="241"/>
      <c r="Q357" s="520"/>
      <c r="R357" s="241"/>
      <c r="S357" s="520"/>
      <c r="T357" s="241"/>
      <c r="U357" s="520"/>
      <c r="V357" s="241"/>
      <c r="W357" s="242"/>
      <c r="X357" s="241"/>
      <c r="Y357" s="242"/>
      <c r="Z357" s="241"/>
      <c r="AA357" s="241"/>
      <c r="AB357" s="275"/>
      <c r="AC357" s="524"/>
      <c r="AD357" s="241"/>
      <c r="AE357" s="241"/>
      <c r="AF357" s="241"/>
      <c r="AG357" s="241"/>
      <c r="AH357" s="241"/>
      <c r="AI357" s="241"/>
      <c r="AJ357" s="529"/>
      <c r="AK357" s="258"/>
      <c r="AL357" s="241"/>
      <c r="AM357" s="242"/>
      <c r="AN357" s="241"/>
      <c r="AO357" s="242"/>
      <c r="AP357" s="241"/>
      <c r="AQ357" s="242"/>
      <c r="AR357" s="241"/>
      <c r="AS357" s="242"/>
      <c r="AT357" s="241"/>
      <c r="AU357" s="241"/>
      <c r="AV357" s="256"/>
      <c r="AW357" s="241"/>
      <c r="AX357" s="256"/>
      <c r="AY357" s="241"/>
      <c r="AZ357" s="256"/>
      <c r="BA357" s="239"/>
      <c r="BB357" s="242"/>
      <c r="BC357" s="239"/>
      <c r="BD357" s="242"/>
      <c r="BE357" s="239"/>
      <c r="BF357" s="241"/>
      <c r="BG357" s="239"/>
      <c r="BH357" s="241"/>
      <c r="BI357" s="260"/>
      <c r="BJ357" s="241"/>
      <c r="BK357" s="260"/>
      <c r="BL357" s="239"/>
      <c r="BM357" s="256"/>
      <c r="BN357" s="241"/>
      <c r="BO357" s="243"/>
      <c r="BP357" s="241"/>
      <c r="BQ357" s="239"/>
      <c r="BR357" s="276"/>
      <c r="BS357" s="256"/>
      <c r="BT357" s="260"/>
      <c r="BU357" s="261"/>
      <c r="BV357" s="260"/>
      <c r="BW357" s="239"/>
      <c r="BX357" s="260"/>
      <c r="BY357" s="260"/>
      <c r="BZ357" s="239"/>
      <c r="CA357" s="260"/>
      <c r="CB357" s="239"/>
      <c r="CC357" s="260"/>
      <c r="CD357" s="539"/>
      <c r="CE357" s="239"/>
      <c r="CF357" s="276"/>
      <c r="CG357" s="256"/>
      <c r="CH357" s="259"/>
      <c r="CI357" s="347"/>
      <c r="CJ357" s="540"/>
      <c r="CK357" s="256"/>
      <c r="CL357" s="244">
        <v>1</v>
      </c>
      <c r="CM357" s="274">
        <f t="shared" si="5"/>
        <v>2015</v>
      </c>
      <c r="CN357" s="244">
        <f>IF('Grille de saisie'!CM357&lt;18,0,IF('Grille de saisie'!CM357&lt;40,1,IF('Grille de saisie'!CM357&lt;65,2,IF('Grille de saisie'!CM357&lt;100,3,4))))</f>
        <v>4</v>
      </c>
      <c r="CO357" s="236">
        <f>IF(AND('Grille de saisie'!C357=1,'Grille de saisie'!BZ357=0),1,IF(AND('Grille de saisie'!C357="",'Grille de saisie'!BZ357=""),3,IF(AND('Grille de saisie'!C357=5),3,2)))</f>
        <v>3</v>
      </c>
      <c r="CP357" s="236">
        <f>IF(AND('Grille de saisie'!C357=1,'Grille de saisie'!BZ357=0),1,IF(AND('Grille de saisie'!C357=1,'Grille de saisie'!BZ357=1),2,IF(AND('Grille de saisie'!C357=2,'Grille de saisie'!BZ357=0),2,IF(AND('Grille de saisie'!C357=3,'Grille de saisie'!BZ357=0),3,IF(AND('Grille de saisie'!C357=2,'Grille de saisie'!BZ357=1),3,IF(AND('Grille de saisie'!C357=1,'Grille de saisie'!BZ357=2),3,IF(AND('Grille de saisie'!C357="",'Grille de saisie'!BZ357=""),5,IF(AND('Grille de saisie'!C357=5),5,4))))))))</f>
        <v>5</v>
      </c>
      <c r="CQ357" s="237">
        <f>IF('Grille de saisie'!BZ357="",3,IF('Grille de saisie'!C357=5,3,IF('Grille de saisie'!BZ357=0,1,2)))</f>
        <v>3</v>
      </c>
    </row>
    <row r="358" spans="1:95" ht="15">
      <c r="A358" s="510">
        <v>356</v>
      </c>
      <c r="B358" s="240"/>
      <c r="C358" s="513"/>
      <c r="D358" s="240"/>
      <c r="E358" s="517"/>
      <c r="F358" s="265"/>
      <c r="G358" s="513"/>
      <c r="H358" s="265"/>
      <c r="I358" s="520"/>
      <c r="J358" s="241"/>
      <c r="K358" s="520"/>
      <c r="L358" s="241"/>
      <c r="M358" s="521"/>
      <c r="N358" s="241"/>
      <c r="O358" s="521"/>
      <c r="P358" s="241"/>
      <c r="Q358" s="520"/>
      <c r="R358" s="241"/>
      <c r="S358" s="520"/>
      <c r="T358" s="241"/>
      <c r="U358" s="520"/>
      <c r="V358" s="241"/>
      <c r="W358" s="242"/>
      <c r="X358" s="241"/>
      <c r="Y358" s="242"/>
      <c r="Z358" s="241"/>
      <c r="AA358" s="241"/>
      <c r="AB358" s="275"/>
      <c r="AC358" s="524"/>
      <c r="AD358" s="241"/>
      <c r="AE358" s="241"/>
      <c r="AF358" s="241"/>
      <c r="AG358" s="241"/>
      <c r="AH358" s="241"/>
      <c r="AI358" s="241"/>
      <c r="AJ358" s="529"/>
      <c r="AK358" s="258"/>
      <c r="AL358" s="241"/>
      <c r="AM358" s="242"/>
      <c r="AN358" s="241"/>
      <c r="AO358" s="242"/>
      <c r="AP358" s="241"/>
      <c r="AQ358" s="242"/>
      <c r="AR358" s="241"/>
      <c r="AS358" s="242"/>
      <c r="AT358" s="241"/>
      <c r="AU358" s="241"/>
      <c r="AV358" s="256"/>
      <c r="AW358" s="241"/>
      <c r="AX358" s="256"/>
      <c r="AY358" s="241"/>
      <c r="AZ358" s="256"/>
      <c r="BA358" s="239"/>
      <c r="BB358" s="242"/>
      <c r="BC358" s="239"/>
      <c r="BD358" s="242"/>
      <c r="BE358" s="239"/>
      <c r="BF358" s="241"/>
      <c r="BG358" s="239"/>
      <c r="BH358" s="241"/>
      <c r="BI358" s="260"/>
      <c r="BJ358" s="241"/>
      <c r="BK358" s="260"/>
      <c r="BL358" s="239"/>
      <c r="BM358" s="256"/>
      <c r="BN358" s="241"/>
      <c r="BO358" s="243"/>
      <c r="BP358" s="241"/>
      <c r="BQ358" s="239"/>
      <c r="BR358" s="276"/>
      <c r="BS358" s="256"/>
      <c r="BT358" s="260"/>
      <c r="BU358" s="261"/>
      <c r="BV358" s="260"/>
      <c r="BW358" s="239"/>
      <c r="BX358" s="260"/>
      <c r="BY358" s="260"/>
      <c r="BZ358" s="239"/>
      <c r="CA358" s="260"/>
      <c r="CB358" s="239"/>
      <c r="CC358" s="260"/>
      <c r="CD358" s="539"/>
      <c r="CE358" s="239"/>
      <c r="CF358" s="276"/>
      <c r="CG358" s="256"/>
      <c r="CH358" s="259"/>
      <c r="CI358" s="347"/>
      <c r="CJ358" s="540"/>
      <c r="CK358" s="256"/>
      <c r="CL358" s="244">
        <v>1</v>
      </c>
      <c r="CM358" s="274">
        <f t="shared" si="5"/>
        <v>2015</v>
      </c>
      <c r="CN358" s="244">
        <f>IF('Grille de saisie'!CM358&lt;18,0,IF('Grille de saisie'!CM358&lt;40,1,IF('Grille de saisie'!CM358&lt;65,2,IF('Grille de saisie'!CM358&lt;100,3,4))))</f>
        <v>4</v>
      </c>
      <c r="CO358" s="236">
        <f>IF(AND('Grille de saisie'!C358=1,'Grille de saisie'!BZ358=0),1,IF(AND('Grille de saisie'!C358="",'Grille de saisie'!BZ358=""),3,IF(AND('Grille de saisie'!C358=5),3,2)))</f>
        <v>3</v>
      </c>
      <c r="CP358" s="236">
        <f>IF(AND('Grille de saisie'!C358=1,'Grille de saisie'!BZ358=0),1,IF(AND('Grille de saisie'!C358=1,'Grille de saisie'!BZ358=1),2,IF(AND('Grille de saisie'!C358=2,'Grille de saisie'!BZ358=0),2,IF(AND('Grille de saisie'!C358=3,'Grille de saisie'!BZ358=0),3,IF(AND('Grille de saisie'!C358=2,'Grille de saisie'!BZ358=1),3,IF(AND('Grille de saisie'!C358=1,'Grille de saisie'!BZ358=2),3,IF(AND('Grille de saisie'!C358="",'Grille de saisie'!BZ358=""),5,IF(AND('Grille de saisie'!C358=5),5,4))))))))</f>
        <v>5</v>
      </c>
      <c r="CQ358" s="237">
        <f>IF('Grille de saisie'!BZ358="",3,IF('Grille de saisie'!C358=5,3,IF('Grille de saisie'!BZ358=0,1,2)))</f>
        <v>3</v>
      </c>
    </row>
    <row r="359" spans="1:95" ht="15">
      <c r="A359" s="510">
        <v>357</v>
      </c>
      <c r="B359" s="240"/>
      <c r="C359" s="513"/>
      <c r="D359" s="240"/>
      <c r="E359" s="517"/>
      <c r="F359" s="265"/>
      <c r="G359" s="513"/>
      <c r="H359" s="265"/>
      <c r="I359" s="520"/>
      <c r="J359" s="241"/>
      <c r="K359" s="520"/>
      <c r="L359" s="241"/>
      <c r="M359" s="521"/>
      <c r="N359" s="241"/>
      <c r="O359" s="521"/>
      <c r="P359" s="241"/>
      <c r="Q359" s="520"/>
      <c r="R359" s="241"/>
      <c r="S359" s="520"/>
      <c r="T359" s="241"/>
      <c r="U359" s="520"/>
      <c r="V359" s="241"/>
      <c r="W359" s="242"/>
      <c r="X359" s="241"/>
      <c r="Y359" s="242"/>
      <c r="Z359" s="241"/>
      <c r="AA359" s="241"/>
      <c r="AB359" s="275"/>
      <c r="AC359" s="524"/>
      <c r="AD359" s="241"/>
      <c r="AE359" s="241"/>
      <c r="AF359" s="241"/>
      <c r="AG359" s="241"/>
      <c r="AH359" s="241"/>
      <c r="AI359" s="241"/>
      <c r="AJ359" s="529"/>
      <c r="AK359" s="258"/>
      <c r="AL359" s="241"/>
      <c r="AM359" s="242"/>
      <c r="AN359" s="241"/>
      <c r="AO359" s="242"/>
      <c r="AP359" s="241"/>
      <c r="AQ359" s="242"/>
      <c r="AR359" s="241"/>
      <c r="AS359" s="242"/>
      <c r="AT359" s="241"/>
      <c r="AU359" s="241"/>
      <c r="AV359" s="256"/>
      <c r="AW359" s="241"/>
      <c r="AX359" s="256"/>
      <c r="AY359" s="241"/>
      <c r="AZ359" s="256"/>
      <c r="BA359" s="239"/>
      <c r="BB359" s="242"/>
      <c r="BC359" s="239"/>
      <c r="BD359" s="242"/>
      <c r="BE359" s="239"/>
      <c r="BF359" s="241"/>
      <c r="BG359" s="239"/>
      <c r="BH359" s="241"/>
      <c r="BI359" s="260"/>
      <c r="BJ359" s="241"/>
      <c r="BK359" s="260"/>
      <c r="BL359" s="239"/>
      <c r="BM359" s="256"/>
      <c r="BN359" s="241"/>
      <c r="BO359" s="243"/>
      <c r="BP359" s="241"/>
      <c r="BQ359" s="239"/>
      <c r="BR359" s="276"/>
      <c r="BS359" s="256"/>
      <c r="BT359" s="260"/>
      <c r="BU359" s="261"/>
      <c r="BV359" s="260"/>
      <c r="BW359" s="239"/>
      <c r="BX359" s="260"/>
      <c r="BY359" s="260"/>
      <c r="BZ359" s="239"/>
      <c r="CA359" s="260"/>
      <c r="CB359" s="239"/>
      <c r="CC359" s="260"/>
      <c r="CD359" s="539"/>
      <c r="CE359" s="239"/>
      <c r="CF359" s="276"/>
      <c r="CG359" s="256"/>
      <c r="CH359" s="259"/>
      <c r="CI359" s="347"/>
      <c r="CJ359" s="540"/>
      <c r="CK359" s="256"/>
      <c r="CL359" s="244">
        <v>1</v>
      </c>
      <c r="CM359" s="274">
        <f t="shared" si="5"/>
        <v>2015</v>
      </c>
      <c r="CN359" s="244">
        <f>IF('Grille de saisie'!CM359&lt;18,0,IF('Grille de saisie'!CM359&lt;40,1,IF('Grille de saisie'!CM359&lt;65,2,IF('Grille de saisie'!CM359&lt;100,3,4))))</f>
        <v>4</v>
      </c>
      <c r="CO359" s="236">
        <f>IF(AND('Grille de saisie'!C359=1,'Grille de saisie'!BZ359=0),1,IF(AND('Grille de saisie'!C359="",'Grille de saisie'!BZ359=""),3,IF(AND('Grille de saisie'!C359=5),3,2)))</f>
        <v>3</v>
      </c>
      <c r="CP359" s="236">
        <f>IF(AND('Grille de saisie'!C359=1,'Grille de saisie'!BZ359=0),1,IF(AND('Grille de saisie'!C359=1,'Grille de saisie'!BZ359=1),2,IF(AND('Grille de saisie'!C359=2,'Grille de saisie'!BZ359=0),2,IF(AND('Grille de saisie'!C359=3,'Grille de saisie'!BZ359=0),3,IF(AND('Grille de saisie'!C359=2,'Grille de saisie'!BZ359=1),3,IF(AND('Grille de saisie'!C359=1,'Grille de saisie'!BZ359=2),3,IF(AND('Grille de saisie'!C359="",'Grille de saisie'!BZ359=""),5,IF(AND('Grille de saisie'!C359=5),5,4))))))))</f>
        <v>5</v>
      </c>
      <c r="CQ359" s="237">
        <f>IF('Grille de saisie'!BZ359="",3,IF('Grille de saisie'!C359=5,3,IF('Grille de saisie'!BZ359=0,1,2)))</f>
        <v>3</v>
      </c>
    </row>
    <row r="360" spans="1:95" ht="15">
      <c r="A360" s="511">
        <v>358</v>
      </c>
      <c r="B360" s="240"/>
      <c r="C360" s="513"/>
      <c r="D360" s="240"/>
      <c r="E360" s="517"/>
      <c r="F360" s="265"/>
      <c r="G360" s="513"/>
      <c r="H360" s="265"/>
      <c r="I360" s="520"/>
      <c r="J360" s="241"/>
      <c r="K360" s="520"/>
      <c r="L360" s="241"/>
      <c r="M360" s="521"/>
      <c r="N360" s="241"/>
      <c r="O360" s="521"/>
      <c r="P360" s="241"/>
      <c r="Q360" s="520"/>
      <c r="R360" s="241"/>
      <c r="S360" s="520"/>
      <c r="T360" s="241"/>
      <c r="U360" s="520"/>
      <c r="V360" s="241"/>
      <c r="W360" s="242"/>
      <c r="X360" s="241"/>
      <c r="Y360" s="242"/>
      <c r="Z360" s="241"/>
      <c r="AA360" s="241"/>
      <c r="AB360" s="275"/>
      <c r="AC360" s="524"/>
      <c r="AD360" s="241"/>
      <c r="AE360" s="241"/>
      <c r="AF360" s="241"/>
      <c r="AG360" s="241"/>
      <c r="AH360" s="241"/>
      <c r="AI360" s="241"/>
      <c r="AJ360" s="529"/>
      <c r="AK360" s="258"/>
      <c r="AL360" s="241"/>
      <c r="AM360" s="242"/>
      <c r="AN360" s="241"/>
      <c r="AO360" s="242"/>
      <c r="AP360" s="241"/>
      <c r="AQ360" s="242"/>
      <c r="AR360" s="241"/>
      <c r="AS360" s="242"/>
      <c r="AT360" s="241"/>
      <c r="AU360" s="241"/>
      <c r="AV360" s="256"/>
      <c r="AW360" s="241"/>
      <c r="AX360" s="256"/>
      <c r="AY360" s="241"/>
      <c r="AZ360" s="256"/>
      <c r="BA360" s="239"/>
      <c r="BB360" s="242"/>
      <c r="BC360" s="239"/>
      <c r="BD360" s="242"/>
      <c r="BE360" s="239"/>
      <c r="BF360" s="241"/>
      <c r="BG360" s="239"/>
      <c r="BH360" s="241"/>
      <c r="BI360" s="260"/>
      <c r="BJ360" s="241"/>
      <c r="BK360" s="260"/>
      <c r="BL360" s="239"/>
      <c r="BM360" s="256"/>
      <c r="BN360" s="241"/>
      <c r="BO360" s="243"/>
      <c r="BP360" s="241"/>
      <c r="BQ360" s="239"/>
      <c r="BR360" s="276"/>
      <c r="BS360" s="256"/>
      <c r="BT360" s="260"/>
      <c r="BU360" s="261"/>
      <c r="BV360" s="260"/>
      <c r="BW360" s="239"/>
      <c r="BX360" s="260"/>
      <c r="BY360" s="260"/>
      <c r="BZ360" s="239"/>
      <c r="CA360" s="260"/>
      <c r="CB360" s="239"/>
      <c r="CC360" s="260"/>
      <c r="CD360" s="539"/>
      <c r="CE360" s="239"/>
      <c r="CF360" s="276"/>
      <c r="CG360" s="256"/>
      <c r="CH360" s="259"/>
      <c r="CI360" s="347"/>
      <c r="CJ360" s="540"/>
      <c r="CK360" s="256"/>
      <c r="CL360" s="244">
        <v>1</v>
      </c>
      <c r="CM360" s="274">
        <f t="shared" si="5"/>
        <v>2015</v>
      </c>
      <c r="CN360" s="244">
        <f>IF('Grille de saisie'!CM360&lt;18,0,IF('Grille de saisie'!CM360&lt;40,1,IF('Grille de saisie'!CM360&lt;65,2,IF('Grille de saisie'!CM360&lt;100,3,4))))</f>
        <v>4</v>
      </c>
      <c r="CO360" s="236">
        <f>IF(AND('Grille de saisie'!C360=1,'Grille de saisie'!BZ360=0),1,IF(AND('Grille de saisie'!C360="",'Grille de saisie'!BZ360=""),3,IF(AND('Grille de saisie'!C360=5),3,2)))</f>
        <v>3</v>
      </c>
      <c r="CP360" s="236">
        <f>IF(AND('Grille de saisie'!C360=1,'Grille de saisie'!BZ360=0),1,IF(AND('Grille de saisie'!C360=1,'Grille de saisie'!BZ360=1),2,IF(AND('Grille de saisie'!C360=2,'Grille de saisie'!BZ360=0),2,IF(AND('Grille de saisie'!C360=3,'Grille de saisie'!BZ360=0),3,IF(AND('Grille de saisie'!C360=2,'Grille de saisie'!BZ360=1),3,IF(AND('Grille de saisie'!C360=1,'Grille de saisie'!BZ360=2),3,IF(AND('Grille de saisie'!C360="",'Grille de saisie'!BZ360=""),5,IF(AND('Grille de saisie'!C360=5),5,4))))))))</f>
        <v>5</v>
      </c>
      <c r="CQ360" s="237">
        <f>IF('Grille de saisie'!BZ360="",3,IF('Grille de saisie'!C360=5,3,IF('Grille de saisie'!BZ360=0,1,2)))</f>
        <v>3</v>
      </c>
    </row>
    <row r="361" spans="1:95" ht="15">
      <c r="A361" s="510">
        <v>359</v>
      </c>
      <c r="B361" s="240"/>
      <c r="C361" s="513"/>
      <c r="D361" s="240"/>
      <c r="E361" s="517"/>
      <c r="F361" s="265"/>
      <c r="G361" s="513"/>
      <c r="H361" s="265"/>
      <c r="I361" s="520"/>
      <c r="J361" s="241"/>
      <c r="K361" s="520"/>
      <c r="L361" s="241"/>
      <c r="M361" s="521"/>
      <c r="N361" s="241"/>
      <c r="O361" s="521"/>
      <c r="P361" s="241"/>
      <c r="Q361" s="520"/>
      <c r="R361" s="241"/>
      <c r="S361" s="520"/>
      <c r="T361" s="241"/>
      <c r="U361" s="520"/>
      <c r="V361" s="241"/>
      <c r="W361" s="242"/>
      <c r="X361" s="241"/>
      <c r="Y361" s="242"/>
      <c r="Z361" s="241"/>
      <c r="AA361" s="241"/>
      <c r="AB361" s="275"/>
      <c r="AC361" s="524"/>
      <c r="AD361" s="241"/>
      <c r="AE361" s="241"/>
      <c r="AF361" s="241"/>
      <c r="AG361" s="241"/>
      <c r="AH361" s="241"/>
      <c r="AI361" s="241"/>
      <c r="AJ361" s="529"/>
      <c r="AK361" s="258"/>
      <c r="AL361" s="241"/>
      <c r="AM361" s="242"/>
      <c r="AN361" s="241"/>
      <c r="AO361" s="242"/>
      <c r="AP361" s="241"/>
      <c r="AQ361" s="242"/>
      <c r="AR361" s="241"/>
      <c r="AS361" s="242"/>
      <c r="AT361" s="241"/>
      <c r="AU361" s="241"/>
      <c r="AV361" s="256"/>
      <c r="AW361" s="241"/>
      <c r="AX361" s="256"/>
      <c r="AY361" s="241"/>
      <c r="AZ361" s="256"/>
      <c r="BA361" s="239"/>
      <c r="BB361" s="242"/>
      <c r="BC361" s="239"/>
      <c r="BD361" s="242"/>
      <c r="BE361" s="239"/>
      <c r="BF361" s="241"/>
      <c r="BG361" s="239"/>
      <c r="BH361" s="241"/>
      <c r="BI361" s="260"/>
      <c r="BJ361" s="241"/>
      <c r="BK361" s="260"/>
      <c r="BL361" s="239"/>
      <c r="BM361" s="256"/>
      <c r="BN361" s="241"/>
      <c r="BO361" s="243"/>
      <c r="BP361" s="241"/>
      <c r="BQ361" s="239"/>
      <c r="BR361" s="276"/>
      <c r="BS361" s="256"/>
      <c r="BT361" s="260"/>
      <c r="BU361" s="261"/>
      <c r="BV361" s="260"/>
      <c r="BW361" s="239"/>
      <c r="BX361" s="260"/>
      <c r="BY361" s="260"/>
      <c r="BZ361" s="239"/>
      <c r="CA361" s="260"/>
      <c r="CB361" s="239"/>
      <c r="CC361" s="260"/>
      <c r="CD361" s="539"/>
      <c r="CE361" s="239"/>
      <c r="CF361" s="276"/>
      <c r="CG361" s="256"/>
      <c r="CH361" s="259"/>
      <c r="CI361" s="347"/>
      <c r="CJ361" s="540"/>
      <c r="CK361" s="256"/>
      <c r="CL361" s="244">
        <v>1</v>
      </c>
      <c r="CM361" s="274">
        <f t="shared" si="5"/>
        <v>2015</v>
      </c>
      <c r="CN361" s="244">
        <f>IF('Grille de saisie'!CM361&lt;18,0,IF('Grille de saisie'!CM361&lt;40,1,IF('Grille de saisie'!CM361&lt;65,2,IF('Grille de saisie'!CM361&lt;100,3,4))))</f>
        <v>4</v>
      </c>
      <c r="CO361" s="236">
        <f>IF(AND('Grille de saisie'!C361=1,'Grille de saisie'!BZ361=0),1,IF(AND('Grille de saisie'!C361="",'Grille de saisie'!BZ361=""),3,IF(AND('Grille de saisie'!C361=5),3,2)))</f>
        <v>3</v>
      </c>
      <c r="CP361" s="236">
        <f>IF(AND('Grille de saisie'!C361=1,'Grille de saisie'!BZ361=0),1,IF(AND('Grille de saisie'!C361=1,'Grille de saisie'!BZ361=1),2,IF(AND('Grille de saisie'!C361=2,'Grille de saisie'!BZ361=0),2,IF(AND('Grille de saisie'!C361=3,'Grille de saisie'!BZ361=0),3,IF(AND('Grille de saisie'!C361=2,'Grille de saisie'!BZ361=1),3,IF(AND('Grille de saisie'!C361=1,'Grille de saisie'!BZ361=2),3,IF(AND('Grille de saisie'!C361="",'Grille de saisie'!BZ361=""),5,IF(AND('Grille de saisie'!C361=5),5,4))))))))</f>
        <v>5</v>
      </c>
      <c r="CQ361" s="237">
        <f>IF('Grille de saisie'!BZ361="",3,IF('Grille de saisie'!C361=5,3,IF('Grille de saisie'!BZ361=0,1,2)))</f>
        <v>3</v>
      </c>
    </row>
    <row r="362" spans="1:95" ht="15">
      <c r="A362" s="510">
        <v>360</v>
      </c>
      <c r="B362" s="240"/>
      <c r="C362" s="513"/>
      <c r="D362" s="240"/>
      <c r="E362" s="517"/>
      <c r="F362" s="265"/>
      <c r="G362" s="513"/>
      <c r="H362" s="265"/>
      <c r="I362" s="520"/>
      <c r="J362" s="241"/>
      <c r="K362" s="520"/>
      <c r="L362" s="241"/>
      <c r="M362" s="521"/>
      <c r="N362" s="241"/>
      <c r="O362" s="521"/>
      <c r="P362" s="241"/>
      <c r="Q362" s="520"/>
      <c r="R362" s="241"/>
      <c r="S362" s="520"/>
      <c r="T362" s="241"/>
      <c r="U362" s="520"/>
      <c r="V362" s="241"/>
      <c r="W362" s="242"/>
      <c r="X362" s="241"/>
      <c r="Y362" s="242"/>
      <c r="Z362" s="241"/>
      <c r="AA362" s="241"/>
      <c r="AB362" s="275"/>
      <c r="AC362" s="524"/>
      <c r="AD362" s="241"/>
      <c r="AE362" s="241"/>
      <c r="AF362" s="241"/>
      <c r="AG362" s="241"/>
      <c r="AH362" s="241"/>
      <c r="AI362" s="241"/>
      <c r="AJ362" s="529"/>
      <c r="AK362" s="258"/>
      <c r="AL362" s="241"/>
      <c r="AM362" s="242"/>
      <c r="AN362" s="241"/>
      <c r="AO362" s="242"/>
      <c r="AP362" s="241"/>
      <c r="AQ362" s="242"/>
      <c r="AR362" s="241"/>
      <c r="AS362" s="242"/>
      <c r="AT362" s="241"/>
      <c r="AU362" s="241"/>
      <c r="AV362" s="256"/>
      <c r="AW362" s="241"/>
      <c r="AX362" s="256"/>
      <c r="AY362" s="241"/>
      <c r="AZ362" s="256"/>
      <c r="BA362" s="239"/>
      <c r="BB362" s="242"/>
      <c r="BC362" s="239"/>
      <c r="BD362" s="242"/>
      <c r="BE362" s="239"/>
      <c r="BF362" s="241"/>
      <c r="BG362" s="239"/>
      <c r="BH362" s="241"/>
      <c r="BI362" s="260"/>
      <c r="BJ362" s="241"/>
      <c r="BK362" s="260"/>
      <c r="BL362" s="239"/>
      <c r="BM362" s="256"/>
      <c r="BN362" s="241"/>
      <c r="BO362" s="243"/>
      <c r="BP362" s="241"/>
      <c r="BQ362" s="239"/>
      <c r="BR362" s="276"/>
      <c r="BS362" s="256"/>
      <c r="BT362" s="260"/>
      <c r="BU362" s="261"/>
      <c r="BV362" s="260"/>
      <c r="BW362" s="239"/>
      <c r="BX362" s="260"/>
      <c r="BY362" s="260"/>
      <c r="BZ362" s="239"/>
      <c r="CA362" s="260"/>
      <c r="CB362" s="239"/>
      <c r="CC362" s="260"/>
      <c r="CD362" s="539"/>
      <c r="CE362" s="239"/>
      <c r="CF362" s="276"/>
      <c r="CG362" s="256"/>
      <c r="CH362" s="259"/>
      <c r="CI362" s="347"/>
      <c r="CJ362" s="540"/>
      <c r="CK362" s="256"/>
      <c r="CL362" s="244">
        <v>1</v>
      </c>
      <c r="CM362" s="274">
        <f t="shared" si="5"/>
        <v>2015</v>
      </c>
      <c r="CN362" s="244">
        <f>IF('Grille de saisie'!CM362&lt;18,0,IF('Grille de saisie'!CM362&lt;40,1,IF('Grille de saisie'!CM362&lt;65,2,IF('Grille de saisie'!CM362&lt;100,3,4))))</f>
        <v>4</v>
      </c>
      <c r="CO362" s="236">
        <f>IF(AND('Grille de saisie'!C362=1,'Grille de saisie'!BZ362=0),1,IF(AND('Grille de saisie'!C362="",'Grille de saisie'!BZ362=""),3,IF(AND('Grille de saisie'!C362=5),3,2)))</f>
        <v>3</v>
      </c>
      <c r="CP362" s="236">
        <f>IF(AND('Grille de saisie'!C362=1,'Grille de saisie'!BZ362=0),1,IF(AND('Grille de saisie'!C362=1,'Grille de saisie'!BZ362=1),2,IF(AND('Grille de saisie'!C362=2,'Grille de saisie'!BZ362=0),2,IF(AND('Grille de saisie'!C362=3,'Grille de saisie'!BZ362=0),3,IF(AND('Grille de saisie'!C362=2,'Grille de saisie'!BZ362=1),3,IF(AND('Grille de saisie'!C362=1,'Grille de saisie'!BZ362=2),3,IF(AND('Grille de saisie'!C362="",'Grille de saisie'!BZ362=""),5,IF(AND('Grille de saisie'!C362=5),5,4))))))))</f>
        <v>5</v>
      </c>
      <c r="CQ362" s="237">
        <f>IF('Grille de saisie'!BZ362="",3,IF('Grille de saisie'!C362=5,3,IF('Grille de saisie'!BZ362=0,1,2)))</f>
        <v>3</v>
      </c>
    </row>
    <row r="363" spans="1:95" ht="15">
      <c r="A363" s="511">
        <v>361</v>
      </c>
      <c r="B363" s="240"/>
      <c r="C363" s="513"/>
      <c r="D363" s="240"/>
      <c r="E363" s="517"/>
      <c r="F363" s="265"/>
      <c r="G363" s="513"/>
      <c r="H363" s="265"/>
      <c r="I363" s="520"/>
      <c r="J363" s="241"/>
      <c r="K363" s="520"/>
      <c r="L363" s="241"/>
      <c r="M363" s="521"/>
      <c r="N363" s="241"/>
      <c r="O363" s="521"/>
      <c r="P363" s="241"/>
      <c r="Q363" s="520"/>
      <c r="R363" s="241"/>
      <c r="S363" s="520"/>
      <c r="T363" s="241"/>
      <c r="U363" s="520"/>
      <c r="V363" s="241"/>
      <c r="W363" s="242"/>
      <c r="X363" s="241"/>
      <c r="Y363" s="242"/>
      <c r="Z363" s="241"/>
      <c r="AA363" s="241"/>
      <c r="AB363" s="275"/>
      <c r="AC363" s="524"/>
      <c r="AD363" s="241"/>
      <c r="AE363" s="241"/>
      <c r="AF363" s="241"/>
      <c r="AG363" s="241"/>
      <c r="AH363" s="241"/>
      <c r="AI363" s="241"/>
      <c r="AJ363" s="529"/>
      <c r="AK363" s="258"/>
      <c r="AL363" s="241"/>
      <c r="AM363" s="242"/>
      <c r="AN363" s="241"/>
      <c r="AO363" s="242"/>
      <c r="AP363" s="241"/>
      <c r="AQ363" s="242"/>
      <c r="AR363" s="241"/>
      <c r="AS363" s="242"/>
      <c r="AT363" s="241"/>
      <c r="AU363" s="241"/>
      <c r="AV363" s="256"/>
      <c r="AW363" s="241"/>
      <c r="AX363" s="256"/>
      <c r="AY363" s="241"/>
      <c r="AZ363" s="256"/>
      <c r="BA363" s="239"/>
      <c r="BB363" s="242"/>
      <c r="BC363" s="239"/>
      <c r="BD363" s="242"/>
      <c r="BE363" s="239"/>
      <c r="BF363" s="241"/>
      <c r="BG363" s="239"/>
      <c r="BH363" s="241"/>
      <c r="BI363" s="260"/>
      <c r="BJ363" s="241"/>
      <c r="BK363" s="260"/>
      <c r="BL363" s="239"/>
      <c r="BM363" s="256"/>
      <c r="BN363" s="241"/>
      <c r="BO363" s="243"/>
      <c r="BP363" s="241"/>
      <c r="BQ363" s="239"/>
      <c r="BR363" s="276"/>
      <c r="BS363" s="256"/>
      <c r="BT363" s="260"/>
      <c r="BU363" s="261"/>
      <c r="BV363" s="260"/>
      <c r="BW363" s="239"/>
      <c r="BX363" s="260"/>
      <c r="BY363" s="260"/>
      <c r="BZ363" s="239"/>
      <c r="CA363" s="260"/>
      <c r="CB363" s="239"/>
      <c r="CC363" s="260"/>
      <c r="CD363" s="539"/>
      <c r="CE363" s="239"/>
      <c r="CF363" s="276"/>
      <c r="CG363" s="256"/>
      <c r="CH363" s="259"/>
      <c r="CI363" s="347"/>
      <c r="CJ363" s="540"/>
      <c r="CK363" s="256"/>
      <c r="CL363" s="244">
        <v>1</v>
      </c>
      <c r="CM363" s="274">
        <f t="shared" si="5"/>
        <v>2015</v>
      </c>
      <c r="CN363" s="244">
        <f>IF('Grille de saisie'!CM363&lt;18,0,IF('Grille de saisie'!CM363&lt;40,1,IF('Grille de saisie'!CM363&lt;65,2,IF('Grille de saisie'!CM363&lt;100,3,4))))</f>
        <v>4</v>
      </c>
      <c r="CO363" s="236">
        <f>IF(AND('Grille de saisie'!C363=1,'Grille de saisie'!BZ363=0),1,IF(AND('Grille de saisie'!C363="",'Grille de saisie'!BZ363=""),3,IF(AND('Grille de saisie'!C363=5),3,2)))</f>
        <v>3</v>
      </c>
      <c r="CP363" s="236">
        <f>IF(AND('Grille de saisie'!C363=1,'Grille de saisie'!BZ363=0),1,IF(AND('Grille de saisie'!C363=1,'Grille de saisie'!BZ363=1),2,IF(AND('Grille de saisie'!C363=2,'Grille de saisie'!BZ363=0),2,IF(AND('Grille de saisie'!C363=3,'Grille de saisie'!BZ363=0),3,IF(AND('Grille de saisie'!C363=2,'Grille de saisie'!BZ363=1),3,IF(AND('Grille de saisie'!C363=1,'Grille de saisie'!BZ363=2),3,IF(AND('Grille de saisie'!C363="",'Grille de saisie'!BZ363=""),5,IF(AND('Grille de saisie'!C363=5),5,4))))))))</f>
        <v>5</v>
      </c>
      <c r="CQ363" s="237">
        <f>IF('Grille de saisie'!BZ363="",3,IF('Grille de saisie'!C363=5,3,IF('Grille de saisie'!BZ363=0,1,2)))</f>
        <v>3</v>
      </c>
    </row>
    <row r="364" spans="1:95" ht="15">
      <c r="A364" s="510">
        <v>362</v>
      </c>
      <c r="B364" s="240"/>
      <c r="C364" s="513"/>
      <c r="D364" s="240"/>
      <c r="E364" s="517"/>
      <c r="F364" s="265"/>
      <c r="G364" s="513"/>
      <c r="H364" s="265"/>
      <c r="I364" s="520"/>
      <c r="J364" s="241"/>
      <c r="K364" s="520"/>
      <c r="L364" s="241"/>
      <c r="M364" s="521"/>
      <c r="N364" s="241"/>
      <c r="O364" s="521"/>
      <c r="P364" s="241"/>
      <c r="Q364" s="520"/>
      <c r="R364" s="241"/>
      <c r="S364" s="520"/>
      <c r="T364" s="241"/>
      <c r="U364" s="520"/>
      <c r="V364" s="241"/>
      <c r="W364" s="242"/>
      <c r="X364" s="241"/>
      <c r="Y364" s="242"/>
      <c r="Z364" s="241"/>
      <c r="AA364" s="241"/>
      <c r="AB364" s="275"/>
      <c r="AC364" s="524"/>
      <c r="AD364" s="241"/>
      <c r="AE364" s="241"/>
      <c r="AF364" s="241"/>
      <c r="AG364" s="241"/>
      <c r="AH364" s="241"/>
      <c r="AI364" s="241"/>
      <c r="AJ364" s="529"/>
      <c r="AK364" s="258"/>
      <c r="AL364" s="241"/>
      <c r="AM364" s="242"/>
      <c r="AN364" s="241"/>
      <c r="AO364" s="242"/>
      <c r="AP364" s="241"/>
      <c r="AQ364" s="242"/>
      <c r="AR364" s="241"/>
      <c r="AS364" s="242"/>
      <c r="AT364" s="241"/>
      <c r="AU364" s="241"/>
      <c r="AV364" s="256"/>
      <c r="AW364" s="241"/>
      <c r="AX364" s="256"/>
      <c r="AY364" s="241"/>
      <c r="AZ364" s="256"/>
      <c r="BA364" s="239"/>
      <c r="BB364" s="242"/>
      <c r="BC364" s="239"/>
      <c r="BD364" s="242"/>
      <c r="BE364" s="239"/>
      <c r="BF364" s="241"/>
      <c r="BG364" s="239"/>
      <c r="BH364" s="241"/>
      <c r="BI364" s="260"/>
      <c r="BJ364" s="241"/>
      <c r="BK364" s="260"/>
      <c r="BL364" s="239"/>
      <c r="BM364" s="256"/>
      <c r="BN364" s="241"/>
      <c r="BO364" s="243"/>
      <c r="BP364" s="241"/>
      <c r="BQ364" s="239"/>
      <c r="BR364" s="276"/>
      <c r="BS364" s="256"/>
      <c r="BT364" s="260"/>
      <c r="BU364" s="261"/>
      <c r="BV364" s="260"/>
      <c r="BW364" s="239"/>
      <c r="BX364" s="260"/>
      <c r="BY364" s="260"/>
      <c r="BZ364" s="239"/>
      <c r="CA364" s="260"/>
      <c r="CB364" s="239"/>
      <c r="CC364" s="260"/>
      <c r="CD364" s="539"/>
      <c r="CE364" s="239"/>
      <c r="CF364" s="276"/>
      <c r="CG364" s="256"/>
      <c r="CH364" s="259"/>
      <c r="CI364" s="347"/>
      <c r="CJ364" s="540"/>
      <c r="CK364" s="256"/>
      <c r="CL364" s="244">
        <v>1</v>
      </c>
      <c r="CM364" s="274">
        <f t="shared" si="5"/>
        <v>2015</v>
      </c>
      <c r="CN364" s="244">
        <f>IF('Grille de saisie'!CM364&lt;18,0,IF('Grille de saisie'!CM364&lt;40,1,IF('Grille de saisie'!CM364&lt;65,2,IF('Grille de saisie'!CM364&lt;100,3,4))))</f>
        <v>4</v>
      </c>
      <c r="CO364" s="236">
        <f>IF(AND('Grille de saisie'!C364=1,'Grille de saisie'!BZ364=0),1,IF(AND('Grille de saisie'!C364="",'Grille de saisie'!BZ364=""),3,IF(AND('Grille de saisie'!C364=5),3,2)))</f>
        <v>3</v>
      </c>
      <c r="CP364" s="236">
        <f>IF(AND('Grille de saisie'!C364=1,'Grille de saisie'!BZ364=0),1,IF(AND('Grille de saisie'!C364=1,'Grille de saisie'!BZ364=1),2,IF(AND('Grille de saisie'!C364=2,'Grille de saisie'!BZ364=0),2,IF(AND('Grille de saisie'!C364=3,'Grille de saisie'!BZ364=0),3,IF(AND('Grille de saisie'!C364=2,'Grille de saisie'!BZ364=1),3,IF(AND('Grille de saisie'!C364=1,'Grille de saisie'!BZ364=2),3,IF(AND('Grille de saisie'!C364="",'Grille de saisie'!BZ364=""),5,IF(AND('Grille de saisie'!C364=5),5,4))))))))</f>
        <v>5</v>
      </c>
      <c r="CQ364" s="237">
        <f>IF('Grille de saisie'!BZ364="",3,IF('Grille de saisie'!C364=5,3,IF('Grille de saisie'!BZ364=0,1,2)))</f>
        <v>3</v>
      </c>
    </row>
    <row r="365" spans="1:95" ht="15">
      <c r="A365" s="510">
        <v>363</v>
      </c>
      <c r="B365" s="240"/>
      <c r="C365" s="513"/>
      <c r="D365" s="240"/>
      <c r="E365" s="517"/>
      <c r="F365" s="265"/>
      <c r="G365" s="513"/>
      <c r="H365" s="265"/>
      <c r="I365" s="520"/>
      <c r="J365" s="241"/>
      <c r="K365" s="520"/>
      <c r="L365" s="241"/>
      <c r="M365" s="521"/>
      <c r="N365" s="241"/>
      <c r="O365" s="521"/>
      <c r="P365" s="241"/>
      <c r="Q365" s="520"/>
      <c r="R365" s="241"/>
      <c r="S365" s="520"/>
      <c r="T365" s="241"/>
      <c r="U365" s="520"/>
      <c r="V365" s="241"/>
      <c r="W365" s="242"/>
      <c r="X365" s="241"/>
      <c r="Y365" s="242"/>
      <c r="Z365" s="241"/>
      <c r="AA365" s="241"/>
      <c r="AB365" s="275"/>
      <c r="AC365" s="524"/>
      <c r="AD365" s="241"/>
      <c r="AE365" s="241"/>
      <c r="AF365" s="241"/>
      <c r="AG365" s="241"/>
      <c r="AH365" s="241"/>
      <c r="AI365" s="241"/>
      <c r="AJ365" s="529"/>
      <c r="AK365" s="258"/>
      <c r="AL365" s="241"/>
      <c r="AM365" s="242"/>
      <c r="AN365" s="241"/>
      <c r="AO365" s="242"/>
      <c r="AP365" s="241"/>
      <c r="AQ365" s="242"/>
      <c r="AR365" s="241"/>
      <c r="AS365" s="242"/>
      <c r="AT365" s="241"/>
      <c r="AU365" s="241"/>
      <c r="AV365" s="256"/>
      <c r="AW365" s="241"/>
      <c r="AX365" s="256"/>
      <c r="AY365" s="241"/>
      <c r="AZ365" s="256"/>
      <c r="BA365" s="239"/>
      <c r="BB365" s="242"/>
      <c r="BC365" s="239"/>
      <c r="BD365" s="242"/>
      <c r="BE365" s="239"/>
      <c r="BF365" s="241"/>
      <c r="BG365" s="239"/>
      <c r="BH365" s="241"/>
      <c r="BI365" s="260"/>
      <c r="BJ365" s="241"/>
      <c r="BK365" s="260"/>
      <c r="BL365" s="239"/>
      <c r="BM365" s="256"/>
      <c r="BN365" s="241"/>
      <c r="BO365" s="243"/>
      <c r="BP365" s="241"/>
      <c r="BQ365" s="239"/>
      <c r="BR365" s="276"/>
      <c r="BS365" s="256"/>
      <c r="BT365" s="260"/>
      <c r="BU365" s="261"/>
      <c r="BV365" s="260"/>
      <c r="BW365" s="239"/>
      <c r="BX365" s="260"/>
      <c r="BY365" s="260"/>
      <c r="BZ365" s="239"/>
      <c r="CA365" s="260"/>
      <c r="CB365" s="239"/>
      <c r="CC365" s="260"/>
      <c r="CD365" s="539"/>
      <c r="CE365" s="239"/>
      <c r="CF365" s="276"/>
      <c r="CG365" s="256"/>
      <c r="CH365" s="259"/>
      <c r="CI365" s="347"/>
      <c r="CJ365" s="540"/>
      <c r="CK365" s="256"/>
      <c r="CL365" s="244">
        <v>1</v>
      </c>
      <c r="CM365" s="274">
        <f t="shared" si="5"/>
        <v>2015</v>
      </c>
      <c r="CN365" s="244">
        <f>IF('Grille de saisie'!CM365&lt;18,0,IF('Grille de saisie'!CM365&lt;40,1,IF('Grille de saisie'!CM365&lt;65,2,IF('Grille de saisie'!CM365&lt;100,3,4))))</f>
        <v>4</v>
      </c>
      <c r="CO365" s="236">
        <f>IF(AND('Grille de saisie'!C365=1,'Grille de saisie'!BZ365=0),1,IF(AND('Grille de saisie'!C365="",'Grille de saisie'!BZ365=""),3,IF(AND('Grille de saisie'!C365=5),3,2)))</f>
        <v>3</v>
      </c>
      <c r="CP365" s="236">
        <f>IF(AND('Grille de saisie'!C365=1,'Grille de saisie'!BZ365=0),1,IF(AND('Grille de saisie'!C365=1,'Grille de saisie'!BZ365=1),2,IF(AND('Grille de saisie'!C365=2,'Grille de saisie'!BZ365=0),2,IF(AND('Grille de saisie'!C365=3,'Grille de saisie'!BZ365=0),3,IF(AND('Grille de saisie'!C365=2,'Grille de saisie'!BZ365=1),3,IF(AND('Grille de saisie'!C365=1,'Grille de saisie'!BZ365=2),3,IF(AND('Grille de saisie'!C365="",'Grille de saisie'!BZ365=""),5,IF(AND('Grille de saisie'!C365=5),5,4))))))))</f>
        <v>5</v>
      </c>
      <c r="CQ365" s="237">
        <f>IF('Grille de saisie'!BZ365="",3,IF('Grille de saisie'!C365=5,3,IF('Grille de saisie'!BZ365=0,1,2)))</f>
        <v>3</v>
      </c>
    </row>
    <row r="366" spans="1:95" ht="15">
      <c r="A366" s="511">
        <v>364</v>
      </c>
      <c r="B366" s="240"/>
      <c r="C366" s="513"/>
      <c r="D366" s="240"/>
      <c r="E366" s="517"/>
      <c r="F366" s="265"/>
      <c r="G366" s="513"/>
      <c r="H366" s="265"/>
      <c r="I366" s="520"/>
      <c r="J366" s="241"/>
      <c r="K366" s="520"/>
      <c r="L366" s="241"/>
      <c r="M366" s="521"/>
      <c r="N366" s="241"/>
      <c r="O366" s="521"/>
      <c r="P366" s="241"/>
      <c r="Q366" s="520"/>
      <c r="R366" s="241"/>
      <c r="S366" s="520"/>
      <c r="T366" s="241"/>
      <c r="U366" s="520"/>
      <c r="V366" s="241"/>
      <c r="W366" s="242"/>
      <c r="X366" s="241"/>
      <c r="Y366" s="242"/>
      <c r="Z366" s="241"/>
      <c r="AA366" s="241"/>
      <c r="AB366" s="275"/>
      <c r="AC366" s="524"/>
      <c r="AD366" s="241"/>
      <c r="AE366" s="241"/>
      <c r="AF366" s="241"/>
      <c r="AG366" s="241"/>
      <c r="AH366" s="241"/>
      <c r="AI366" s="241"/>
      <c r="AJ366" s="529"/>
      <c r="AK366" s="258"/>
      <c r="AL366" s="241"/>
      <c r="AM366" s="242"/>
      <c r="AN366" s="241"/>
      <c r="AO366" s="242"/>
      <c r="AP366" s="241"/>
      <c r="AQ366" s="242"/>
      <c r="AR366" s="241"/>
      <c r="AS366" s="242"/>
      <c r="AT366" s="241"/>
      <c r="AU366" s="241"/>
      <c r="AV366" s="256"/>
      <c r="AW366" s="241"/>
      <c r="AX366" s="256"/>
      <c r="AY366" s="241"/>
      <c r="AZ366" s="256"/>
      <c r="BA366" s="239"/>
      <c r="BB366" s="242"/>
      <c r="BC366" s="239"/>
      <c r="BD366" s="242"/>
      <c r="BE366" s="239"/>
      <c r="BF366" s="241"/>
      <c r="BG366" s="239"/>
      <c r="BH366" s="241"/>
      <c r="BI366" s="260"/>
      <c r="BJ366" s="241"/>
      <c r="BK366" s="260"/>
      <c r="BL366" s="239"/>
      <c r="BM366" s="256"/>
      <c r="BN366" s="241"/>
      <c r="BO366" s="243"/>
      <c r="BP366" s="241"/>
      <c r="BQ366" s="239"/>
      <c r="BR366" s="276"/>
      <c r="BS366" s="256"/>
      <c r="BT366" s="260"/>
      <c r="BU366" s="261"/>
      <c r="BV366" s="260"/>
      <c r="BW366" s="239"/>
      <c r="BX366" s="260"/>
      <c r="BY366" s="260"/>
      <c r="BZ366" s="239"/>
      <c r="CA366" s="260"/>
      <c r="CB366" s="239"/>
      <c r="CC366" s="260"/>
      <c r="CD366" s="539"/>
      <c r="CE366" s="239"/>
      <c r="CF366" s="276"/>
      <c r="CG366" s="256"/>
      <c r="CH366" s="259"/>
      <c r="CI366" s="347"/>
      <c r="CJ366" s="540"/>
      <c r="CK366" s="256"/>
      <c r="CL366" s="244">
        <v>1</v>
      </c>
      <c r="CM366" s="274">
        <f t="shared" si="5"/>
        <v>2015</v>
      </c>
      <c r="CN366" s="244">
        <f>IF('Grille de saisie'!CM366&lt;18,0,IF('Grille de saisie'!CM366&lt;40,1,IF('Grille de saisie'!CM366&lt;65,2,IF('Grille de saisie'!CM366&lt;100,3,4))))</f>
        <v>4</v>
      </c>
      <c r="CO366" s="236">
        <f>IF(AND('Grille de saisie'!C366=1,'Grille de saisie'!BZ366=0),1,IF(AND('Grille de saisie'!C366="",'Grille de saisie'!BZ366=""),3,IF(AND('Grille de saisie'!C366=5),3,2)))</f>
        <v>3</v>
      </c>
      <c r="CP366" s="236">
        <f>IF(AND('Grille de saisie'!C366=1,'Grille de saisie'!BZ366=0),1,IF(AND('Grille de saisie'!C366=1,'Grille de saisie'!BZ366=1),2,IF(AND('Grille de saisie'!C366=2,'Grille de saisie'!BZ366=0),2,IF(AND('Grille de saisie'!C366=3,'Grille de saisie'!BZ366=0),3,IF(AND('Grille de saisie'!C366=2,'Grille de saisie'!BZ366=1),3,IF(AND('Grille de saisie'!C366=1,'Grille de saisie'!BZ366=2),3,IF(AND('Grille de saisie'!C366="",'Grille de saisie'!BZ366=""),5,IF(AND('Grille de saisie'!C366=5),5,4))))))))</f>
        <v>5</v>
      </c>
      <c r="CQ366" s="237">
        <f>IF('Grille de saisie'!BZ366="",3,IF('Grille de saisie'!C366=5,3,IF('Grille de saisie'!BZ366=0,1,2)))</f>
        <v>3</v>
      </c>
    </row>
    <row r="367" spans="1:95" ht="15">
      <c r="A367" s="510">
        <v>365</v>
      </c>
      <c r="B367" s="240"/>
      <c r="C367" s="513"/>
      <c r="D367" s="240"/>
      <c r="E367" s="517"/>
      <c r="F367" s="265"/>
      <c r="G367" s="513"/>
      <c r="H367" s="265"/>
      <c r="I367" s="520"/>
      <c r="J367" s="241"/>
      <c r="K367" s="520"/>
      <c r="L367" s="241"/>
      <c r="M367" s="521"/>
      <c r="N367" s="241"/>
      <c r="O367" s="521"/>
      <c r="P367" s="241"/>
      <c r="Q367" s="520"/>
      <c r="R367" s="241"/>
      <c r="S367" s="520"/>
      <c r="T367" s="241"/>
      <c r="U367" s="520"/>
      <c r="V367" s="241"/>
      <c r="W367" s="242"/>
      <c r="X367" s="241"/>
      <c r="Y367" s="242"/>
      <c r="Z367" s="241"/>
      <c r="AA367" s="241"/>
      <c r="AB367" s="275"/>
      <c r="AC367" s="524"/>
      <c r="AD367" s="241"/>
      <c r="AE367" s="241"/>
      <c r="AF367" s="241"/>
      <c r="AG367" s="241"/>
      <c r="AH367" s="241"/>
      <c r="AI367" s="241"/>
      <c r="AJ367" s="529"/>
      <c r="AK367" s="258"/>
      <c r="AL367" s="241"/>
      <c r="AM367" s="242"/>
      <c r="AN367" s="241"/>
      <c r="AO367" s="242"/>
      <c r="AP367" s="241"/>
      <c r="AQ367" s="242"/>
      <c r="AR367" s="241"/>
      <c r="AS367" s="242"/>
      <c r="AT367" s="241"/>
      <c r="AU367" s="241"/>
      <c r="AV367" s="256"/>
      <c r="AW367" s="241"/>
      <c r="AX367" s="256"/>
      <c r="AY367" s="241"/>
      <c r="AZ367" s="256"/>
      <c r="BA367" s="239"/>
      <c r="BB367" s="242"/>
      <c r="BC367" s="239"/>
      <c r="BD367" s="242"/>
      <c r="BE367" s="239"/>
      <c r="BF367" s="241"/>
      <c r="BG367" s="239"/>
      <c r="BH367" s="241"/>
      <c r="BI367" s="260"/>
      <c r="BJ367" s="241"/>
      <c r="BK367" s="260"/>
      <c r="BL367" s="239"/>
      <c r="BM367" s="256"/>
      <c r="BN367" s="241"/>
      <c r="BO367" s="243"/>
      <c r="BP367" s="241"/>
      <c r="BQ367" s="239"/>
      <c r="BR367" s="276"/>
      <c r="BS367" s="256"/>
      <c r="BT367" s="260"/>
      <c r="BU367" s="261"/>
      <c r="BV367" s="260"/>
      <c r="BW367" s="239"/>
      <c r="BX367" s="260"/>
      <c r="BY367" s="260"/>
      <c r="BZ367" s="239"/>
      <c r="CA367" s="260"/>
      <c r="CB367" s="239"/>
      <c r="CC367" s="260"/>
      <c r="CD367" s="539"/>
      <c r="CE367" s="239"/>
      <c r="CF367" s="276"/>
      <c r="CG367" s="256"/>
      <c r="CH367" s="259"/>
      <c r="CI367" s="347"/>
      <c r="CJ367" s="540"/>
      <c r="CK367" s="256"/>
      <c r="CL367" s="244">
        <v>1</v>
      </c>
      <c r="CM367" s="274">
        <f t="shared" si="5"/>
        <v>2015</v>
      </c>
      <c r="CN367" s="244">
        <f>IF('Grille de saisie'!CM367&lt;18,0,IF('Grille de saisie'!CM367&lt;40,1,IF('Grille de saisie'!CM367&lt;65,2,IF('Grille de saisie'!CM367&lt;100,3,4))))</f>
        <v>4</v>
      </c>
      <c r="CO367" s="236">
        <f>IF(AND('Grille de saisie'!C367=1,'Grille de saisie'!BZ367=0),1,IF(AND('Grille de saisie'!C367="",'Grille de saisie'!BZ367=""),3,IF(AND('Grille de saisie'!C367=5),3,2)))</f>
        <v>3</v>
      </c>
      <c r="CP367" s="236">
        <f>IF(AND('Grille de saisie'!C367=1,'Grille de saisie'!BZ367=0),1,IF(AND('Grille de saisie'!C367=1,'Grille de saisie'!BZ367=1),2,IF(AND('Grille de saisie'!C367=2,'Grille de saisie'!BZ367=0),2,IF(AND('Grille de saisie'!C367=3,'Grille de saisie'!BZ367=0),3,IF(AND('Grille de saisie'!C367=2,'Grille de saisie'!BZ367=1),3,IF(AND('Grille de saisie'!C367=1,'Grille de saisie'!BZ367=2),3,IF(AND('Grille de saisie'!C367="",'Grille de saisie'!BZ367=""),5,IF(AND('Grille de saisie'!C367=5),5,4))))))))</f>
        <v>5</v>
      </c>
      <c r="CQ367" s="237">
        <f>IF('Grille de saisie'!BZ367="",3,IF('Grille de saisie'!C367=5,3,IF('Grille de saisie'!BZ367=0,1,2)))</f>
        <v>3</v>
      </c>
    </row>
    <row r="368" spans="1:95" ht="15">
      <c r="A368" s="510">
        <v>366</v>
      </c>
      <c r="B368" s="240"/>
      <c r="C368" s="513"/>
      <c r="D368" s="240"/>
      <c r="E368" s="517"/>
      <c r="F368" s="265"/>
      <c r="G368" s="513"/>
      <c r="H368" s="265"/>
      <c r="I368" s="520"/>
      <c r="J368" s="241"/>
      <c r="K368" s="520"/>
      <c r="L368" s="241"/>
      <c r="M368" s="521"/>
      <c r="N368" s="241"/>
      <c r="O368" s="521"/>
      <c r="P368" s="241"/>
      <c r="Q368" s="520"/>
      <c r="R368" s="241"/>
      <c r="S368" s="520"/>
      <c r="T368" s="241"/>
      <c r="U368" s="520"/>
      <c r="V368" s="241"/>
      <c r="W368" s="242"/>
      <c r="X368" s="241"/>
      <c r="Y368" s="242"/>
      <c r="Z368" s="241"/>
      <c r="AA368" s="241"/>
      <c r="AB368" s="275"/>
      <c r="AC368" s="524"/>
      <c r="AD368" s="241"/>
      <c r="AE368" s="241"/>
      <c r="AF368" s="241"/>
      <c r="AG368" s="241"/>
      <c r="AH368" s="241"/>
      <c r="AI368" s="241"/>
      <c r="AJ368" s="529"/>
      <c r="AK368" s="258"/>
      <c r="AL368" s="241"/>
      <c r="AM368" s="242"/>
      <c r="AN368" s="241"/>
      <c r="AO368" s="242"/>
      <c r="AP368" s="241"/>
      <c r="AQ368" s="242"/>
      <c r="AR368" s="241"/>
      <c r="AS368" s="242"/>
      <c r="AT368" s="241"/>
      <c r="AU368" s="241"/>
      <c r="AV368" s="256"/>
      <c r="AW368" s="241"/>
      <c r="AX368" s="256"/>
      <c r="AY368" s="241"/>
      <c r="AZ368" s="256"/>
      <c r="BA368" s="239"/>
      <c r="BB368" s="242"/>
      <c r="BC368" s="239"/>
      <c r="BD368" s="242"/>
      <c r="BE368" s="239"/>
      <c r="BF368" s="241"/>
      <c r="BG368" s="239"/>
      <c r="BH368" s="241"/>
      <c r="BI368" s="260"/>
      <c r="BJ368" s="241"/>
      <c r="BK368" s="260"/>
      <c r="BL368" s="239"/>
      <c r="BM368" s="256"/>
      <c r="BN368" s="241"/>
      <c r="BO368" s="243"/>
      <c r="BP368" s="241"/>
      <c r="BQ368" s="239"/>
      <c r="BR368" s="276"/>
      <c r="BS368" s="256"/>
      <c r="BT368" s="260"/>
      <c r="BU368" s="261"/>
      <c r="BV368" s="260"/>
      <c r="BW368" s="239"/>
      <c r="BX368" s="260"/>
      <c r="BY368" s="260"/>
      <c r="BZ368" s="239"/>
      <c r="CA368" s="260"/>
      <c r="CB368" s="239"/>
      <c r="CC368" s="260"/>
      <c r="CD368" s="539"/>
      <c r="CE368" s="239"/>
      <c r="CF368" s="276"/>
      <c r="CG368" s="256"/>
      <c r="CH368" s="259"/>
      <c r="CI368" s="347"/>
      <c r="CJ368" s="540"/>
      <c r="CK368" s="256"/>
      <c r="CL368" s="244">
        <v>1</v>
      </c>
      <c r="CM368" s="274">
        <f t="shared" si="5"/>
        <v>2015</v>
      </c>
      <c r="CN368" s="244">
        <f>IF('Grille de saisie'!CM368&lt;18,0,IF('Grille de saisie'!CM368&lt;40,1,IF('Grille de saisie'!CM368&lt;65,2,IF('Grille de saisie'!CM368&lt;100,3,4))))</f>
        <v>4</v>
      </c>
      <c r="CO368" s="236">
        <f>IF(AND('Grille de saisie'!C368=1,'Grille de saisie'!BZ368=0),1,IF(AND('Grille de saisie'!C368="",'Grille de saisie'!BZ368=""),3,IF(AND('Grille de saisie'!C368=5),3,2)))</f>
        <v>3</v>
      </c>
      <c r="CP368" s="236">
        <f>IF(AND('Grille de saisie'!C368=1,'Grille de saisie'!BZ368=0),1,IF(AND('Grille de saisie'!C368=1,'Grille de saisie'!BZ368=1),2,IF(AND('Grille de saisie'!C368=2,'Grille de saisie'!BZ368=0),2,IF(AND('Grille de saisie'!C368=3,'Grille de saisie'!BZ368=0),3,IF(AND('Grille de saisie'!C368=2,'Grille de saisie'!BZ368=1),3,IF(AND('Grille de saisie'!C368=1,'Grille de saisie'!BZ368=2),3,IF(AND('Grille de saisie'!C368="",'Grille de saisie'!BZ368=""),5,IF(AND('Grille de saisie'!C368=5),5,4))))))))</f>
        <v>5</v>
      </c>
      <c r="CQ368" s="237">
        <f>IF('Grille de saisie'!BZ368="",3,IF('Grille de saisie'!C368=5,3,IF('Grille de saisie'!BZ368=0,1,2)))</f>
        <v>3</v>
      </c>
    </row>
    <row r="369" spans="1:95" ht="15">
      <c r="A369" s="511">
        <v>367</v>
      </c>
      <c r="B369" s="240"/>
      <c r="C369" s="513"/>
      <c r="D369" s="240"/>
      <c r="E369" s="517"/>
      <c r="F369" s="265"/>
      <c r="G369" s="513"/>
      <c r="H369" s="265"/>
      <c r="I369" s="520"/>
      <c r="J369" s="241"/>
      <c r="K369" s="520"/>
      <c r="L369" s="241"/>
      <c r="M369" s="521"/>
      <c r="N369" s="241"/>
      <c r="O369" s="521"/>
      <c r="P369" s="241"/>
      <c r="Q369" s="520"/>
      <c r="R369" s="241"/>
      <c r="S369" s="520"/>
      <c r="T369" s="241"/>
      <c r="U369" s="520"/>
      <c r="V369" s="241"/>
      <c r="W369" s="242"/>
      <c r="X369" s="241"/>
      <c r="Y369" s="242"/>
      <c r="Z369" s="241"/>
      <c r="AA369" s="241"/>
      <c r="AB369" s="275"/>
      <c r="AC369" s="524"/>
      <c r="AD369" s="241"/>
      <c r="AE369" s="241"/>
      <c r="AF369" s="241"/>
      <c r="AG369" s="241"/>
      <c r="AH369" s="241"/>
      <c r="AI369" s="241"/>
      <c r="AJ369" s="529"/>
      <c r="AK369" s="258"/>
      <c r="AL369" s="241"/>
      <c r="AM369" s="242"/>
      <c r="AN369" s="241"/>
      <c r="AO369" s="242"/>
      <c r="AP369" s="241"/>
      <c r="AQ369" s="242"/>
      <c r="AR369" s="241"/>
      <c r="AS369" s="242"/>
      <c r="AT369" s="241"/>
      <c r="AU369" s="241"/>
      <c r="AV369" s="256"/>
      <c r="AW369" s="241"/>
      <c r="AX369" s="256"/>
      <c r="AY369" s="241"/>
      <c r="AZ369" s="256"/>
      <c r="BA369" s="239"/>
      <c r="BB369" s="242"/>
      <c r="BC369" s="239"/>
      <c r="BD369" s="242"/>
      <c r="BE369" s="239"/>
      <c r="BF369" s="241"/>
      <c r="BG369" s="239"/>
      <c r="BH369" s="241"/>
      <c r="BI369" s="260"/>
      <c r="BJ369" s="241"/>
      <c r="BK369" s="260"/>
      <c r="BL369" s="239"/>
      <c r="BM369" s="256"/>
      <c r="BN369" s="241"/>
      <c r="BO369" s="243"/>
      <c r="BP369" s="241"/>
      <c r="BQ369" s="239"/>
      <c r="BR369" s="276"/>
      <c r="BS369" s="256"/>
      <c r="BT369" s="260"/>
      <c r="BU369" s="261"/>
      <c r="BV369" s="260"/>
      <c r="BW369" s="239"/>
      <c r="BX369" s="260"/>
      <c r="BY369" s="260"/>
      <c r="BZ369" s="239"/>
      <c r="CA369" s="260"/>
      <c r="CB369" s="239"/>
      <c r="CC369" s="260"/>
      <c r="CD369" s="539"/>
      <c r="CE369" s="239"/>
      <c r="CF369" s="276"/>
      <c r="CG369" s="256"/>
      <c r="CH369" s="259"/>
      <c r="CI369" s="347"/>
      <c r="CJ369" s="540"/>
      <c r="CK369" s="256"/>
      <c r="CL369" s="244">
        <v>1</v>
      </c>
      <c r="CM369" s="274">
        <f t="shared" si="5"/>
        <v>2015</v>
      </c>
      <c r="CN369" s="244">
        <f>IF('Grille de saisie'!CM369&lt;18,0,IF('Grille de saisie'!CM369&lt;40,1,IF('Grille de saisie'!CM369&lt;65,2,IF('Grille de saisie'!CM369&lt;100,3,4))))</f>
        <v>4</v>
      </c>
      <c r="CO369" s="236">
        <f>IF(AND('Grille de saisie'!C369=1,'Grille de saisie'!BZ369=0),1,IF(AND('Grille de saisie'!C369="",'Grille de saisie'!BZ369=""),3,IF(AND('Grille de saisie'!C369=5),3,2)))</f>
        <v>3</v>
      </c>
      <c r="CP369" s="236">
        <f>IF(AND('Grille de saisie'!C369=1,'Grille de saisie'!BZ369=0),1,IF(AND('Grille de saisie'!C369=1,'Grille de saisie'!BZ369=1),2,IF(AND('Grille de saisie'!C369=2,'Grille de saisie'!BZ369=0),2,IF(AND('Grille de saisie'!C369=3,'Grille de saisie'!BZ369=0),3,IF(AND('Grille de saisie'!C369=2,'Grille de saisie'!BZ369=1),3,IF(AND('Grille de saisie'!C369=1,'Grille de saisie'!BZ369=2),3,IF(AND('Grille de saisie'!C369="",'Grille de saisie'!BZ369=""),5,IF(AND('Grille de saisie'!C369=5),5,4))))))))</f>
        <v>5</v>
      </c>
      <c r="CQ369" s="237">
        <f>IF('Grille de saisie'!BZ369="",3,IF('Grille de saisie'!C369=5,3,IF('Grille de saisie'!BZ369=0,1,2)))</f>
        <v>3</v>
      </c>
    </row>
    <row r="370" spans="1:95" ht="15">
      <c r="A370" s="510">
        <v>368</v>
      </c>
      <c r="B370" s="240"/>
      <c r="C370" s="513"/>
      <c r="D370" s="240"/>
      <c r="E370" s="517"/>
      <c r="F370" s="265"/>
      <c r="G370" s="513"/>
      <c r="H370" s="265"/>
      <c r="I370" s="520"/>
      <c r="J370" s="241"/>
      <c r="K370" s="520"/>
      <c r="L370" s="241"/>
      <c r="M370" s="521"/>
      <c r="N370" s="241"/>
      <c r="O370" s="521"/>
      <c r="P370" s="241"/>
      <c r="Q370" s="520"/>
      <c r="R370" s="241"/>
      <c r="S370" s="520"/>
      <c r="T370" s="241"/>
      <c r="U370" s="520"/>
      <c r="V370" s="241"/>
      <c r="W370" s="242"/>
      <c r="X370" s="241"/>
      <c r="Y370" s="242"/>
      <c r="Z370" s="241"/>
      <c r="AA370" s="241"/>
      <c r="AB370" s="275"/>
      <c r="AC370" s="524"/>
      <c r="AD370" s="241"/>
      <c r="AE370" s="241"/>
      <c r="AF370" s="241"/>
      <c r="AG370" s="241"/>
      <c r="AH370" s="241"/>
      <c r="AI370" s="241"/>
      <c r="AJ370" s="529"/>
      <c r="AK370" s="258"/>
      <c r="AL370" s="241"/>
      <c r="AM370" s="242"/>
      <c r="AN370" s="241"/>
      <c r="AO370" s="242"/>
      <c r="AP370" s="241"/>
      <c r="AQ370" s="242"/>
      <c r="AR370" s="241"/>
      <c r="AS370" s="242"/>
      <c r="AT370" s="241"/>
      <c r="AU370" s="241"/>
      <c r="AV370" s="256"/>
      <c r="AW370" s="241"/>
      <c r="AX370" s="256"/>
      <c r="AY370" s="241"/>
      <c r="AZ370" s="256"/>
      <c r="BA370" s="239"/>
      <c r="BB370" s="242"/>
      <c r="BC370" s="239"/>
      <c r="BD370" s="242"/>
      <c r="BE370" s="239"/>
      <c r="BF370" s="241"/>
      <c r="BG370" s="239"/>
      <c r="BH370" s="241"/>
      <c r="BI370" s="260"/>
      <c r="BJ370" s="241"/>
      <c r="BK370" s="260"/>
      <c r="BL370" s="239"/>
      <c r="BM370" s="256"/>
      <c r="BN370" s="241"/>
      <c r="BO370" s="243"/>
      <c r="BP370" s="241"/>
      <c r="BQ370" s="239"/>
      <c r="BR370" s="276"/>
      <c r="BS370" s="256"/>
      <c r="BT370" s="260"/>
      <c r="BU370" s="261"/>
      <c r="BV370" s="260"/>
      <c r="BW370" s="239"/>
      <c r="BX370" s="260"/>
      <c r="BY370" s="260"/>
      <c r="BZ370" s="239"/>
      <c r="CA370" s="260"/>
      <c r="CB370" s="239"/>
      <c r="CC370" s="260"/>
      <c r="CD370" s="539"/>
      <c r="CE370" s="239"/>
      <c r="CF370" s="276"/>
      <c r="CG370" s="256"/>
      <c r="CH370" s="259"/>
      <c r="CI370" s="347"/>
      <c r="CJ370" s="540"/>
      <c r="CK370" s="256"/>
      <c r="CL370" s="244">
        <v>1</v>
      </c>
      <c r="CM370" s="274">
        <f t="shared" si="5"/>
        <v>2015</v>
      </c>
      <c r="CN370" s="244">
        <f>IF('Grille de saisie'!CM370&lt;18,0,IF('Grille de saisie'!CM370&lt;40,1,IF('Grille de saisie'!CM370&lt;65,2,IF('Grille de saisie'!CM370&lt;100,3,4))))</f>
        <v>4</v>
      </c>
      <c r="CO370" s="236">
        <f>IF(AND('Grille de saisie'!C370=1,'Grille de saisie'!BZ370=0),1,IF(AND('Grille de saisie'!C370="",'Grille de saisie'!BZ370=""),3,IF(AND('Grille de saisie'!C370=5),3,2)))</f>
        <v>3</v>
      </c>
      <c r="CP370" s="236">
        <f>IF(AND('Grille de saisie'!C370=1,'Grille de saisie'!BZ370=0),1,IF(AND('Grille de saisie'!C370=1,'Grille de saisie'!BZ370=1),2,IF(AND('Grille de saisie'!C370=2,'Grille de saisie'!BZ370=0),2,IF(AND('Grille de saisie'!C370=3,'Grille de saisie'!BZ370=0),3,IF(AND('Grille de saisie'!C370=2,'Grille de saisie'!BZ370=1),3,IF(AND('Grille de saisie'!C370=1,'Grille de saisie'!BZ370=2),3,IF(AND('Grille de saisie'!C370="",'Grille de saisie'!BZ370=""),5,IF(AND('Grille de saisie'!C370=5),5,4))))))))</f>
        <v>5</v>
      </c>
      <c r="CQ370" s="237">
        <f>IF('Grille de saisie'!BZ370="",3,IF('Grille de saisie'!C370=5,3,IF('Grille de saisie'!BZ370=0,1,2)))</f>
        <v>3</v>
      </c>
    </row>
    <row r="371" spans="1:95" ht="15">
      <c r="A371" s="510">
        <v>369</v>
      </c>
      <c r="B371" s="240"/>
      <c r="C371" s="513"/>
      <c r="D371" s="240"/>
      <c r="E371" s="517"/>
      <c r="F371" s="265"/>
      <c r="G371" s="513"/>
      <c r="H371" s="265"/>
      <c r="I371" s="520"/>
      <c r="J371" s="241"/>
      <c r="K371" s="520"/>
      <c r="L371" s="241"/>
      <c r="M371" s="521"/>
      <c r="N371" s="241"/>
      <c r="O371" s="521"/>
      <c r="P371" s="241"/>
      <c r="Q371" s="520"/>
      <c r="R371" s="241"/>
      <c r="S371" s="520"/>
      <c r="T371" s="241"/>
      <c r="U371" s="520"/>
      <c r="V371" s="241"/>
      <c r="W371" s="242"/>
      <c r="X371" s="241"/>
      <c r="Y371" s="242"/>
      <c r="Z371" s="241"/>
      <c r="AA371" s="241"/>
      <c r="AB371" s="275"/>
      <c r="AC371" s="524"/>
      <c r="AD371" s="241"/>
      <c r="AE371" s="241"/>
      <c r="AF371" s="241"/>
      <c r="AG371" s="241"/>
      <c r="AH371" s="241"/>
      <c r="AI371" s="241"/>
      <c r="AJ371" s="529"/>
      <c r="AK371" s="258"/>
      <c r="AL371" s="241"/>
      <c r="AM371" s="242"/>
      <c r="AN371" s="241"/>
      <c r="AO371" s="242"/>
      <c r="AP371" s="241"/>
      <c r="AQ371" s="242"/>
      <c r="AR371" s="241"/>
      <c r="AS371" s="242"/>
      <c r="AT371" s="241"/>
      <c r="AU371" s="241"/>
      <c r="AV371" s="256"/>
      <c r="AW371" s="241"/>
      <c r="AX371" s="256"/>
      <c r="AY371" s="241"/>
      <c r="AZ371" s="256"/>
      <c r="BA371" s="239"/>
      <c r="BB371" s="242"/>
      <c r="BC371" s="239"/>
      <c r="BD371" s="242"/>
      <c r="BE371" s="239"/>
      <c r="BF371" s="241"/>
      <c r="BG371" s="239"/>
      <c r="BH371" s="241"/>
      <c r="BI371" s="260"/>
      <c r="BJ371" s="241"/>
      <c r="BK371" s="260"/>
      <c r="BL371" s="239"/>
      <c r="BM371" s="256"/>
      <c r="BN371" s="241"/>
      <c r="BO371" s="243"/>
      <c r="BP371" s="241"/>
      <c r="BQ371" s="239"/>
      <c r="BR371" s="276"/>
      <c r="BS371" s="256"/>
      <c r="BT371" s="260"/>
      <c r="BU371" s="261"/>
      <c r="BV371" s="260"/>
      <c r="BW371" s="239"/>
      <c r="BX371" s="260"/>
      <c r="BY371" s="260"/>
      <c r="BZ371" s="239"/>
      <c r="CA371" s="260"/>
      <c r="CB371" s="239"/>
      <c r="CC371" s="260"/>
      <c r="CD371" s="539"/>
      <c r="CE371" s="239"/>
      <c r="CF371" s="276"/>
      <c r="CG371" s="256"/>
      <c r="CH371" s="259"/>
      <c r="CI371" s="347"/>
      <c r="CJ371" s="540"/>
      <c r="CK371" s="256"/>
      <c r="CL371" s="244">
        <v>1</v>
      </c>
      <c r="CM371" s="274">
        <f t="shared" si="5"/>
        <v>2015</v>
      </c>
      <c r="CN371" s="244">
        <f>IF('Grille de saisie'!CM371&lt;18,0,IF('Grille de saisie'!CM371&lt;40,1,IF('Grille de saisie'!CM371&lt;65,2,IF('Grille de saisie'!CM371&lt;100,3,4))))</f>
        <v>4</v>
      </c>
      <c r="CO371" s="236">
        <f>IF(AND('Grille de saisie'!C371=1,'Grille de saisie'!BZ371=0),1,IF(AND('Grille de saisie'!C371="",'Grille de saisie'!BZ371=""),3,IF(AND('Grille de saisie'!C371=5),3,2)))</f>
        <v>3</v>
      </c>
      <c r="CP371" s="236">
        <f>IF(AND('Grille de saisie'!C371=1,'Grille de saisie'!BZ371=0),1,IF(AND('Grille de saisie'!C371=1,'Grille de saisie'!BZ371=1),2,IF(AND('Grille de saisie'!C371=2,'Grille de saisie'!BZ371=0),2,IF(AND('Grille de saisie'!C371=3,'Grille de saisie'!BZ371=0),3,IF(AND('Grille de saisie'!C371=2,'Grille de saisie'!BZ371=1),3,IF(AND('Grille de saisie'!C371=1,'Grille de saisie'!BZ371=2),3,IF(AND('Grille de saisie'!C371="",'Grille de saisie'!BZ371=""),5,IF(AND('Grille de saisie'!C371=5),5,4))))))))</f>
        <v>5</v>
      </c>
      <c r="CQ371" s="237">
        <f>IF('Grille de saisie'!BZ371="",3,IF('Grille de saisie'!C371=5,3,IF('Grille de saisie'!BZ371=0,1,2)))</f>
        <v>3</v>
      </c>
    </row>
    <row r="372" spans="1:95" ht="15">
      <c r="A372" s="511">
        <v>370</v>
      </c>
      <c r="B372" s="240"/>
      <c r="C372" s="513"/>
      <c r="D372" s="240"/>
      <c r="E372" s="517"/>
      <c r="F372" s="265"/>
      <c r="G372" s="513"/>
      <c r="H372" s="265"/>
      <c r="I372" s="520"/>
      <c r="J372" s="241"/>
      <c r="K372" s="520"/>
      <c r="L372" s="241"/>
      <c r="M372" s="521"/>
      <c r="N372" s="241"/>
      <c r="O372" s="521"/>
      <c r="P372" s="241"/>
      <c r="Q372" s="520"/>
      <c r="R372" s="241"/>
      <c r="S372" s="520"/>
      <c r="T372" s="241"/>
      <c r="U372" s="520"/>
      <c r="V372" s="241"/>
      <c r="W372" s="242"/>
      <c r="X372" s="241"/>
      <c r="Y372" s="242"/>
      <c r="Z372" s="241"/>
      <c r="AA372" s="241"/>
      <c r="AB372" s="275"/>
      <c r="AC372" s="524"/>
      <c r="AD372" s="241"/>
      <c r="AE372" s="241"/>
      <c r="AF372" s="241"/>
      <c r="AG372" s="241"/>
      <c r="AH372" s="241"/>
      <c r="AI372" s="241"/>
      <c r="AJ372" s="529"/>
      <c r="AK372" s="258"/>
      <c r="AL372" s="241"/>
      <c r="AM372" s="242"/>
      <c r="AN372" s="241"/>
      <c r="AO372" s="242"/>
      <c r="AP372" s="241"/>
      <c r="AQ372" s="242"/>
      <c r="AR372" s="241"/>
      <c r="AS372" s="242"/>
      <c r="AT372" s="241"/>
      <c r="AU372" s="241"/>
      <c r="AV372" s="256"/>
      <c r="AW372" s="241"/>
      <c r="AX372" s="256"/>
      <c r="AY372" s="241"/>
      <c r="AZ372" s="256"/>
      <c r="BA372" s="239"/>
      <c r="BB372" s="242"/>
      <c r="BC372" s="239"/>
      <c r="BD372" s="242"/>
      <c r="BE372" s="239"/>
      <c r="BF372" s="241"/>
      <c r="BG372" s="239"/>
      <c r="BH372" s="241"/>
      <c r="BI372" s="260"/>
      <c r="BJ372" s="241"/>
      <c r="BK372" s="260"/>
      <c r="BL372" s="239"/>
      <c r="BM372" s="256"/>
      <c r="BN372" s="241"/>
      <c r="BO372" s="243"/>
      <c r="BP372" s="241"/>
      <c r="BQ372" s="239"/>
      <c r="BR372" s="276"/>
      <c r="BS372" s="256"/>
      <c r="BT372" s="260"/>
      <c r="BU372" s="261"/>
      <c r="BV372" s="260"/>
      <c r="BW372" s="239"/>
      <c r="BX372" s="260"/>
      <c r="BY372" s="260"/>
      <c r="BZ372" s="239"/>
      <c r="CA372" s="260"/>
      <c r="CB372" s="239"/>
      <c r="CC372" s="260"/>
      <c r="CD372" s="539"/>
      <c r="CE372" s="239"/>
      <c r="CF372" s="276"/>
      <c r="CG372" s="256"/>
      <c r="CH372" s="259"/>
      <c r="CI372" s="347"/>
      <c r="CJ372" s="540"/>
      <c r="CK372" s="256"/>
      <c r="CL372" s="244">
        <v>1</v>
      </c>
      <c r="CM372" s="274">
        <f t="shared" si="5"/>
        <v>2015</v>
      </c>
      <c r="CN372" s="244">
        <f>IF('Grille de saisie'!CM372&lt;18,0,IF('Grille de saisie'!CM372&lt;40,1,IF('Grille de saisie'!CM372&lt;65,2,IF('Grille de saisie'!CM372&lt;100,3,4))))</f>
        <v>4</v>
      </c>
      <c r="CO372" s="236">
        <f>IF(AND('Grille de saisie'!C372=1,'Grille de saisie'!BZ372=0),1,IF(AND('Grille de saisie'!C372="",'Grille de saisie'!BZ372=""),3,IF(AND('Grille de saisie'!C372=5),3,2)))</f>
        <v>3</v>
      </c>
      <c r="CP372" s="236">
        <f>IF(AND('Grille de saisie'!C372=1,'Grille de saisie'!BZ372=0),1,IF(AND('Grille de saisie'!C372=1,'Grille de saisie'!BZ372=1),2,IF(AND('Grille de saisie'!C372=2,'Grille de saisie'!BZ372=0),2,IF(AND('Grille de saisie'!C372=3,'Grille de saisie'!BZ372=0),3,IF(AND('Grille de saisie'!C372=2,'Grille de saisie'!BZ372=1),3,IF(AND('Grille de saisie'!C372=1,'Grille de saisie'!BZ372=2),3,IF(AND('Grille de saisie'!C372="",'Grille de saisie'!BZ372=""),5,IF(AND('Grille de saisie'!C372=5),5,4))))))))</f>
        <v>5</v>
      </c>
      <c r="CQ372" s="237">
        <f>IF('Grille de saisie'!BZ372="",3,IF('Grille de saisie'!C372=5,3,IF('Grille de saisie'!BZ372=0,1,2)))</f>
        <v>3</v>
      </c>
    </row>
    <row r="373" spans="1:95" ht="15">
      <c r="A373" s="510">
        <v>371</v>
      </c>
      <c r="B373" s="240"/>
      <c r="C373" s="513"/>
      <c r="D373" s="240"/>
      <c r="E373" s="517"/>
      <c r="F373" s="265"/>
      <c r="G373" s="513"/>
      <c r="H373" s="265"/>
      <c r="I373" s="520"/>
      <c r="J373" s="241"/>
      <c r="K373" s="520"/>
      <c r="L373" s="241"/>
      <c r="M373" s="521"/>
      <c r="N373" s="241"/>
      <c r="O373" s="521"/>
      <c r="P373" s="241"/>
      <c r="Q373" s="520"/>
      <c r="R373" s="241"/>
      <c r="S373" s="520"/>
      <c r="T373" s="241"/>
      <c r="U373" s="520"/>
      <c r="V373" s="241"/>
      <c r="W373" s="242"/>
      <c r="X373" s="241"/>
      <c r="Y373" s="242"/>
      <c r="Z373" s="241"/>
      <c r="AA373" s="241"/>
      <c r="AB373" s="275"/>
      <c r="AC373" s="524"/>
      <c r="AD373" s="241"/>
      <c r="AE373" s="241"/>
      <c r="AF373" s="241"/>
      <c r="AG373" s="241"/>
      <c r="AH373" s="241"/>
      <c r="AI373" s="241"/>
      <c r="AJ373" s="529"/>
      <c r="AK373" s="258"/>
      <c r="AL373" s="241"/>
      <c r="AM373" s="242"/>
      <c r="AN373" s="241"/>
      <c r="AO373" s="242"/>
      <c r="AP373" s="241"/>
      <c r="AQ373" s="242"/>
      <c r="AR373" s="241"/>
      <c r="AS373" s="242"/>
      <c r="AT373" s="241"/>
      <c r="AU373" s="241"/>
      <c r="AV373" s="256"/>
      <c r="AW373" s="241"/>
      <c r="AX373" s="256"/>
      <c r="AY373" s="241"/>
      <c r="AZ373" s="256"/>
      <c r="BA373" s="239"/>
      <c r="BB373" s="242"/>
      <c r="BC373" s="239"/>
      <c r="BD373" s="242"/>
      <c r="BE373" s="239"/>
      <c r="BF373" s="241"/>
      <c r="BG373" s="239"/>
      <c r="BH373" s="241"/>
      <c r="BI373" s="260"/>
      <c r="BJ373" s="241"/>
      <c r="BK373" s="260"/>
      <c r="BL373" s="239"/>
      <c r="BM373" s="256"/>
      <c r="BN373" s="241"/>
      <c r="BO373" s="243"/>
      <c r="BP373" s="241"/>
      <c r="BQ373" s="239"/>
      <c r="BR373" s="276"/>
      <c r="BS373" s="256"/>
      <c r="BT373" s="260"/>
      <c r="BU373" s="261"/>
      <c r="BV373" s="260"/>
      <c r="BW373" s="239"/>
      <c r="BX373" s="260"/>
      <c r="BY373" s="260"/>
      <c r="BZ373" s="239"/>
      <c r="CA373" s="260"/>
      <c r="CB373" s="239"/>
      <c r="CC373" s="260"/>
      <c r="CD373" s="539"/>
      <c r="CE373" s="239"/>
      <c r="CF373" s="276"/>
      <c r="CG373" s="256"/>
      <c r="CH373" s="259"/>
      <c r="CI373" s="347"/>
      <c r="CJ373" s="540"/>
      <c r="CK373" s="256"/>
      <c r="CL373" s="244">
        <v>1</v>
      </c>
      <c r="CM373" s="274">
        <f t="shared" si="5"/>
        <v>2015</v>
      </c>
      <c r="CN373" s="244">
        <f>IF('Grille de saisie'!CM373&lt;18,0,IF('Grille de saisie'!CM373&lt;40,1,IF('Grille de saisie'!CM373&lt;65,2,IF('Grille de saisie'!CM373&lt;100,3,4))))</f>
        <v>4</v>
      </c>
      <c r="CO373" s="236">
        <f>IF(AND('Grille de saisie'!C373=1,'Grille de saisie'!BZ373=0),1,IF(AND('Grille de saisie'!C373="",'Grille de saisie'!BZ373=""),3,IF(AND('Grille de saisie'!C373=5),3,2)))</f>
        <v>3</v>
      </c>
      <c r="CP373" s="236">
        <f>IF(AND('Grille de saisie'!C373=1,'Grille de saisie'!BZ373=0),1,IF(AND('Grille de saisie'!C373=1,'Grille de saisie'!BZ373=1),2,IF(AND('Grille de saisie'!C373=2,'Grille de saisie'!BZ373=0),2,IF(AND('Grille de saisie'!C373=3,'Grille de saisie'!BZ373=0),3,IF(AND('Grille de saisie'!C373=2,'Grille de saisie'!BZ373=1),3,IF(AND('Grille de saisie'!C373=1,'Grille de saisie'!BZ373=2),3,IF(AND('Grille de saisie'!C373="",'Grille de saisie'!BZ373=""),5,IF(AND('Grille de saisie'!C373=5),5,4))))))))</f>
        <v>5</v>
      </c>
      <c r="CQ373" s="237">
        <f>IF('Grille de saisie'!BZ373="",3,IF('Grille de saisie'!C373=5,3,IF('Grille de saisie'!BZ373=0,1,2)))</f>
        <v>3</v>
      </c>
    </row>
    <row r="374" spans="1:95" ht="15">
      <c r="A374" s="510">
        <v>372</v>
      </c>
      <c r="B374" s="240"/>
      <c r="C374" s="513"/>
      <c r="D374" s="240"/>
      <c r="E374" s="517"/>
      <c r="F374" s="265"/>
      <c r="G374" s="513"/>
      <c r="H374" s="265"/>
      <c r="I374" s="520"/>
      <c r="J374" s="241"/>
      <c r="K374" s="520"/>
      <c r="L374" s="241"/>
      <c r="M374" s="521"/>
      <c r="N374" s="241"/>
      <c r="O374" s="521"/>
      <c r="P374" s="241"/>
      <c r="Q374" s="520"/>
      <c r="R374" s="241"/>
      <c r="S374" s="520"/>
      <c r="T374" s="241"/>
      <c r="U374" s="520"/>
      <c r="V374" s="241"/>
      <c r="W374" s="242"/>
      <c r="X374" s="241"/>
      <c r="Y374" s="242"/>
      <c r="Z374" s="241"/>
      <c r="AA374" s="241"/>
      <c r="AB374" s="275"/>
      <c r="AC374" s="524"/>
      <c r="AD374" s="241"/>
      <c r="AE374" s="241"/>
      <c r="AF374" s="241"/>
      <c r="AG374" s="241"/>
      <c r="AH374" s="241"/>
      <c r="AI374" s="241"/>
      <c r="AJ374" s="529"/>
      <c r="AK374" s="258"/>
      <c r="AL374" s="241"/>
      <c r="AM374" s="242"/>
      <c r="AN374" s="241"/>
      <c r="AO374" s="242"/>
      <c r="AP374" s="241"/>
      <c r="AQ374" s="242"/>
      <c r="AR374" s="241"/>
      <c r="AS374" s="242"/>
      <c r="AT374" s="241"/>
      <c r="AU374" s="241"/>
      <c r="AV374" s="256"/>
      <c r="AW374" s="241"/>
      <c r="AX374" s="256"/>
      <c r="AY374" s="241"/>
      <c r="AZ374" s="256"/>
      <c r="BA374" s="239"/>
      <c r="BB374" s="242"/>
      <c r="BC374" s="239"/>
      <c r="BD374" s="242"/>
      <c r="BE374" s="239"/>
      <c r="BF374" s="241"/>
      <c r="BG374" s="239"/>
      <c r="BH374" s="241"/>
      <c r="BI374" s="260"/>
      <c r="BJ374" s="241"/>
      <c r="BK374" s="260"/>
      <c r="BL374" s="239"/>
      <c r="BM374" s="256"/>
      <c r="BN374" s="241"/>
      <c r="BO374" s="243"/>
      <c r="BP374" s="241"/>
      <c r="BQ374" s="239"/>
      <c r="BR374" s="276"/>
      <c r="BS374" s="256"/>
      <c r="BT374" s="260"/>
      <c r="BU374" s="261"/>
      <c r="BV374" s="260"/>
      <c r="BW374" s="239"/>
      <c r="BX374" s="260"/>
      <c r="BY374" s="260"/>
      <c r="BZ374" s="239"/>
      <c r="CA374" s="260"/>
      <c r="CB374" s="239"/>
      <c r="CC374" s="260"/>
      <c r="CD374" s="539"/>
      <c r="CE374" s="239"/>
      <c r="CF374" s="276"/>
      <c r="CG374" s="256"/>
      <c r="CH374" s="259"/>
      <c r="CI374" s="347"/>
      <c r="CJ374" s="540"/>
      <c r="CK374" s="256"/>
      <c r="CL374" s="244">
        <v>1</v>
      </c>
      <c r="CM374" s="274">
        <f t="shared" si="5"/>
        <v>2015</v>
      </c>
      <c r="CN374" s="244">
        <f>IF('Grille de saisie'!CM374&lt;18,0,IF('Grille de saisie'!CM374&lt;40,1,IF('Grille de saisie'!CM374&lt;65,2,IF('Grille de saisie'!CM374&lt;100,3,4))))</f>
        <v>4</v>
      </c>
      <c r="CO374" s="236">
        <f>IF(AND('Grille de saisie'!C374=1,'Grille de saisie'!BZ374=0),1,IF(AND('Grille de saisie'!C374="",'Grille de saisie'!BZ374=""),3,IF(AND('Grille de saisie'!C374=5),3,2)))</f>
        <v>3</v>
      </c>
      <c r="CP374" s="236">
        <f>IF(AND('Grille de saisie'!C374=1,'Grille de saisie'!BZ374=0),1,IF(AND('Grille de saisie'!C374=1,'Grille de saisie'!BZ374=1),2,IF(AND('Grille de saisie'!C374=2,'Grille de saisie'!BZ374=0),2,IF(AND('Grille de saisie'!C374=3,'Grille de saisie'!BZ374=0),3,IF(AND('Grille de saisie'!C374=2,'Grille de saisie'!BZ374=1),3,IF(AND('Grille de saisie'!C374=1,'Grille de saisie'!BZ374=2),3,IF(AND('Grille de saisie'!C374="",'Grille de saisie'!BZ374=""),5,IF(AND('Grille de saisie'!C374=5),5,4))))))))</f>
        <v>5</v>
      </c>
      <c r="CQ374" s="237">
        <f>IF('Grille de saisie'!BZ374="",3,IF('Grille de saisie'!C374=5,3,IF('Grille de saisie'!BZ374=0,1,2)))</f>
        <v>3</v>
      </c>
    </row>
    <row r="375" spans="1:95" ht="15">
      <c r="A375" s="511">
        <v>373</v>
      </c>
      <c r="B375" s="240"/>
      <c r="C375" s="513"/>
      <c r="D375" s="240"/>
      <c r="E375" s="517"/>
      <c r="F375" s="265"/>
      <c r="G375" s="513"/>
      <c r="H375" s="265"/>
      <c r="I375" s="520"/>
      <c r="J375" s="241"/>
      <c r="K375" s="520"/>
      <c r="L375" s="241"/>
      <c r="M375" s="521"/>
      <c r="N375" s="241"/>
      <c r="O375" s="521"/>
      <c r="P375" s="241"/>
      <c r="Q375" s="520"/>
      <c r="R375" s="241"/>
      <c r="S375" s="520"/>
      <c r="T375" s="241"/>
      <c r="U375" s="520"/>
      <c r="V375" s="241"/>
      <c r="W375" s="242"/>
      <c r="X375" s="241"/>
      <c r="Y375" s="242"/>
      <c r="Z375" s="241"/>
      <c r="AA375" s="241"/>
      <c r="AB375" s="275"/>
      <c r="AC375" s="524"/>
      <c r="AD375" s="241"/>
      <c r="AE375" s="241"/>
      <c r="AF375" s="241"/>
      <c r="AG375" s="241"/>
      <c r="AH375" s="241"/>
      <c r="AI375" s="241"/>
      <c r="AJ375" s="529"/>
      <c r="AK375" s="258"/>
      <c r="AL375" s="241"/>
      <c r="AM375" s="242"/>
      <c r="AN375" s="241"/>
      <c r="AO375" s="242"/>
      <c r="AP375" s="241"/>
      <c r="AQ375" s="242"/>
      <c r="AR375" s="241"/>
      <c r="AS375" s="242"/>
      <c r="AT375" s="241"/>
      <c r="AU375" s="241"/>
      <c r="AV375" s="256"/>
      <c r="AW375" s="241"/>
      <c r="AX375" s="256"/>
      <c r="AY375" s="241"/>
      <c r="AZ375" s="256"/>
      <c r="BA375" s="239"/>
      <c r="BB375" s="242"/>
      <c r="BC375" s="239"/>
      <c r="BD375" s="242"/>
      <c r="BE375" s="239"/>
      <c r="BF375" s="241"/>
      <c r="BG375" s="239"/>
      <c r="BH375" s="241"/>
      <c r="BI375" s="260"/>
      <c r="BJ375" s="241"/>
      <c r="BK375" s="260"/>
      <c r="BL375" s="239"/>
      <c r="BM375" s="256"/>
      <c r="BN375" s="241"/>
      <c r="BO375" s="243"/>
      <c r="BP375" s="241"/>
      <c r="BQ375" s="239"/>
      <c r="BR375" s="276"/>
      <c r="BS375" s="256"/>
      <c r="BT375" s="260"/>
      <c r="BU375" s="261"/>
      <c r="BV375" s="260"/>
      <c r="BW375" s="239"/>
      <c r="BX375" s="260"/>
      <c r="BY375" s="260"/>
      <c r="BZ375" s="239"/>
      <c r="CA375" s="260"/>
      <c r="CB375" s="239"/>
      <c r="CC375" s="260"/>
      <c r="CD375" s="539"/>
      <c r="CE375" s="239"/>
      <c r="CF375" s="276"/>
      <c r="CG375" s="256"/>
      <c r="CH375" s="259"/>
      <c r="CI375" s="347"/>
      <c r="CJ375" s="540"/>
      <c r="CK375" s="256"/>
      <c r="CL375" s="244">
        <v>1</v>
      </c>
      <c r="CM375" s="274">
        <f t="shared" si="5"/>
        <v>2015</v>
      </c>
      <c r="CN375" s="244">
        <f>IF('Grille de saisie'!CM375&lt;18,0,IF('Grille de saisie'!CM375&lt;40,1,IF('Grille de saisie'!CM375&lt;65,2,IF('Grille de saisie'!CM375&lt;100,3,4))))</f>
        <v>4</v>
      </c>
      <c r="CO375" s="236">
        <f>IF(AND('Grille de saisie'!C375=1,'Grille de saisie'!BZ375=0),1,IF(AND('Grille de saisie'!C375="",'Grille de saisie'!BZ375=""),3,IF(AND('Grille de saisie'!C375=5),3,2)))</f>
        <v>3</v>
      </c>
      <c r="CP375" s="236">
        <f>IF(AND('Grille de saisie'!C375=1,'Grille de saisie'!BZ375=0),1,IF(AND('Grille de saisie'!C375=1,'Grille de saisie'!BZ375=1),2,IF(AND('Grille de saisie'!C375=2,'Grille de saisie'!BZ375=0),2,IF(AND('Grille de saisie'!C375=3,'Grille de saisie'!BZ375=0),3,IF(AND('Grille de saisie'!C375=2,'Grille de saisie'!BZ375=1),3,IF(AND('Grille de saisie'!C375=1,'Grille de saisie'!BZ375=2),3,IF(AND('Grille de saisie'!C375="",'Grille de saisie'!BZ375=""),5,IF(AND('Grille de saisie'!C375=5),5,4))))))))</f>
        <v>5</v>
      </c>
      <c r="CQ375" s="237">
        <f>IF('Grille de saisie'!BZ375="",3,IF('Grille de saisie'!C375=5,3,IF('Grille de saisie'!BZ375=0,1,2)))</f>
        <v>3</v>
      </c>
    </row>
    <row r="376" spans="1:95" ht="15">
      <c r="A376" s="510">
        <v>374</v>
      </c>
      <c r="B376" s="240"/>
      <c r="C376" s="513"/>
      <c r="D376" s="240"/>
      <c r="E376" s="517"/>
      <c r="F376" s="265"/>
      <c r="G376" s="513"/>
      <c r="H376" s="265"/>
      <c r="I376" s="520"/>
      <c r="J376" s="241"/>
      <c r="K376" s="520"/>
      <c r="L376" s="241"/>
      <c r="M376" s="521"/>
      <c r="N376" s="241"/>
      <c r="O376" s="521"/>
      <c r="P376" s="241"/>
      <c r="Q376" s="520"/>
      <c r="R376" s="241"/>
      <c r="S376" s="520"/>
      <c r="T376" s="241"/>
      <c r="U376" s="520"/>
      <c r="V376" s="241"/>
      <c r="W376" s="242"/>
      <c r="X376" s="241"/>
      <c r="Y376" s="242"/>
      <c r="Z376" s="241"/>
      <c r="AA376" s="241"/>
      <c r="AB376" s="275"/>
      <c r="AC376" s="524"/>
      <c r="AD376" s="241"/>
      <c r="AE376" s="241"/>
      <c r="AF376" s="241"/>
      <c r="AG376" s="241"/>
      <c r="AH376" s="241"/>
      <c r="AI376" s="241"/>
      <c r="AJ376" s="529"/>
      <c r="AK376" s="258"/>
      <c r="AL376" s="241"/>
      <c r="AM376" s="242"/>
      <c r="AN376" s="241"/>
      <c r="AO376" s="242"/>
      <c r="AP376" s="241"/>
      <c r="AQ376" s="242"/>
      <c r="AR376" s="241"/>
      <c r="AS376" s="242"/>
      <c r="AT376" s="241"/>
      <c r="AU376" s="241"/>
      <c r="AV376" s="256"/>
      <c r="AW376" s="241"/>
      <c r="AX376" s="256"/>
      <c r="AY376" s="241"/>
      <c r="AZ376" s="256"/>
      <c r="BA376" s="239"/>
      <c r="BB376" s="242"/>
      <c r="BC376" s="239"/>
      <c r="BD376" s="242"/>
      <c r="BE376" s="239"/>
      <c r="BF376" s="241"/>
      <c r="BG376" s="239"/>
      <c r="BH376" s="241"/>
      <c r="BI376" s="260"/>
      <c r="BJ376" s="241"/>
      <c r="BK376" s="260"/>
      <c r="BL376" s="239"/>
      <c r="BM376" s="256"/>
      <c r="BN376" s="241"/>
      <c r="BO376" s="243"/>
      <c r="BP376" s="241"/>
      <c r="BQ376" s="239"/>
      <c r="BR376" s="276"/>
      <c r="BS376" s="256"/>
      <c r="BT376" s="260"/>
      <c r="BU376" s="261"/>
      <c r="BV376" s="260"/>
      <c r="BW376" s="239"/>
      <c r="BX376" s="260"/>
      <c r="BY376" s="260"/>
      <c r="BZ376" s="239"/>
      <c r="CA376" s="260"/>
      <c r="CB376" s="239"/>
      <c r="CC376" s="260"/>
      <c r="CD376" s="539"/>
      <c r="CE376" s="239"/>
      <c r="CF376" s="276"/>
      <c r="CG376" s="256"/>
      <c r="CH376" s="259"/>
      <c r="CI376" s="347"/>
      <c r="CJ376" s="540"/>
      <c r="CK376" s="256"/>
      <c r="CL376" s="244">
        <v>1</v>
      </c>
      <c r="CM376" s="274">
        <f t="shared" si="5"/>
        <v>2015</v>
      </c>
      <c r="CN376" s="244">
        <f>IF('Grille de saisie'!CM376&lt;18,0,IF('Grille de saisie'!CM376&lt;40,1,IF('Grille de saisie'!CM376&lt;65,2,IF('Grille de saisie'!CM376&lt;100,3,4))))</f>
        <v>4</v>
      </c>
      <c r="CO376" s="236">
        <f>IF(AND('Grille de saisie'!C376=1,'Grille de saisie'!BZ376=0),1,IF(AND('Grille de saisie'!C376="",'Grille de saisie'!BZ376=""),3,IF(AND('Grille de saisie'!C376=5),3,2)))</f>
        <v>3</v>
      </c>
      <c r="CP376" s="236">
        <f>IF(AND('Grille de saisie'!C376=1,'Grille de saisie'!BZ376=0),1,IF(AND('Grille de saisie'!C376=1,'Grille de saisie'!BZ376=1),2,IF(AND('Grille de saisie'!C376=2,'Grille de saisie'!BZ376=0),2,IF(AND('Grille de saisie'!C376=3,'Grille de saisie'!BZ376=0),3,IF(AND('Grille de saisie'!C376=2,'Grille de saisie'!BZ376=1),3,IF(AND('Grille de saisie'!C376=1,'Grille de saisie'!BZ376=2),3,IF(AND('Grille de saisie'!C376="",'Grille de saisie'!BZ376=""),5,IF(AND('Grille de saisie'!C376=5),5,4))))))))</f>
        <v>5</v>
      </c>
      <c r="CQ376" s="237">
        <f>IF('Grille de saisie'!BZ376="",3,IF('Grille de saisie'!C376=5,3,IF('Grille de saisie'!BZ376=0,1,2)))</f>
        <v>3</v>
      </c>
    </row>
    <row r="377" spans="1:95" ht="15">
      <c r="A377" s="510">
        <v>375</v>
      </c>
      <c r="B377" s="240"/>
      <c r="C377" s="513"/>
      <c r="D377" s="240"/>
      <c r="E377" s="517"/>
      <c r="F377" s="265"/>
      <c r="G377" s="513"/>
      <c r="H377" s="265"/>
      <c r="I377" s="520"/>
      <c r="J377" s="241"/>
      <c r="K377" s="520"/>
      <c r="L377" s="241"/>
      <c r="M377" s="521"/>
      <c r="N377" s="241"/>
      <c r="O377" s="521"/>
      <c r="P377" s="241"/>
      <c r="Q377" s="520"/>
      <c r="R377" s="241"/>
      <c r="S377" s="520"/>
      <c r="T377" s="241"/>
      <c r="U377" s="520"/>
      <c r="V377" s="241"/>
      <c r="W377" s="242"/>
      <c r="X377" s="241"/>
      <c r="Y377" s="242"/>
      <c r="Z377" s="241"/>
      <c r="AA377" s="241"/>
      <c r="AB377" s="275"/>
      <c r="AC377" s="524"/>
      <c r="AD377" s="241"/>
      <c r="AE377" s="241"/>
      <c r="AF377" s="241"/>
      <c r="AG377" s="241"/>
      <c r="AH377" s="241"/>
      <c r="AI377" s="241"/>
      <c r="AJ377" s="529"/>
      <c r="AK377" s="258"/>
      <c r="AL377" s="241"/>
      <c r="AM377" s="242"/>
      <c r="AN377" s="241"/>
      <c r="AO377" s="242"/>
      <c r="AP377" s="241"/>
      <c r="AQ377" s="242"/>
      <c r="AR377" s="241"/>
      <c r="AS377" s="242"/>
      <c r="AT377" s="241"/>
      <c r="AU377" s="241"/>
      <c r="AV377" s="256"/>
      <c r="AW377" s="241"/>
      <c r="AX377" s="256"/>
      <c r="AY377" s="241"/>
      <c r="AZ377" s="256"/>
      <c r="BA377" s="239"/>
      <c r="BB377" s="242"/>
      <c r="BC377" s="239"/>
      <c r="BD377" s="242"/>
      <c r="BE377" s="239"/>
      <c r="BF377" s="241"/>
      <c r="BG377" s="239"/>
      <c r="BH377" s="241"/>
      <c r="BI377" s="260"/>
      <c r="BJ377" s="241"/>
      <c r="BK377" s="260"/>
      <c r="BL377" s="239"/>
      <c r="BM377" s="256"/>
      <c r="BN377" s="241"/>
      <c r="BO377" s="243"/>
      <c r="BP377" s="241"/>
      <c r="BQ377" s="239"/>
      <c r="BR377" s="276"/>
      <c r="BS377" s="256"/>
      <c r="BT377" s="260"/>
      <c r="BU377" s="261"/>
      <c r="BV377" s="260"/>
      <c r="BW377" s="239"/>
      <c r="BX377" s="260"/>
      <c r="BY377" s="260"/>
      <c r="BZ377" s="239"/>
      <c r="CA377" s="260"/>
      <c r="CB377" s="239"/>
      <c r="CC377" s="260"/>
      <c r="CD377" s="539"/>
      <c r="CE377" s="239"/>
      <c r="CF377" s="276"/>
      <c r="CG377" s="256"/>
      <c r="CH377" s="259"/>
      <c r="CI377" s="347"/>
      <c r="CJ377" s="540"/>
      <c r="CK377" s="256"/>
      <c r="CL377" s="244">
        <v>1</v>
      </c>
      <c r="CM377" s="274">
        <f t="shared" si="5"/>
        <v>2015</v>
      </c>
      <c r="CN377" s="244">
        <f>IF('Grille de saisie'!CM377&lt;18,0,IF('Grille de saisie'!CM377&lt;40,1,IF('Grille de saisie'!CM377&lt;65,2,IF('Grille de saisie'!CM377&lt;100,3,4))))</f>
        <v>4</v>
      </c>
      <c r="CO377" s="236">
        <f>IF(AND('Grille de saisie'!C377=1,'Grille de saisie'!BZ377=0),1,IF(AND('Grille de saisie'!C377="",'Grille de saisie'!BZ377=""),3,IF(AND('Grille de saisie'!C377=5),3,2)))</f>
        <v>3</v>
      </c>
      <c r="CP377" s="236">
        <f>IF(AND('Grille de saisie'!C377=1,'Grille de saisie'!BZ377=0),1,IF(AND('Grille de saisie'!C377=1,'Grille de saisie'!BZ377=1),2,IF(AND('Grille de saisie'!C377=2,'Grille de saisie'!BZ377=0),2,IF(AND('Grille de saisie'!C377=3,'Grille de saisie'!BZ377=0),3,IF(AND('Grille de saisie'!C377=2,'Grille de saisie'!BZ377=1),3,IF(AND('Grille de saisie'!C377=1,'Grille de saisie'!BZ377=2),3,IF(AND('Grille de saisie'!C377="",'Grille de saisie'!BZ377=""),5,IF(AND('Grille de saisie'!C377=5),5,4))))))))</f>
        <v>5</v>
      </c>
      <c r="CQ377" s="237">
        <f>IF('Grille de saisie'!BZ377="",3,IF('Grille de saisie'!C377=5,3,IF('Grille de saisie'!BZ377=0,1,2)))</f>
        <v>3</v>
      </c>
    </row>
    <row r="378" spans="1:95" ht="15">
      <c r="A378" s="511">
        <v>376</v>
      </c>
      <c r="B378" s="240"/>
      <c r="C378" s="513"/>
      <c r="D378" s="240"/>
      <c r="E378" s="517"/>
      <c r="F378" s="265"/>
      <c r="G378" s="513"/>
      <c r="H378" s="265"/>
      <c r="I378" s="520"/>
      <c r="J378" s="241"/>
      <c r="K378" s="520"/>
      <c r="L378" s="241"/>
      <c r="M378" s="521"/>
      <c r="N378" s="241"/>
      <c r="O378" s="521"/>
      <c r="P378" s="241"/>
      <c r="Q378" s="520"/>
      <c r="R378" s="241"/>
      <c r="S378" s="520"/>
      <c r="T378" s="241"/>
      <c r="U378" s="520"/>
      <c r="V378" s="241"/>
      <c r="W378" s="242"/>
      <c r="X378" s="241"/>
      <c r="Y378" s="242"/>
      <c r="Z378" s="241"/>
      <c r="AA378" s="241"/>
      <c r="AB378" s="275"/>
      <c r="AC378" s="524"/>
      <c r="AD378" s="241"/>
      <c r="AE378" s="241"/>
      <c r="AF378" s="241"/>
      <c r="AG378" s="241"/>
      <c r="AH378" s="241"/>
      <c r="AI378" s="241"/>
      <c r="AJ378" s="529"/>
      <c r="AK378" s="258"/>
      <c r="AL378" s="241"/>
      <c r="AM378" s="242"/>
      <c r="AN378" s="241"/>
      <c r="AO378" s="242"/>
      <c r="AP378" s="241"/>
      <c r="AQ378" s="242"/>
      <c r="AR378" s="241"/>
      <c r="AS378" s="242"/>
      <c r="AT378" s="241"/>
      <c r="AU378" s="241"/>
      <c r="AV378" s="256"/>
      <c r="AW378" s="241"/>
      <c r="AX378" s="256"/>
      <c r="AY378" s="241"/>
      <c r="AZ378" s="256"/>
      <c r="BA378" s="239"/>
      <c r="BB378" s="242"/>
      <c r="BC378" s="239"/>
      <c r="BD378" s="242"/>
      <c r="BE378" s="239"/>
      <c r="BF378" s="241"/>
      <c r="BG378" s="239"/>
      <c r="BH378" s="241"/>
      <c r="BI378" s="260"/>
      <c r="BJ378" s="241"/>
      <c r="BK378" s="260"/>
      <c r="BL378" s="239"/>
      <c r="BM378" s="256"/>
      <c r="BN378" s="241"/>
      <c r="BO378" s="243"/>
      <c r="BP378" s="241"/>
      <c r="BQ378" s="239"/>
      <c r="BR378" s="276"/>
      <c r="BS378" s="256"/>
      <c r="BT378" s="260"/>
      <c r="BU378" s="261"/>
      <c r="BV378" s="260"/>
      <c r="BW378" s="239"/>
      <c r="BX378" s="260"/>
      <c r="BY378" s="260"/>
      <c r="BZ378" s="239"/>
      <c r="CA378" s="260"/>
      <c r="CB378" s="239"/>
      <c r="CC378" s="260"/>
      <c r="CD378" s="539"/>
      <c r="CE378" s="239"/>
      <c r="CF378" s="276"/>
      <c r="CG378" s="256"/>
      <c r="CH378" s="259"/>
      <c r="CI378" s="347"/>
      <c r="CJ378" s="540"/>
      <c r="CK378" s="256"/>
      <c r="CL378" s="244">
        <v>1</v>
      </c>
      <c r="CM378" s="274">
        <f t="shared" si="5"/>
        <v>2015</v>
      </c>
      <c r="CN378" s="244">
        <f>IF('Grille de saisie'!CM378&lt;18,0,IF('Grille de saisie'!CM378&lt;40,1,IF('Grille de saisie'!CM378&lt;65,2,IF('Grille de saisie'!CM378&lt;100,3,4))))</f>
        <v>4</v>
      </c>
      <c r="CO378" s="236">
        <f>IF(AND('Grille de saisie'!C378=1,'Grille de saisie'!BZ378=0),1,IF(AND('Grille de saisie'!C378="",'Grille de saisie'!BZ378=""),3,IF(AND('Grille de saisie'!C378=5),3,2)))</f>
        <v>3</v>
      </c>
      <c r="CP378" s="236">
        <f>IF(AND('Grille de saisie'!C378=1,'Grille de saisie'!BZ378=0),1,IF(AND('Grille de saisie'!C378=1,'Grille de saisie'!BZ378=1),2,IF(AND('Grille de saisie'!C378=2,'Grille de saisie'!BZ378=0),2,IF(AND('Grille de saisie'!C378=3,'Grille de saisie'!BZ378=0),3,IF(AND('Grille de saisie'!C378=2,'Grille de saisie'!BZ378=1),3,IF(AND('Grille de saisie'!C378=1,'Grille de saisie'!BZ378=2),3,IF(AND('Grille de saisie'!C378="",'Grille de saisie'!BZ378=""),5,IF(AND('Grille de saisie'!C378=5),5,4))))))))</f>
        <v>5</v>
      </c>
      <c r="CQ378" s="237">
        <f>IF('Grille de saisie'!BZ378="",3,IF('Grille de saisie'!C378=5,3,IF('Grille de saisie'!BZ378=0,1,2)))</f>
        <v>3</v>
      </c>
    </row>
    <row r="379" spans="1:95" ht="15">
      <c r="A379" s="510">
        <v>377</v>
      </c>
      <c r="B379" s="240"/>
      <c r="C379" s="513"/>
      <c r="D379" s="240"/>
      <c r="E379" s="517"/>
      <c r="F379" s="265"/>
      <c r="G379" s="513"/>
      <c r="H379" s="265"/>
      <c r="I379" s="520"/>
      <c r="J379" s="241"/>
      <c r="K379" s="520"/>
      <c r="L379" s="241"/>
      <c r="M379" s="521"/>
      <c r="N379" s="241"/>
      <c r="O379" s="521"/>
      <c r="P379" s="241"/>
      <c r="Q379" s="520"/>
      <c r="R379" s="241"/>
      <c r="S379" s="520"/>
      <c r="T379" s="241"/>
      <c r="U379" s="520"/>
      <c r="V379" s="241"/>
      <c r="W379" s="242"/>
      <c r="X379" s="241"/>
      <c r="Y379" s="242"/>
      <c r="Z379" s="241"/>
      <c r="AA379" s="241"/>
      <c r="AB379" s="275"/>
      <c r="AC379" s="524"/>
      <c r="AD379" s="241"/>
      <c r="AE379" s="241"/>
      <c r="AF379" s="241"/>
      <c r="AG379" s="241"/>
      <c r="AH379" s="241"/>
      <c r="AI379" s="241"/>
      <c r="AJ379" s="529"/>
      <c r="AK379" s="258"/>
      <c r="AL379" s="241"/>
      <c r="AM379" s="242"/>
      <c r="AN379" s="241"/>
      <c r="AO379" s="242"/>
      <c r="AP379" s="241"/>
      <c r="AQ379" s="242"/>
      <c r="AR379" s="241"/>
      <c r="AS379" s="242"/>
      <c r="AT379" s="241"/>
      <c r="AU379" s="241"/>
      <c r="AV379" s="256"/>
      <c r="AW379" s="241"/>
      <c r="AX379" s="256"/>
      <c r="AY379" s="241"/>
      <c r="AZ379" s="256"/>
      <c r="BA379" s="239"/>
      <c r="BB379" s="242"/>
      <c r="BC379" s="239"/>
      <c r="BD379" s="242"/>
      <c r="BE379" s="239"/>
      <c r="BF379" s="241"/>
      <c r="BG379" s="239"/>
      <c r="BH379" s="241"/>
      <c r="BI379" s="260"/>
      <c r="BJ379" s="241"/>
      <c r="BK379" s="260"/>
      <c r="BL379" s="239"/>
      <c r="BM379" s="256"/>
      <c r="BN379" s="241"/>
      <c r="BO379" s="243"/>
      <c r="BP379" s="241"/>
      <c r="BQ379" s="239"/>
      <c r="BR379" s="276"/>
      <c r="BS379" s="256"/>
      <c r="BT379" s="260"/>
      <c r="BU379" s="261"/>
      <c r="BV379" s="260"/>
      <c r="BW379" s="239"/>
      <c r="BX379" s="260"/>
      <c r="BY379" s="260"/>
      <c r="BZ379" s="239"/>
      <c r="CA379" s="260"/>
      <c r="CB379" s="239"/>
      <c r="CC379" s="260"/>
      <c r="CD379" s="539"/>
      <c r="CE379" s="239"/>
      <c r="CF379" s="276"/>
      <c r="CG379" s="256"/>
      <c r="CH379" s="259"/>
      <c r="CI379" s="347"/>
      <c r="CJ379" s="540"/>
      <c r="CK379" s="256"/>
      <c r="CL379" s="244">
        <v>1</v>
      </c>
      <c r="CM379" s="274">
        <f t="shared" si="5"/>
        <v>2015</v>
      </c>
      <c r="CN379" s="244">
        <f>IF('Grille de saisie'!CM379&lt;18,0,IF('Grille de saisie'!CM379&lt;40,1,IF('Grille de saisie'!CM379&lt;65,2,IF('Grille de saisie'!CM379&lt;100,3,4))))</f>
        <v>4</v>
      </c>
      <c r="CO379" s="236">
        <f>IF(AND('Grille de saisie'!C379=1,'Grille de saisie'!BZ379=0),1,IF(AND('Grille de saisie'!C379="",'Grille de saisie'!BZ379=""),3,IF(AND('Grille de saisie'!C379=5),3,2)))</f>
        <v>3</v>
      </c>
      <c r="CP379" s="236">
        <f>IF(AND('Grille de saisie'!C379=1,'Grille de saisie'!BZ379=0),1,IF(AND('Grille de saisie'!C379=1,'Grille de saisie'!BZ379=1),2,IF(AND('Grille de saisie'!C379=2,'Grille de saisie'!BZ379=0),2,IF(AND('Grille de saisie'!C379=3,'Grille de saisie'!BZ379=0),3,IF(AND('Grille de saisie'!C379=2,'Grille de saisie'!BZ379=1),3,IF(AND('Grille de saisie'!C379=1,'Grille de saisie'!BZ379=2),3,IF(AND('Grille de saisie'!C379="",'Grille de saisie'!BZ379=""),5,IF(AND('Grille de saisie'!C379=5),5,4))))))))</f>
        <v>5</v>
      </c>
      <c r="CQ379" s="237">
        <f>IF('Grille de saisie'!BZ379="",3,IF('Grille de saisie'!C379=5,3,IF('Grille de saisie'!BZ379=0,1,2)))</f>
        <v>3</v>
      </c>
    </row>
    <row r="380" spans="1:95" ht="15">
      <c r="A380" s="510">
        <v>378</v>
      </c>
      <c r="B380" s="240"/>
      <c r="C380" s="513"/>
      <c r="D380" s="240"/>
      <c r="E380" s="517"/>
      <c r="F380" s="265"/>
      <c r="G380" s="513"/>
      <c r="H380" s="265"/>
      <c r="I380" s="520"/>
      <c r="J380" s="241"/>
      <c r="K380" s="520"/>
      <c r="L380" s="241"/>
      <c r="M380" s="521"/>
      <c r="N380" s="241"/>
      <c r="O380" s="521"/>
      <c r="P380" s="241"/>
      <c r="Q380" s="520"/>
      <c r="R380" s="241"/>
      <c r="S380" s="520"/>
      <c r="T380" s="241"/>
      <c r="U380" s="520"/>
      <c r="V380" s="241"/>
      <c r="W380" s="242"/>
      <c r="X380" s="241"/>
      <c r="Y380" s="242"/>
      <c r="Z380" s="241"/>
      <c r="AA380" s="241"/>
      <c r="AB380" s="275"/>
      <c r="AC380" s="524"/>
      <c r="AD380" s="241"/>
      <c r="AE380" s="241"/>
      <c r="AF380" s="241"/>
      <c r="AG380" s="241"/>
      <c r="AH380" s="241"/>
      <c r="AI380" s="241"/>
      <c r="AJ380" s="529"/>
      <c r="AK380" s="258"/>
      <c r="AL380" s="241"/>
      <c r="AM380" s="242"/>
      <c r="AN380" s="241"/>
      <c r="AO380" s="242"/>
      <c r="AP380" s="241"/>
      <c r="AQ380" s="242"/>
      <c r="AR380" s="241"/>
      <c r="AS380" s="242"/>
      <c r="AT380" s="241"/>
      <c r="AU380" s="241"/>
      <c r="AV380" s="256"/>
      <c r="AW380" s="241"/>
      <c r="AX380" s="256"/>
      <c r="AY380" s="241"/>
      <c r="AZ380" s="256"/>
      <c r="BA380" s="239"/>
      <c r="BB380" s="242"/>
      <c r="BC380" s="239"/>
      <c r="BD380" s="242"/>
      <c r="BE380" s="239"/>
      <c r="BF380" s="241"/>
      <c r="BG380" s="239"/>
      <c r="BH380" s="241"/>
      <c r="BI380" s="260"/>
      <c r="BJ380" s="241"/>
      <c r="BK380" s="260"/>
      <c r="BL380" s="239"/>
      <c r="BM380" s="256"/>
      <c r="BN380" s="241"/>
      <c r="BO380" s="243"/>
      <c r="BP380" s="241"/>
      <c r="BQ380" s="239"/>
      <c r="BR380" s="276"/>
      <c r="BS380" s="256"/>
      <c r="BT380" s="260"/>
      <c r="BU380" s="261"/>
      <c r="BV380" s="260"/>
      <c r="BW380" s="239"/>
      <c r="BX380" s="260"/>
      <c r="BY380" s="260"/>
      <c r="BZ380" s="239"/>
      <c r="CA380" s="260"/>
      <c r="CB380" s="239"/>
      <c r="CC380" s="260"/>
      <c r="CD380" s="539"/>
      <c r="CE380" s="239"/>
      <c r="CF380" s="276"/>
      <c r="CG380" s="256"/>
      <c r="CH380" s="259"/>
      <c r="CI380" s="347"/>
      <c r="CJ380" s="540"/>
      <c r="CK380" s="256"/>
      <c r="CL380" s="244">
        <v>1</v>
      </c>
      <c r="CM380" s="274">
        <f t="shared" si="5"/>
        <v>2015</v>
      </c>
      <c r="CN380" s="244">
        <f>IF('Grille de saisie'!CM380&lt;18,0,IF('Grille de saisie'!CM380&lt;40,1,IF('Grille de saisie'!CM380&lt;65,2,IF('Grille de saisie'!CM380&lt;100,3,4))))</f>
        <v>4</v>
      </c>
      <c r="CO380" s="236">
        <f>IF(AND('Grille de saisie'!C380=1,'Grille de saisie'!BZ380=0),1,IF(AND('Grille de saisie'!C380="",'Grille de saisie'!BZ380=""),3,IF(AND('Grille de saisie'!C380=5),3,2)))</f>
        <v>3</v>
      </c>
      <c r="CP380" s="236">
        <f>IF(AND('Grille de saisie'!C380=1,'Grille de saisie'!BZ380=0),1,IF(AND('Grille de saisie'!C380=1,'Grille de saisie'!BZ380=1),2,IF(AND('Grille de saisie'!C380=2,'Grille de saisie'!BZ380=0),2,IF(AND('Grille de saisie'!C380=3,'Grille de saisie'!BZ380=0),3,IF(AND('Grille de saisie'!C380=2,'Grille de saisie'!BZ380=1),3,IF(AND('Grille de saisie'!C380=1,'Grille de saisie'!BZ380=2),3,IF(AND('Grille de saisie'!C380="",'Grille de saisie'!BZ380=""),5,IF(AND('Grille de saisie'!C380=5),5,4))))))))</f>
        <v>5</v>
      </c>
      <c r="CQ380" s="237">
        <f>IF('Grille de saisie'!BZ380="",3,IF('Grille de saisie'!C380=5,3,IF('Grille de saisie'!BZ380=0,1,2)))</f>
        <v>3</v>
      </c>
    </row>
    <row r="381" spans="1:95" ht="15">
      <c r="A381" s="511">
        <v>379</v>
      </c>
      <c r="B381" s="240"/>
      <c r="C381" s="513"/>
      <c r="D381" s="240"/>
      <c r="E381" s="517"/>
      <c r="F381" s="265"/>
      <c r="G381" s="513"/>
      <c r="H381" s="265"/>
      <c r="I381" s="520"/>
      <c r="J381" s="241"/>
      <c r="K381" s="520"/>
      <c r="L381" s="241"/>
      <c r="M381" s="521"/>
      <c r="N381" s="241"/>
      <c r="O381" s="521"/>
      <c r="P381" s="241"/>
      <c r="Q381" s="520"/>
      <c r="R381" s="241"/>
      <c r="S381" s="520"/>
      <c r="T381" s="241"/>
      <c r="U381" s="520"/>
      <c r="V381" s="241"/>
      <c r="W381" s="242"/>
      <c r="X381" s="241"/>
      <c r="Y381" s="242"/>
      <c r="Z381" s="241"/>
      <c r="AA381" s="241"/>
      <c r="AB381" s="275"/>
      <c r="AC381" s="524"/>
      <c r="AD381" s="241"/>
      <c r="AE381" s="241"/>
      <c r="AF381" s="241"/>
      <c r="AG381" s="241"/>
      <c r="AH381" s="241"/>
      <c r="AI381" s="241"/>
      <c r="AJ381" s="529"/>
      <c r="AK381" s="258"/>
      <c r="AL381" s="241"/>
      <c r="AM381" s="242"/>
      <c r="AN381" s="241"/>
      <c r="AO381" s="242"/>
      <c r="AP381" s="241"/>
      <c r="AQ381" s="242"/>
      <c r="AR381" s="241"/>
      <c r="AS381" s="242"/>
      <c r="AT381" s="241"/>
      <c r="AU381" s="241"/>
      <c r="AV381" s="256"/>
      <c r="AW381" s="241"/>
      <c r="AX381" s="256"/>
      <c r="AY381" s="241"/>
      <c r="AZ381" s="256"/>
      <c r="BA381" s="239"/>
      <c r="BB381" s="242"/>
      <c r="BC381" s="239"/>
      <c r="BD381" s="242"/>
      <c r="BE381" s="239"/>
      <c r="BF381" s="241"/>
      <c r="BG381" s="239"/>
      <c r="BH381" s="241"/>
      <c r="BI381" s="260"/>
      <c r="BJ381" s="241"/>
      <c r="BK381" s="260"/>
      <c r="BL381" s="239"/>
      <c r="BM381" s="256"/>
      <c r="BN381" s="241"/>
      <c r="BO381" s="243"/>
      <c r="BP381" s="241"/>
      <c r="BQ381" s="239"/>
      <c r="BR381" s="276"/>
      <c r="BS381" s="256"/>
      <c r="BT381" s="260"/>
      <c r="BU381" s="261"/>
      <c r="BV381" s="260"/>
      <c r="BW381" s="239"/>
      <c r="BX381" s="260"/>
      <c r="BY381" s="260"/>
      <c r="BZ381" s="239"/>
      <c r="CA381" s="260"/>
      <c r="CB381" s="239"/>
      <c r="CC381" s="260"/>
      <c r="CD381" s="539"/>
      <c r="CE381" s="239"/>
      <c r="CF381" s="276"/>
      <c r="CG381" s="256"/>
      <c r="CH381" s="259"/>
      <c r="CI381" s="347"/>
      <c r="CJ381" s="540"/>
      <c r="CK381" s="256"/>
      <c r="CL381" s="244">
        <v>1</v>
      </c>
      <c r="CM381" s="274">
        <f t="shared" si="5"/>
        <v>2015</v>
      </c>
      <c r="CN381" s="244">
        <f>IF('Grille de saisie'!CM381&lt;18,0,IF('Grille de saisie'!CM381&lt;40,1,IF('Grille de saisie'!CM381&lt;65,2,IF('Grille de saisie'!CM381&lt;100,3,4))))</f>
        <v>4</v>
      </c>
      <c r="CO381" s="236">
        <f>IF(AND('Grille de saisie'!C381=1,'Grille de saisie'!BZ381=0),1,IF(AND('Grille de saisie'!C381="",'Grille de saisie'!BZ381=""),3,IF(AND('Grille de saisie'!C381=5),3,2)))</f>
        <v>3</v>
      </c>
      <c r="CP381" s="236">
        <f>IF(AND('Grille de saisie'!C381=1,'Grille de saisie'!BZ381=0),1,IF(AND('Grille de saisie'!C381=1,'Grille de saisie'!BZ381=1),2,IF(AND('Grille de saisie'!C381=2,'Grille de saisie'!BZ381=0),2,IF(AND('Grille de saisie'!C381=3,'Grille de saisie'!BZ381=0),3,IF(AND('Grille de saisie'!C381=2,'Grille de saisie'!BZ381=1),3,IF(AND('Grille de saisie'!C381=1,'Grille de saisie'!BZ381=2),3,IF(AND('Grille de saisie'!C381="",'Grille de saisie'!BZ381=""),5,IF(AND('Grille de saisie'!C381=5),5,4))))))))</f>
        <v>5</v>
      </c>
      <c r="CQ381" s="237">
        <f>IF('Grille de saisie'!BZ381="",3,IF('Grille de saisie'!C381=5,3,IF('Grille de saisie'!BZ381=0,1,2)))</f>
        <v>3</v>
      </c>
    </row>
    <row r="382" spans="1:95" ht="15">
      <c r="A382" s="510">
        <v>380</v>
      </c>
      <c r="B382" s="240"/>
      <c r="C382" s="513"/>
      <c r="D382" s="240"/>
      <c r="E382" s="517"/>
      <c r="F382" s="265"/>
      <c r="G382" s="513"/>
      <c r="H382" s="265"/>
      <c r="I382" s="520"/>
      <c r="J382" s="241"/>
      <c r="K382" s="520"/>
      <c r="L382" s="241"/>
      <c r="M382" s="521"/>
      <c r="N382" s="241"/>
      <c r="O382" s="521"/>
      <c r="P382" s="241"/>
      <c r="Q382" s="520"/>
      <c r="R382" s="241"/>
      <c r="S382" s="520"/>
      <c r="T382" s="241"/>
      <c r="U382" s="520"/>
      <c r="V382" s="241"/>
      <c r="W382" s="242"/>
      <c r="X382" s="241"/>
      <c r="Y382" s="242"/>
      <c r="Z382" s="241"/>
      <c r="AA382" s="241"/>
      <c r="AB382" s="275"/>
      <c r="AC382" s="524"/>
      <c r="AD382" s="241"/>
      <c r="AE382" s="241"/>
      <c r="AF382" s="241"/>
      <c r="AG382" s="241"/>
      <c r="AH382" s="241"/>
      <c r="AI382" s="241"/>
      <c r="AJ382" s="529"/>
      <c r="AK382" s="258"/>
      <c r="AL382" s="241"/>
      <c r="AM382" s="242"/>
      <c r="AN382" s="241"/>
      <c r="AO382" s="242"/>
      <c r="AP382" s="241"/>
      <c r="AQ382" s="242"/>
      <c r="AR382" s="241"/>
      <c r="AS382" s="242"/>
      <c r="AT382" s="241"/>
      <c r="AU382" s="241"/>
      <c r="AV382" s="256"/>
      <c r="AW382" s="241"/>
      <c r="AX382" s="256"/>
      <c r="AY382" s="241"/>
      <c r="AZ382" s="256"/>
      <c r="BA382" s="239"/>
      <c r="BB382" s="242"/>
      <c r="BC382" s="239"/>
      <c r="BD382" s="242"/>
      <c r="BE382" s="239"/>
      <c r="BF382" s="241"/>
      <c r="BG382" s="239"/>
      <c r="BH382" s="241"/>
      <c r="BI382" s="260"/>
      <c r="BJ382" s="241"/>
      <c r="BK382" s="260"/>
      <c r="BL382" s="239"/>
      <c r="BM382" s="256"/>
      <c r="BN382" s="241"/>
      <c r="BO382" s="243"/>
      <c r="BP382" s="241"/>
      <c r="BQ382" s="239"/>
      <c r="BR382" s="276"/>
      <c r="BS382" s="256"/>
      <c r="BT382" s="260"/>
      <c r="BU382" s="261"/>
      <c r="BV382" s="260"/>
      <c r="BW382" s="239"/>
      <c r="BX382" s="260"/>
      <c r="BY382" s="260"/>
      <c r="BZ382" s="239"/>
      <c r="CA382" s="260"/>
      <c r="CB382" s="239"/>
      <c r="CC382" s="260"/>
      <c r="CD382" s="539"/>
      <c r="CE382" s="239"/>
      <c r="CF382" s="276"/>
      <c r="CG382" s="256"/>
      <c r="CH382" s="259"/>
      <c r="CI382" s="347"/>
      <c r="CJ382" s="540"/>
      <c r="CK382" s="256"/>
      <c r="CL382" s="244">
        <v>1</v>
      </c>
      <c r="CM382" s="274">
        <f t="shared" si="5"/>
        <v>2015</v>
      </c>
      <c r="CN382" s="244">
        <f>IF('Grille de saisie'!CM382&lt;18,0,IF('Grille de saisie'!CM382&lt;40,1,IF('Grille de saisie'!CM382&lt;65,2,IF('Grille de saisie'!CM382&lt;100,3,4))))</f>
        <v>4</v>
      </c>
      <c r="CO382" s="236">
        <f>IF(AND('Grille de saisie'!C382=1,'Grille de saisie'!BZ382=0),1,IF(AND('Grille de saisie'!C382="",'Grille de saisie'!BZ382=""),3,IF(AND('Grille de saisie'!C382=5),3,2)))</f>
        <v>3</v>
      </c>
      <c r="CP382" s="236">
        <f>IF(AND('Grille de saisie'!C382=1,'Grille de saisie'!BZ382=0),1,IF(AND('Grille de saisie'!C382=1,'Grille de saisie'!BZ382=1),2,IF(AND('Grille de saisie'!C382=2,'Grille de saisie'!BZ382=0),2,IF(AND('Grille de saisie'!C382=3,'Grille de saisie'!BZ382=0),3,IF(AND('Grille de saisie'!C382=2,'Grille de saisie'!BZ382=1),3,IF(AND('Grille de saisie'!C382=1,'Grille de saisie'!BZ382=2),3,IF(AND('Grille de saisie'!C382="",'Grille de saisie'!BZ382=""),5,IF(AND('Grille de saisie'!C382=5),5,4))))))))</f>
        <v>5</v>
      </c>
      <c r="CQ382" s="237">
        <f>IF('Grille de saisie'!BZ382="",3,IF('Grille de saisie'!C382=5,3,IF('Grille de saisie'!BZ382=0,1,2)))</f>
        <v>3</v>
      </c>
    </row>
    <row r="383" spans="1:95" ht="15">
      <c r="A383" s="510">
        <v>381</v>
      </c>
      <c r="B383" s="240"/>
      <c r="C383" s="513"/>
      <c r="D383" s="240"/>
      <c r="E383" s="517"/>
      <c r="F383" s="265"/>
      <c r="G383" s="513"/>
      <c r="H383" s="265"/>
      <c r="I383" s="520"/>
      <c r="J383" s="241"/>
      <c r="K383" s="520"/>
      <c r="L383" s="241"/>
      <c r="M383" s="521"/>
      <c r="N383" s="241"/>
      <c r="O383" s="521"/>
      <c r="P383" s="241"/>
      <c r="Q383" s="520"/>
      <c r="R383" s="241"/>
      <c r="S383" s="520"/>
      <c r="T383" s="241"/>
      <c r="U383" s="520"/>
      <c r="V383" s="241"/>
      <c r="W383" s="242"/>
      <c r="X383" s="241"/>
      <c r="Y383" s="242"/>
      <c r="Z383" s="241"/>
      <c r="AA383" s="241"/>
      <c r="AB383" s="275"/>
      <c r="AC383" s="524"/>
      <c r="AD383" s="241"/>
      <c r="AE383" s="241"/>
      <c r="AF383" s="241"/>
      <c r="AG383" s="241"/>
      <c r="AH383" s="241"/>
      <c r="AI383" s="241"/>
      <c r="AJ383" s="529"/>
      <c r="AK383" s="258"/>
      <c r="AL383" s="241"/>
      <c r="AM383" s="242"/>
      <c r="AN383" s="241"/>
      <c r="AO383" s="242"/>
      <c r="AP383" s="241"/>
      <c r="AQ383" s="242"/>
      <c r="AR383" s="241"/>
      <c r="AS383" s="242"/>
      <c r="AT383" s="241"/>
      <c r="AU383" s="241"/>
      <c r="AV383" s="256"/>
      <c r="AW383" s="241"/>
      <c r="AX383" s="256"/>
      <c r="AY383" s="241"/>
      <c r="AZ383" s="256"/>
      <c r="BA383" s="239"/>
      <c r="BB383" s="242"/>
      <c r="BC383" s="239"/>
      <c r="BD383" s="242"/>
      <c r="BE383" s="239"/>
      <c r="BF383" s="241"/>
      <c r="BG383" s="239"/>
      <c r="BH383" s="241"/>
      <c r="BI383" s="260"/>
      <c r="BJ383" s="241"/>
      <c r="BK383" s="260"/>
      <c r="BL383" s="239"/>
      <c r="BM383" s="256"/>
      <c r="BN383" s="241"/>
      <c r="BO383" s="243"/>
      <c r="BP383" s="241"/>
      <c r="BQ383" s="239"/>
      <c r="BR383" s="276"/>
      <c r="BS383" s="256"/>
      <c r="BT383" s="260"/>
      <c r="BU383" s="261"/>
      <c r="BV383" s="260"/>
      <c r="BW383" s="239"/>
      <c r="BX383" s="260"/>
      <c r="BY383" s="260"/>
      <c r="BZ383" s="239"/>
      <c r="CA383" s="260"/>
      <c r="CB383" s="239"/>
      <c r="CC383" s="260"/>
      <c r="CD383" s="539"/>
      <c r="CE383" s="239"/>
      <c r="CF383" s="276"/>
      <c r="CG383" s="256"/>
      <c r="CH383" s="259"/>
      <c r="CI383" s="347"/>
      <c r="CJ383" s="540"/>
      <c r="CK383" s="256"/>
      <c r="CL383" s="244">
        <v>1</v>
      </c>
      <c r="CM383" s="274">
        <f t="shared" si="5"/>
        <v>2015</v>
      </c>
      <c r="CN383" s="244">
        <f>IF('Grille de saisie'!CM383&lt;18,0,IF('Grille de saisie'!CM383&lt;40,1,IF('Grille de saisie'!CM383&lt;65,2,IF('Grille de saisie'!CM383&lt;100,3,4))))</f>
        <v>4</v>
      </c>
      <c r="CO383" s="236">
        <f>IF(AND('Grille de saisie'!C383=1,'Grille de saisie'!BZ383=0),1,IF(AND('Grille de saisie'!C383="",'Grille de saisie'!BZ383=""),3,IF(AND('Grille de saisie'!C383=5),3,2)))</f>
        <v>3</v>
      </c>
      <c r="CP383" s="236">
        <f>IF(AND('Grille de saisie'!C383=1,'Grille de saisie'!BZ383=0),1,IF(AND('Grille de saisie'!C383=1,'Grille de saisie'!BZ383=1),2,IF(AND('Grille de saisie'!C383=2,'Grille de saisie'!BZ383=0),2,IF(AND('Grille de saisie'!C383=3,'Grille de saisie'!BZ383=0),3,IF(AND('Grille de saisie'!C383=2,'Grille de saisie'!BZ383=1),3,IF(AND('Grille de saisie'!C383=1,'Grille de saisie'!BZ383=2),3,IF(AND('Grille de saisie'!C383="",'Grille de saisie'!BZ383=""),5,IF(AND('Grille de saisie'!C383=5),5,4))))))))</f>
        <v>5</v>
      </c>
      <c r="CQ383" s="237">
        <f>IF('Grille de saisie'!BZ383="",3,IF('Grille de saisie'!C383=5,3,IF('Grille de saisie'!BZ383=0,1,2)))</f>
        <v>3</v>
      </c>
    </row>
    <row r="384" spans="1:95" ht="15">
      <c r="A384" s="511">
        <v>382</v>
      </c>
      <c r="B384" s="240"/>
      <c r="C384" s="513"/>
      <c r="D384" s="240"/>
      <c r="E384" s="517"/>
      <c r="F384" s="265"/>
      <c r="G384" s="513"/>
      <c r="H384" s="265"/>
      <c r="I384" s="520"/>
      <c r="J384" s="241"/>
      <c r="K384" s="520"/>
      <c r="L384" s="241"/>
      <c r="M384" s="521"/>
      <c r="N384" s="241"/>
      <c r="O384" s="521"/>
      <c r="P384" s="241"/>
      <c r="Q384" s="520"/>
      <c r="R384" s="241"/>
      <c r="S384" s="520"/>
      <c r="T384" s="241"/>
      <c r="U384" s="520"/>
      <c r="V384" s="241"/>
      <c r="W384" s="242"/>
      <c r="X384" s="241"/>
      <c r="Y384" s="242"/>
      <c r="Z384" s="241"/>
      <c r="AA384" s="241"/>
      <c r="AB384" s="275"/>
      <c r="AC384" s="524"/>
      <c r="AD384" s="241"/>
      <c r="AE384" s="241"/>
      <c r="AF384" s="241"/>
      <c r="AG384" s="241"/>
      <c r="AH384" s="241"/>
      <c r="AI384" s="241"/>
      <c r="AJ384" s="529"/>
      <c r="AK384" s="258"/>
      <c r="AL384" s="241"/>
      <c r="AM384" s="242"/>
      <c r="AN384" s="241"/>
      <c r="AO384" s="242"/>
      <c r="AP384" s="241"/>
      <c r="AQ384" s="242"/>
      <c r="AR384" s="241"/>
      <c r="AS384" s="242"/>
      <c r="AT384" s="241"/>
      <c r="AU384" s="241"/>
      <c r="AV384" s="256"/>
      <c r="AW384" s="241"/>
      <c r="AX384" s="256"/>
      <c r="AY384" s="241"/>
      <c r="AZ384" s="256"/>
      <c r="BA384" s="239"/>
      <c r="BB384" s="242"/>
      <c r="BC384" s="239"/>
      <c r="BD384" s="242"/>
      <c r="BE384" s="239"/>
      <c r="BF384" s="241"/>
      <c r="BG384" s="239"/>
      <c r="BH384" s="241"/>
      <c r="BI384" s="260"/>
      <c r="BJ384" s="241"/>
      <c r="BK384" s="260"/>
      <c r="BL384" s="239"/>
      <c r="BM384" s="256"/>
      <c r="BN384" s="241"/>
      <c r="BO384" s="243"/>
      <c r="BP384" s="241"/>
      <c r="BQ384" s="239"/>
      <c r="BR384" s="276"/>
      <c r="BS384" s="256"/>
      <c r="BT384" s="260"/>
      <c r="BU384" s="261"/>
      <c r="BV384" s="260"/>
      <c r="BW384" s="239"/>
      <c r="BX384" s="260"/>
      <c r="BY384" s="260"/>
      <c r="BZ384" s="239"/>
      <c r="CA384" s="260"/>
      <c r="CB384" s="239"/>
      <c r="CC384" s="260"/>
      <c r="CD384" s="539"/>
      <c r="CE384" s="239"/>
      <c r="CF384" s="276"/>
      <c r="CG384" s="256"/>
      <c r="CH384" s="259"/>
      <c r="CI384" s="347"/>
      <c r="CJ384" s="540"/>
      <c r="CK384" s="256"/>
      <c r="CL384" s="244">
        <v>1</v>
      </c>
      <c r="CM384" s="274">
        <f t="shared" si="5"/>
        <v>2015</v>
      </c>
      <c r="CN384" s="244">
        <f>IF('Grille de saisie'!CM384&lt;18,0,IF('Grille de saisie'!CM384&lt;40,1,IF('Grille de saisie'!CM384&lt;65,2,IF('Grille de saisie'!CM384&lt;100,3,4))))</f>
        <v>4</v>
      </c>
      <c r="CO384" s="236">
        <f>IF(AND('Grille de saisie'!C384=1,'Grille de saisie'!BZ384=0),1,IF(AND('Grille de saisie'!C384="",'Grille de saisie'!BZ384=""),3,IF(AND('Grille de saisie'!C384=5),3,2)))</f>
        <v>3</v>
      </c>
      <c r="CP384" s="236">
        <f>IF(AND('Grille de saisie'!C384=1,'Grille de saisie'!BZ384=0),1,IF(AND('Grille de saisie'!C384=1,'Grille de saisie'!BZ384=1),2,IF(AND('Grille de saisie'!C384=2,'Grille de saisie'!BZ384=0),2,IF(AND('Grille de saisie'!C384=3,'Grille de saisie'!BZ384=0),3,IF(AND('Grille de saisie'!C384=2,'Grille de saisie'!BZ384=1),3,IF(AND('Grille de saisie'!C384=1,'Grille de saisie'!BZ384=2),3,IF(AND('Grille de saisie'!C384="",'Grille de saisie'!BZ384=""),5,IF(AND('Grille de saisie'!C384=5),5,4))))))))</f>
        <v>5</v>
      </c>
      <c r="CQ384" s="237">
        <f>IF('Grille de saisie'!BZ384="",3,IF('Grille de saisie'!C384=5,3,IF('Grille de saisie'!BZ384=0,1,2)))</f>
        <v>3</v>
      </c>
    </row>
    <row r="385" spans="1:95" ht="15">
      <c r="A385" s="510">
        <v>383</v>
      </c>
      <c r="B385" s="240"/>
      <c r="C385" s="513"/>
      <c r="D385" s="240"/>
      <c r="E385" s="517"/>
      <c r="F385" s="265"/>
      <c r="G385" s="513"/>
      <c r="H385" s="265"/>
      <c r="I385" s="520"/>
      <c r="J385" s="241"/>
      <c r="K385" s="520"/>
      <c r="L385" s="241"/>
      <c r="M385" s="521"/>
      <c r="N385" s="241"/>
      <c r="O385" s="521"/>
      <c r="P385" s="241"/>
      <c r="Q385" s="520"/>
      <c r="R385" s="241"/>
      <c r="S385" s="520"/>
      <c r="T385" s="241"/>
      <c r="U385" s="520"/>
      <c r="V385" s="241"/>
      <c r="W385" s="242"/>
      <c r="X385" s="241"/>
      <c r="Y385" s="242"/>
      <c r="Z385" s="241"/>
      <c r="AA385" s="241"/>
      <c r="AB385" s="275"/>
      <c r="AC385" s="524"/>
      <c r="AD385" s="241"/>
      <c r="AE385" s="241"/>
      <c r="AF385" s="241"/>
      <c r="AG385" s="241"/>
      <c r="AH385" s="241"/>
      <c r="AI385" s="241"/>
      <c r="AJ385" s="529"/>
      <c r="AK385" s="258"/>
      <c r="AL385" s="241"/>
      <c r="AM385" s="242"/>
      <c r="AN385" s="241"/>
      <c r="AO385" s="242"/>
      <c r="AP385" s="241"/>
      <c r="AQ385" s="242"/>
      <c r="AR385" s="241"/>
      <c r="AS385" s="242"/>
      <c r="AT385" s="241"/>
      <c r="AU385" s="241"/>
      <c r="AV385" s="256"/>
      <c r="AW385" s="241"/>
      <c r="AX385" s="256"/>
      <c r="AY385" s="241"/>
      <c r="AZ385" s="256"/>
      <c r="BA385" s="239"/>
      <c r="BB385" s="242"/>
      <c r="BC385" s="239"/>
      <c r="BD385" s="242"/>
      <c r="BE385" s="239"/>
      <c r="BF385" s="241"/>
      <c r="BG385" s="239"/>
      <c r="BH385" s="241"/>
      <c r="BI385" s="260"/>
      <c r="BJ385" s="241"/>
      <c r="BK385" s="260"/>
      <c r="BL385" s="239"/>
      <c r="BM385" s="256"/>
      <c r="BN385" s="241"/>
      <c r="BO385" s="243"/>
      <c r="BP385" s="241"/>
      <c r="BQ385" s="239"/>
      <c r="BR385" s="276"/>
      <c r="BS385" s="256"/>
      <c r="BT385" s="260"/>
      <c r="BU385" s="261"/>
      <c r="BV385" s="260"/>
      <c r="BW385" s="239"/>
      <c r="BX385" s="260"/>
      <c r="BY385" s="260"/>
      <c r="BZ385" s="239"/>
      <c r="CA385" s="260"/>
      <c r="CB385" s="239"/>
      <c r="CC385" s="260"/>
      <c r="CD385" s="539"/>
      <c r="CE385" s="239"/>
      <c r="CF385" s="276"/>
      <c r="CG385" s="256"/>
      <c r="CH385" s="259"/>
      <c r="CI385" s="347"/>
      <c r="CJ385" s="540"/>
      <c r="CK385" s="256"/>
      <c r="CL385" s="244">
        <v>1</v>
      </c>
      <c r="CM385" s="274">
        <f t="shared" si="5"/>
        <v>2015</v>
      </c>
      <c r="CN385" s="244">
        <f>IF('Grille de saisie'!CM385&lt;18,0,IF('Grille de saisie'!CM385&lt;40,1,IF('Grille de saisie'!CM385&lt;65,2,IF('Grille de saisie'!CM385&lt;100,3,4))))</f>
        <v>4</v>
      </c>
      <c r="CO385" s="236">
        <f>IF(AND('Grille de saisie'!C385=1,'Grille de saisie'!BZ385=0),1,IF(AND('Grille de saisie'!C385="",'Grille de saisie'!BZ385=""),3,IF(AND('Grille de saisie'!C385=5),3,2)))</f>
        <v>3</v>
      </c>
      <c r="CP385" s="236">
        <f>IF(AND('Grille de saisie'!C385=1,'Grille de saisie'!BZ385=0),1,IF(AND('Grille de saisie'!C385=1,'Grille de saisie'!BZ385=1),2,IF(AND('Grille de saisie'!C385=2,'Grille de saisie'!BZ385=0),2,IF(AND('Grille de saisie'!C385=3,'Grille de saisie'!BZ385=0),3,IF(AND('Grille de saisie'!C385=2,'Grille de saisie'!BZ385=1),3,IF(AND('Grille de saisie'!C385=1,'Grille de saisie'!BZ385=2),3,IF(AND('Grille de saisie'!C385="",'Grille de saisie'!BZ385=""),5,IF(AND('Grille de saisie'!C385=5),5,4))))))))</f>
        <v>5</v>
      </c>
      <c r="CQ385" s="237">
        <f>IF('Grille de saisie'!BZ385="",3,IF('Grille de saisie'!C385=5,3,IF('Grille de saisie'!BZ385=0,1,2)))</f>
        <v>3</v>
      </c>
    </row>
    <row r="386" spans="1:95" ht="15">
      <c r="A386" s="510">
        <v>384</v>
      </c>
      <c r="B386" s="240"/>
      <c r="C386" s="513"/>
      <c r="D386" s="240"/>
      <c r="E386" s="517"/>
      <c r="F386" s="265"/>
      <c r="G386" s="513"/>
      <c r="H386" s="265"/>
      <c r="I386" s="520"/>
      <c r="J386" s="241"/>
      <c r="K386" s="520"/>
      <c r="L386" s="241"/>
      <c r="M386" s="521"/>
      <c r="N386" s="241"/>
      <c r="O386" s="521"/>
      <c r="P386" s="241"/>
      <c r="Q386" s="520"/>
      <c r="R386" s="241"/>
      <c r="S386" s="520"/>
      <c r="T386" s="241"/>
      <c r="U386" s="520"/>
      <c r="V386" s="241"/>
      <c r="W386" s="242"/>
      <c r="X386" s="241"/>
      <c r="Y386" s="242"/>
      <c r="Z386" s="241"/>
      <c r="AA386" s="241"/>
      <c r="AB386" s="275"/>
      <c r="AC386" s="524"/>
      <c r="AD386" s="241"/>
      <c r="AE386" s="241"/>
      <c r="AF386" s="241"/>
      <c r="AG386" s="241"/>
      <c r="AH386" s="241"/>
      <c r="AI386" s="241"/>
      <c r="AJ386" s="529"/>
      <c r="AK386" s="258"/>
      <c r="AL386" s="241"/>
      <c r="AM386" s="242"/>
      <c r="AN386" s="241"/>
      <c r="AO386" s="242"/>
      <c r="AP386" s="241"/>
      <c r="AQ386" s="242"/>
      <c r="AR386" s="241"/>
      <c r="AS386" s="242"/>
      <c r="AT386" s="241"/>
      <c r="AU386" s="241"/>
      <c r="AV386" s="256"/>
      <c r="AW386" s="241"/>
      <c r="AX386" s="256"/>
      <c r="AY386" s="241"/>
      <c r="AZ386" s="256"/>
      <c r="BA386" s="239"/>
      <c r="BB386" s="242"/>
      <c r="BC386" s="239"/>
      <c r="BD386" s="242"/>
      <c r="BE386" s="239"/>
      <c r="BF386" s="241"/>
      <c r="BG386" s="239"/>
      <c r="BH386" s="241"/>
      <c r="BI386" s="260"/>
      <c r="BJ386" s="241"/>
      <c r="BK386" s="260"/>
      <c r="BL386" s="239"/>
      <c r="BM386" s="256"/>
      <c r="BN386" s="241"/>
      <c r="BO386" s="243"/>
      <c r="BP386" s="241"/>
      <c r="BQ386" s="239"/>
      <c r="BR386" s="276"/>
      <c r="BS386" s="256"/>
      <c r="BT386" s="260"/>
      <c r="BU386" s="261"/>
      <c r="BV386" s="260"/>
      <c r="BW386" s="239"/>
      <c r="BX386" s="260"/>
      <c r="BY386" s="260"/>
      <c r="BZ386" s="239"/>
      <c r="CA386" s="260"/>
      <c r="CB386" s="239"/>
      <c r="CC386" s="260"/>
      <c r="CD386" s="539"/>
      <c r="CE386" s="239"/>
      <c r="CF386" s="276"/>
      <c r="CG386" s="256"/>
      <c r="CH386" s="259"/>
      <c r="CI386" s="347"/>
      <c r="CJ386" s="540"/>
      <c r="CK386" s="256"/>
      <c r="CL386" s="244">
        <v>1</v>
      </c>
      <c r="CM386" s="274">
        <f t="shared" si="5"/>
        <v>2015</v>
      </c>
      <c r="CN386" s="244">
        <f>IF('Grille de saisie'!CM386&lt;18,0,IF('Grille de saisie'!CM386&lt;40,1,IF('Grille de saisie'!CM386&lt;65,2,IF('Grille de saisie'!CM386&lt;100,3,4))))</f>
        <v>4</v>
      </c>
      <c r="CO386" s="236">
        <f>IF(AND('Grille de saisie'!C386=1,'Grille de saisie'!BZ386=0),1,IF(AND('Grille de saisie'!C386="",'Grille de saisie'!BZ386=""),3,IF(AND('Grille de saisie'!C386=5),3,2)))</f>
        <v>3</v>
      </c>
      <c r="CP386" s="236">
        <f>IF(AND('Grille de saisie'!C386=1,'Grille de saisie'!BZ386=0),1,IF(AND('Grille de saisie'!C386=1,'Grille de saisie'!BZ386=1),2,IF(AND('Grille de saisie'!C386=2,'Grille de saisie'!BZ386=0),2,IF(AND('Grille de saisie'!C386=3,'Grille de saisie'!BZ386=0),3,IF(AND('Grille de saisie'!C386=2,'Grille de saisie'!BZ386=1),3,IF(AND('Grille de saisie'!C386=1,'Grille de saisie'!BZ386=2),3,IF(AND('Grille de saisie'!C386="",'Grille de saisie'!BZ386=""),5,IF(AND('Grille de saisie'!C386=5),5,4))))))))</f>
        <v>5</v>
      </c>
      <c r="CQ386" s="237">
        <f>IF('Grille de saisie'!BZ386="",3,IF('Grille de saisie'!C386=5,3,IF('Grille de saisie'!BZ386=0,1,2)))</f>
        <v>3</v>
      </c>
    </row>
    <row r="387" spans="1:95" ht="15">
      <c r="A387" s="511">
        <v>385</v>
      </c>
      <c r="B387" s="240"/>
      <c r="C387" s="513"/>
      <c r="D387" s="240"/>
      <c r="E387" s="517"/>
      <c r="F387" s="265"/>
      <c r="G387" s="513"/>
      <c r="H387" s="265"/>
      <c r="I387" s="520"/>
      <c r="J387" s="241"/>
      <c r="K387" s="520"/>
      <c r="L387" s="241"/>
      <c r="M387" s="521"/>
      <c r="N387" s="241"/>
      <c r="O387" s="521"/>
      <c r="P387" s="241"/>
      <c r="Q387" s="520"/>
      <c r="R387" s="241"/>
      <c r="S387" s="520"/>
      <c r="T387" s="241"/>
      <c r="U387" s="520"/>
      <c r="V387" s="241"/>
      <c r="W387" s="242"/>
      <c r="X387" s="241"/>
      <c r="Y387" s="242"/>
      <c r="Z387" s="241"/>
      <c r="AA387" s="241"/>
      <c r="AB387" s="275"/>
      <c r="AC387" s="524"/>
      <c r="AD387" s="241"/>
      <c r="AE387" s="241"/>
      <c r="AF387" s="241"/>
      <c r="AG387" s="241"/>
      <c r="AH387" s="241"/>
      <c r="AI387" s="241"/>
      <c r="AJ387" s="529"/>
      <c r="AK387" s="258"/>
      <c r="AL387" s="241"/>
      <c r="AM387" s="242"/>
      <c r="AN387" s="241"/>
      <c r="AO387" s="242"/>
      <c r="AP387" s="241"/>
      <c r="AQ387" s="242"/>
      <c r="AR387" s="241"/>
      <c r="AS387" s="242"/>
      <c r="AT387" s="241"/>
      <c r="AU387" s="241"/>
      <c r="AV387" s="256"/>
      <c r="AW387" s="241"/>
      <c r="AX387" s="256"/>
      <c r="AY387" s="241"/>
      <c r="AZ387" s="256"/>
      <c r="BA387" s="239"/>
      <c r="BB387" s="242"/>
      <c r="BC387" s="239"/>
      <c r="BD387" s="242"/>
      <c r="BE387" s="239"/>
      <c r="BF387" s="241"/>
      <c r="BG387" s="239"/>
      <c r="BH387" s="241"/>
      <c r="BI387" s="260"/>
      <c r="BJ387" s="241"/>
      <c r="BK387" s="260"/>
      <c r="BL387" s="239"/>
      <c r="BM387" s="256"/>
      <c r="BN387" s="241"/>
      <c r="BO387" s="243"/>
      <c r="BP387" s="241"/>
      <c r="BQ387" s="239"/>
      <c r="BR387" s="276"/>
      <c r="BS387" s="256"/>
      <c r="BT387" s="260"/>
      <c r="BU387" s="261"/>
      <c r="BV387" s="260"/>
      <c r="BW387" s="239"/>
      <c r="BX387" s="260"/>
      <c r="BY387" s="260"/>
      <c r="BZ387" s="239"/>
      <c r="CA387" s="260"/>
      <c r="CB387" s="239"/>
      <c r="CC387" s="260"/>
      <c r="CD387" s="539"/>
      <c r="CE387" s="239"/>
      <c r="CF387" s="276"/>
      <c r="CG387" s="256"/>
      <c r="CH387" s="259"/>
      <c r="CI387" s="347"/>
      <c r="CJ387" s="540"/>
      <c r="CK387" s="256"/>
      <c r="CL387" s="244">
        <v>1</v>
      </c>
      <c r="CM387" s="274">
        <f t="shared" si="5"/>
        <v>2015</v>
      </c>
      <c r="CN387" s="244">
        <f>IF('Grille de saisie'!CM387&lt;18,0,IF('Grille de saisie'!CM387&lt;40,1,IF('Grille de saisie'!CM387&lt;65,2,IF('Grille de saisie'!CM387&lt;100,3,4))))</f>
        <v>4</v>
      </c>
      <c r="CO387" s="236">
        <f>IF(AND('Grille de saisie'!C387=1,'Grille de saisie'!BZ387=0),1,IF(AND('Grille de saisie'!C387="",'Grille de saisie'!BZ387=""),3,IF(AND('Grille de saisie'!C387=5),3,2)))</f>
        <v>3</v>
      </c>
      <c r="CP387" s="236">
        <f>IF(AND('Grille de saisie'!C387=1,'Grille de saisie'!BZ387=0),1,IF(AND('Grille de saisie'!C387=1,'Grille de saisie'!BZ387=1),2,IF(AND('Grille de saisie'!C387=2,'Grille de saisie'!BZ387=0),2,IF(AND('Grille de saisie'!C387=3,'Grille de saisie'!BZ387=0),3,IF(AND('Grille de saisie'!C387=2,'Grille de saisie'!BZ387=1),3,IF(AND('Grille de saisie'!C387=1,'Grille de saisie'!BZ387=2),3,IF(AND('Grille de saisie'!C387="",'Grille de saisie'!BZ387=""),5,IF(AND('Grille de saisie'!C387=5),5,4))))))))</f>
        <v>5</v>
      </c>
      <c r="CQ387" s="237">
        <f>IF('Grille de saisie'!BZ387="",3,IF('Grille de saisie'!C387=5,3,IF('Grille de saisie'!BZ387=0,1,2)))</f>
        <v>3</v>
      </c>
    </row>
    <row r="388" spans="1:95" ht="15">
      <c r="A388" s="510">
        <v>386</v>
      </c>
      <c r="B388" s="240"/>
      <c r="C388" s="513"/>
      <c r="D388" s="240"/>
      <c r="E388" s="517"/>
      <c r="F388" s="265"/>
      <c r="G388" s="513"/>
      <c r="H388" s="265"/>
      <c r="I388" s="520"/>
      <c r="J388" s="241"/>
      <c r="K388" s="520"/>
      <c r="L388" s="241"/>
      <c r="M388" s="521"/>
      <c r="N388" s="241"/>
      <c r="O388" s="521"/>
      <c r="P388" s="241"/>
      <c r="Q388" s="520"/>
      <c r="R388" s="241"/>
      <c r="S388" s="520"/>
      <c r="T388" s="241"/>
      <c r="U388" s="520"/>
      <c r="V388" s="241"/>
      <c r="W388" s="242"/>
      <c r="X388" s="241"/>
      <c r="Y388" s="242"/>
      <c r="Z388" s="241"/>
      <c r="AA388" s="241"/>
      <c r="AB388" s="275"/>
      <c r="AC388" s="524"/>
      <c r="AD388" s="241"/>
      <c r="AE388" s="241"/>
      <c r="AF388" s="241"/>
      <c r="AG388" s="241"/>
      <c r="AH388" s="241"/>
      <c r="AI388" s="241"/>
      <c r="AJ388" s="529"/>
      <c r="AK388" s="258"/>
      <c r="AL388" s="241"/>
      <c r="AM388" s="242"/>
      <c r="AN388" s="241"/>
      <c r="AO388" s="242"/>
      <c r="AP388" s="241"/>
      <c r="AQ388" s="242"/>
      <c r="AR388" s="241"/>
      <c r="AS388" s="242"/>
      <c r="AT388" s="241"/>
      <c r="AU388" s="241"/>
      <c r="AV388" s="256"/>
      <c r="AW388" s="241"/>
      <c r="AX388" s="256"/>
      <c r="AY388" s="241"/>
      <c r="AZ388" s="256"/>
      <c r="BA388" s="239"/>
      <c r="BB388" s="242"/>
      <c r="BC388" s="239"/>
      <c r="BD388" s="242"/>
      <c r="BE388" s="239"/>
      <c r="BF388" s="241"/>
      <c r="BG388" s="239"/>
      <c r="BH388" s="241"/>
      <c r="BI388" s="260"/>
      <c r="BJ388" s="241"/>
      <c r="BK388" s="260"/>
      <c r="BL388" s="239"/>
      <c r="BM388" s="256"/>
      <c r="BN388" s="241"/>
      <c r="BO388" s="243"/>
      <c r="BP388" s="241"/>
      <c r="BQ388" s="239"/>
      <c r="BR388" s="276"/>
      <c r="BS388" s="256"/>
      <c r="BT388" s="260"/>
      <c r="BU388" s="261"/>
      <c r="BV388" s="260"/>
      <c r="BW388" s="239"/>
      <c r="BX388" s="260"/>
      <c r="BY388" s="260"/>
      <c r="BZ388" s="239"/>
      <c r="CA388" s="260"/>
      <c r="CB388" s="239"/>
      <c r="CC388" s="260"/>
      <c r="CD388" s="539"/>
      <c r="CE388" s="239"/>
      <c r="CF388" s="276"/>
      <c r="CG388" s="256"/>
      <c r="CH388" s="259"/>
      <c r="CI388" s="347"/>
      <c r="CJ388" s="540"/>
      <c r="CK388" s="256"/>
      <c r="CL388" s="244">
        <v>1</v>
      </c>
      <c r="CM388" s="274">
        <f t="shared" ref="CM388:CM451" si="6">$A$1-CB388</f>
        <v>2015</v>
      </c>
      <c r="CN388" s="244">
        <f>IF('Grille de saisie'!CM388&lt;18,0,IF('Grille de saisie'!CM388&lt;40,1,IF('Grille de saisie'!CM388&lt;65,2,IF('Grille de saisie'!CM388&lt;100,3,4))))</f>
        <v>4</v>
      </c>
      <c r="CO388" s="236">
        <f>IF(AND('Grille de saisie'!C388=1,'Grille de saisie'!BZ388=0),1,IF(AND('Grille de saisie'!C388="",'Grille de saisie'!BZ388=""),3,IF(AND('Grille de saisie'!C388=5),3,2)))</f>
        <v>3</v>
      </c>
      <c r="CP388" s="236">
        <f>IF(AND('Grille de saisie'!C388=1,'Grille de saisie'!BZ388=0),1,IF(AND('Grille de saisie'!C388=1,'Grille de saisie'!BZ388=1),2,IF(AND('Grille de saisie'!C388=2,'Grille de saisie'!BZ388=0),2,IF(AND('Grille de saisie'!C388=3,'Grille de saisie'!BZ388=0),3,IF(AND('Grille de saisie'!C388=2,'Grille de saisie'!BZ388=1),3,IF(AND('Grille de saisie'!C388=1,'Grille de saisie'!BZ388=2),3,IF(AND('Grille de saisie'!C388="",'Grille de saisie'!BZ388=""),5,IF(AND('Grille de saisie'!C388=5),5,4))))))))</f>
        <v>5</v>
      </c>
      <c r="CQ388" s="237">
        <f>IF('Grille de saisie'!BZ388="",3,IF('Grille de saisie'!C388=5,3,IF('Grille de saisie'!BZ388=0,1,2)))</f>
        <v>3</v>
      </c>
    </row>
    <row r="389" spans="1:95" ht="15">
      <c r="A389" s="510">
        <v>387</v>
      </c>
      <c r="B389" s="240"/>
      <c r="C389" s="513"/>
      <c r="D389" s="240"/>
      <c r="E389" s="517"/>
      <c r="F389" s="265"/>
      <c r="G389" s="513"/>
      <c r="H389" s="265"/>
      <c r="I389" s="520"/>
      <c r="J389" s="241"/>
      <c r="K389" s="520"/>
      <c r="L389" s="241"/>
      <c r="M389" s="521"/>
      <c r="N389" s="241"/>
      <c r="O389" s="521"/>
      <c r="P389" s="241"/>
      <c r="Q389" s="520"/>
      <c r="R389" s="241"/>
      <c r="S389" s="520"/>
      <c r="T389" s="241"/>
      <c r="U389" s="520"/>
      <c r="V389" s="241"/>
      <c r="W389" s="242"/>
      <c r="X389" s="241"/>
      <c r="Y389" s="242"/>
      <c r="Z389" s="241"/>
      <c r="AA389" s="241"/>
      <c r="AB389" s="275"/>
      <c r="AC389" s="524"/>
      <c r="AD389" s="241"/>
      <c r="AE389" s="241"/>
      <c r="AF389" s="241"/>
      <c r="AG389" s="241"/>
      <c r="AH389" s="241"/>
      <c r="AI389" s="241"/>
      <c r="AJ389" s="529"/>
      <c r="AK389" s="258"/>
      <c r="AL389" s="241"/>
      <c r="AM389" s="242"/>
      <c r="AN389" s="241"/>
      <c r="AO389" s="242"/>
      <c r="AP389" s="241"/>
      <c r="AQ389" s="242"/>
      <c r="AR389" s="241"/>
      <c r="AS389" s="242"/>
      <c r="AT389" s="241"/>
      <c r="AU389" s="241"/>
      <c r="AV389" s="256"/>
      <c r="AW389" s="241"/>
      <c r="AX389" s="256"/>
      <c r="AY389" s="241"/>
      <c r="AZ389" s="256"/>
      <c r="BA389" s="239"/>
      <c r="BB389" s="242"/>
      <c r="BC389" s="239"/>
      <c r="BD389" s="242"/>
      <c r="BE389" s="239"/>
      <c r="BF389" s="241"/>
      <c r="BG389" s="239"/>
      <c r="BH389" s="241"/>
      <c r="BI389" s="260"/>
      <c r="BJ389" s="241"/>
      <c r="BK389" s="260"/>
      <c r="BL389" s="239"/>
      <c r="BM389" s="256"/>
      <c r="BN389" s="241"/>
      <c r="BO389" s="243"/>
      <c r="BP389" s="241"/>
      <c r="BQ389" s="239"/>
      <c r="BR389" s="276"/>
      <c r="BS389" s="256"/>
      <c r="BT389" s="260"/>
      <c r="BU389" s="261"/>
      <c r="BV389" s="260"/>
      <c r="BW389" s="239"/>
      <c r="BX389" s="260"/>
      <c r="BY389" s="260"/>
      <c r="BZ389" s="239"/>
      <c r="CA389" s="260"/>
      <c r="CB389" s="239"/>
      <c r="CC389" s="260"/>
      <c r="CD389" s="539"/>
      <c r="CE389" s="239"/>
      <c r="CF389" s="276"/>
      <c r="CG389" s="256"/>
      <c r="CH389" s="259"/>
      <c r="CI389" s="347"/>
      <c r="CJ389" s="540"/>
      <c r="CK389" s="256"/>
      <c r="CL389" s="244">
        <v>1</v>
      </c>
      <c r="CM389" s="274">
        <f t="shared" si="6"/>
        <v>2015</v>
      </c>
      <c r="CN389" s="244">
        <f>IF('Grille de saisie'!CM389&lt;18,0,IF('Grille de saisie'!CM389&lt;40,1,IF('Grille de saisie'!CM389&lt;65,2,IF('Grille de saisie'!CM389&lt;100,3,4))))</f>
        <v>4</v>
      </c>
      <c r="CO389" s="236">
        <f>IF(AND('Grille de saisie'!C389=1,'Grille de saisie'!BZ389=0),1,IF(AND('Grille de saisie'!C389="",'Grille de saisie'!BZ389=""),3,IF(AND('Grille de saisie'!C389=5),3,2)))</f>
        <v>3</v>
      </c>
      <c r="CP389" s="236">
        <f>IF(AND('Grille de saisie'!C389=1,'Grille de saisie'!BZ389=0),1,IF(AND('Grille de saisie'!C389=1,'Grille de saisie'!BZ389=1),2,IF(AND('Grille de saisie'!C389=2,'Grille de saisie'!BZ389=0),2,IF(AND('Grille de saisie'!C389=3,'Grille de saisie'!BZ389=0),3,IF(AND('Grille de saisie'!C389=2,'Grille de saisie'!BZ389=1),3,IF(AND('Grille de saisie'!C389=1,'Grille de saisie'!BZ389=2),3,IF(AND('Grille de saisie'!C389="",'Grille de saisie'!BZ389=""),5,IF(AND('Grille de saisie'!C389=5),5,4))))))))</f>
        <v>5</v>
      </c>
      <c r="CQ389" s="237">
        <f>IF('Grille de saisie'!BZ389="",3,IF('Grille de saisie'!C389=5,3,IF('Grille de saisie'!BZ389=0,1,2)))</f>
        <v>3</v>
      </c>
    </row>
    <row r="390" spans="1:95" ht="15">
      <c r="A390" s="511">
        <v>388</v>
      </c>
      <c r="B390" s="240"/>
      <c r="C390" s="513"/>
      <c r="D390" s="240"/>
      <c r="E390" s="517"/>
      <c r="F390" s="265"/>
      <c r="G390" s="513"/>
      <c r="H390" s="265"/>
      <c r="I390" s="520"/>
      <c r="J390" s="241"/>
      <c r="K390" s="520"/>
      <c r="L390" s="241"/>
      <c r="M390" s="521"/>
      <c r="N390" s="241"/>
      <c r="O390" s="521"/>
      <c r="P390" s="241"/>
      <c r="Q390" s="520"/>
      <c r="R390" s="241"/>
      <c r="S390" s="520"/>
      <c r="T390" s="241"/>
      <c r="U390" s="520"/>
      <c r="V390" s="241"/>
      <c r="W390" s="242"/>
      <c r="X390" s="241"/>
      <c r="Y390" s="242"/>
      <c r="Z390" s="241"/>
      <c r="AA390" s="241"/>
      <c r="AB390" s="275"/>
      <c r="AC390" s="524"/>
      <c r="AD390" s="241"/>
      <c r="AE390" s="241"/>
      <c r="AF390" s="241"/>
      <c r="AG390" s="241"/>
      <c r="AH390" s="241"/>
      <c r="AI390" s="241"/>
      <c r="AJ390" s="529"/>
      <c r="AK390" s="258"/>
      <c r="AL390" s="241"/>
      <c r="AM390" s="242"/>
      <c r="AN390" s="241"/>
      <c r="AO390" s="242"/>
      <c r="AP390" s="241"/>
      <c r="AQ390" s="242"/>
      <c r="AR390" s="241"/>
      <c r="AS390" s="242"/>
      <c r="AT390" s="241"/>
      <c r="AU390" s="241"/>
      <c r="AV390" s="256"/>
      <c r="AW390" s="241"/>
      <c r="AX390" s="256"/>
      <c r="AY390" s="241"/>
      <c r="AZ390" s="256"/>
      <c r="BA390" s="239"/>
      <c r="BB390" s="242"/>
      <c r="BC390" s="239"/>
      <c r="BD390" s="242"/>
      <c r="BE390" s="239"/>
      <c r="BF390" s="241"/>
      <c r="BG390" s="239"/>
      <c r="BH390" s="241"/>
      <c r="BI390" s="260"/>
      <c r="BJ390" s="241"/>
      <c r="BK390" s="260"/>
      <c r="BL390" s="239"/>
      <c r="BM390" s="256"/>
      <c r="BN390" s="241"/>
      <c r="BO390" s="243"/>
      <c r="BP390" s="241"/>
      <c r="BQ390" s="239"/>
      <c r="BR390" s="276"/>
      <c r="BS390" s="256"/>
      <c r="BT390" s="260"/>
      <c r="BU390" s="261"/>
      <c r="BV390" s="260"/>
      <c r="BW390" s="239"/>
      <c r="BX390" s="260"/>
      <c r="BY390" s="260"/>
      <c r="BZ390" s="239"/>
      <c r="CA390" s="260"/>
      <c r="CB390" s="239"/>
      <c r="CC390" s="260"/>
      <c r="CD390" s="539"/>
      <c r="CE390" s="239"/>
      <c r="CF390" s="276"/>
      <c r="CG390" s="256"/>
      <c r="CH390" s="259"/>
      <c r="CI390" s="347"/>
      <c r="CJ390" s="540"/>
      <c r="CK390" s="256"/>
      <c r="CL390" s="244">
        <v>1</v>
      </c>
      <c r="CM390" s="274">
        <f t="shared" si="6"/>
        <v>2015</v>
      </c>
      <c r="CN390" s="244">
        <f>IF('Grille de saisie'!CM390&lt;18,0,IF('Grille de saisie'!CM390&lt;40,1,IF('Grille de saisie'!CM390&lt;65,2,IF('Grille de saisie'!CM390&lt;100,3,4))))</f>
        <v>4</v>
      </c>
      <c r="CO390" s="236">
        <f>IF(AND('Grille de saisie'!C390=1,'Grille de saisie'!BZ390=0),1,IF(AND('Grille de saisie'!C390="",'Grille de saisie'!BZ390=""),3,IF(AND('Grille de saisie'!C390=5),3,2)))</f>
        <v>3</v>
      </c>
      <c r="CP390" s="236">
        <f>IF(AND('Grille de saisie'!C390=1,'Grille de saisie'!BZ390=0),1,IF(AND('Grille de saisie'!C390=1,'Grille de saisie'!BZ390=1),2,IF(AND('Grille de saisie'!C390=2,'Grille de saisie'!BZ390=0),2,IF(AND('Grille de saisie'!C390=3,'Grille de saisie'!BZ390=0),3,IF(AND('Grille de saisie'!C390=2,'Grille de saisie'!BZ390=1),3,IF(AND('Grille de saisie'!C390=1,'Grille de saisie'!BZ390=2),3,IF(AND('Grille de saisie'!C390="",'Grille de saisie'!BZ390=""),5,IF(AND('Grille de saisie'!C390=5),5,4))))))))</f>
        <v>5</v>
      </c>
      <c r="CQ390" s="237">
        <f>IF('Grille de saisie'!BZ390="",3,IF('Grille de saisie'!C390=5,3,IF('Grille de saisie'!BZ390=0,1,2)))</f>
        <v>3</v>
      </c>
    </row>
    <row r="391" spans="1:95" ht="15">
      <c r="A391" s="510">
        <v>389</v>
      </c>
      <c r="B391" s="240"/>
      <c r="C391" s="513"/>
      <c r="D391" s="240"/>
      <c r="E391" s="517"/>
      <c r="F391" s="265"/>
      <c r="G391" s="513"/>
      <c r="H391" s="265"/>
      <c r="I391" s="520"/>
      <c r="J391" s="241"/>
      <c r="K391" s="520"/>
      <c r="L391" s="241"/>
      <c r="M391" s="521"/>
      <c r="N391" s="241"/>
      <c r="O391" s="521"/>
      <c r="P391" s="241"/>
      <c r="Q391" s="520"/>
      <c r="R391" s="241"/>
      <c r="S391" s="520"/>
      <c r="T391" s="241"/>
      <c r="U391" s="520"/>
      <c r="V391" s="241"/>
      <c r="W391" s="242"/>
      <c r="X391" s="241"/>
      <c r="Y391" s="242"/>
      <c r="Z391" s="241"/>
      <c r="AA391" s="241"/>
      <c r="AB391" s="275"/>
      <c r="AC391" s="524"/>
      <c r="AD391" s="241"/>
      <c r="AE391" s="241"/>
      <c r="AF391" s="241"/>
      <c r="AG391" s="241"/>
      <c r="AH391" s="241"/>
      <c r="AI391" s="241"/>
      <c r="AJ391" s="529"/>
      <c r="AK391" s="258"/>
      <c r="AL391" s="241"/>
      <c r="AM391" s="242"/>
      <c r="AN391" s="241"/>
      <c r="AO391" s="242"/>
      <c r="AP391" s="241"/>
      <c r="AQ391" s="242"/>
      <c r="AR391" s="241"/>
      <c r="AS391" s="242"/>
      <c r="AT391" s="241"/>
      <c r="AU391" s="241"/>
      <c r="AV391" s="256"/>
      <c r="AW391" s="241"/>
      <c r="AX391" s="256"/>
      <c r="AY391" s="241"/>
      <c r="AZ391" s="256"/>
      <c r="BA391" s="239"/>
      <c r="BB391" s="242"/>
      <c r="BC391" s="239"/>
      <c r="BD391" s="242"/>
      <c r="BE391" s="239"/>
      <c r="BF391" s="241"/>
      <c r="BG391" s="239"/>
      <c r="BH391" s="241"/>
      <c r="BI391" s="260"/>
      <c r="BJ391" s="241"/>
      <c r="BK391" s="260"/>
      <c r="BL391" s="239"/>
      <c r="BM391" s="256"/>
      <c r="BN391" s="241"/>
      <c r="BO391" s="243"/>
      <c r="BP391" s="241"/>
      <c r="BQ391" s="239"/>
      <c r="BR391" s="276"/>
      <c r="BS391" s="256"/>
      <c r="BT391" s="260"/>
      <c r="BU391" s="261"/>
      <c r="BV391" s="260"/>
      <c r="BW391" s="239"/>
      <c r="BX391" s="260"/>
      <c r="BY391" s="260"/>
      <c r="BZ391" s="239"/>
      <c r="CA391" s="260"/>
      <c r="CB391" s="239"/>
      <c r="CC391" s="260"/>
      <c r="CD391" s="539"/>
      <c r="CE391" s="239"/>
      <c r="CF391" s="276"/>
      <c r="CG391" s="256"/>
      <c r="CH391" s="259"/>
      <c r="CI391" s="347"/>
      <c r="CJ391" s="540"/>
      <c r="CK391" s="256"/>
      <c r="CL391" s="244">
        <v>1</v>
      </c>
      <c r="CM391" s="274">
        <f t="shared" si="6"/>
        <v>2015</v>
      </c>
      <c r="CN391" s="244">
        <f>IF('Grille de saisie'!CM391&lt;18,0,IF('Grille de saisie'!CM391&lt;40,1,IF('Grille de saisie'!CM391&lt;65,2,IF('Grille de saisie'!CM391&lt;100,3,4))))</f>
        <v>4</v>
      </c>
      <c r="CO391" s="236">
        <f>IF(AND('Grille de saisie'!C391=1,'Grille de saisie'!BZ391=0),1,IF(AND('Grille de saisie'!C391="",'Grille de saisie'!BZ391=""),3,IF(AND('Grille de saisie'!C391=5),3,2)))</f>
        <v>3</v>
      </c>
      <c r="CP391" s="236">
        <f>IF(AND('Grille de saisie'!C391=1,'Grille de saisie'!BZ391=0),1,IF(AND('Grille de saisie'!C391=1,'Grille de saisie'!BZ391=1),2,IF(AND('Grille de saisie'!C391=2,'Grille de saisie'!BZ391=0),2,IF(AND('Grille de saisie'!C391=3,'Grille de saisie'!BZ391=0),3,IF(AND('Grille de saisie'!C391=2,'Grille de saisie'!BZ391=1),3,IF(AND('Grille de saisie'!C391=1,'Grille de saisie'!BZ391=2),3,IF(AND('Grille de saisie'!C391="",'Grille de saisie'!BZ391=""),5,IF(AND('Grille de saisie'!C391=5),5,4))))))))</f>
        <v>5</v>
      </c>
      <c r="CQ391" s="237">
        <f>IF('Grille de saisie'!BZ391="",3,IF('Grille de saisie'!C391=5,3,IF('Grille de saisie'!BZ391=0,1,2)))</f>
        <v>3</v>
      </c>
    </row>
    <row r="392" spans="1:95" ht="15">
      <c r="A392" s="510">
        <v>390</v>
      </c>
      <c r="B392" s="240"/>
      <c r="C392" s="513"/>
      <c r="D392" s="240"/>
      <c r="E392" s="517"/>
      <c r="F392" s="265"/>
      <c r="G392" s="513"/>
      <c r="H392" s="265"/>
      <c r="I392" s="520"/>
      <c r="J392" s="241"/>
      <c r="K392" s="520"/>
      <c r="L392" s="241"/>
      <c r="M392" s="521"/>
      <c r="N392" s="241"/>
      <c r="O392" s="521"/>
      <c r="P392" s="241"/>
      <c r="Q392" s="520"/>
      <c r="R392" s="241"/>
      <c r="S392" s="520"/>
      <c r="T392" s="241"/>
      <c r="U392" s="520"/>
      <c r="V392" s="241"/>
      <c r="W392" s="242"/>
      <c r="X392" s="241"/>
      <c r="Y392" s="242"/>
      <c r="Z392" s="241"/>
      <c r="AA392" s="241"/>
      <c r="AB392" s="275"/>
      <c r="AC392" s="524"/>
      <c r="AD392" s="241"/>
      <c r="AE392" s="241"/>
      <c r="AF392" s="241"/>
      <c r="AG392" s="241"/>
      <c r="AH392" s="241"/>
      <c r="AI392" s="241"/>
      <c r="AJ392" s="529"/>
      <c r="AK392" s="258"/>
      <c r="AL392" s="241"/>
      <c r="AM392" s="242"/>
      <c r="AN392" s="241"/>
      <c r="AO392" s="242"/>
      <c r="AP392" s="241"/>
      <c r="AQ392" s="242"/>
      <c r="AR392" s="241"/>
      <c r="AS392" s="242"/>
      <c r="AT392" s="241"/>
      <c r="AU392" s="241"/>
      <c r="AV392" s="256"/>
      <c r="AW392" s="241"/>
      <c r="AX392" s="256"/>
      <c r="AY392" s="241"/>
      <c r="AZ392" s="256"/>
      <c r="BA392" s="239"/>
      <c r="BB392" s="242"/>
      <c r="BC392" s="239"/>
      <c r="BD392" s="242"/>
      <c r="BE392" s="239"/>
      <c r="BF392" s="241"/>
      <c r="BG392" s="239"/>
      <c r="BH392" s="241"/>
      <c r="BI392" s="260"/>
      <c r="BJ392" s="241"/>
      <c r="BK392" s="260"/>
      <c r="BL392" s="239"/>
      <c r="BM392" s="256"/>
      <c r="BN392" s="241"/>
      <c r="BO392" s="243"/>
      <c r="BP392" s="241"/>
      <c r="BQ392" s="239"/>
      <c r="BR392" s="276"/>
      <c r="BS392" s="256"/>
      <c r="BT392" s="260"/>
      <c r="BU392" s="261"/>
      <c r="BV392" s="260"/>
      <c r="BW392" s="239"/>
      <c r="BX392" s="260"/>
      <c r="BY392" s="260"/>
      <c r="BZ392" s="239"/>
      <c r="CA392" s="260"/>
      <c r="CB392" s="239"/>
      <c r="CC392" s="260"/>
      <c r="CD392" s="539"/>
      <c r="CE392" s="239"/>
      <c r="CF392" s="276"/>
      <c r="CG392" s="256"/>
      <c r="CH392" s="259"/>
      <c r="CI392" s="347"/>
      <c r="CJ392" s="540"/>
      <c r="CK392" s="256"/>
      <c r="CL392" s="244">
        <v>1</v>
      </c>
      <c r="CM392" s="274">
        <f t="shared" si="6"/>
        <v>2015</v>
      </c>
      <c r="CN392" s="244">
        <f>IF('Grille de saisie'!CM392&lt;18,0,IF('Grille de saisie'!CM392&lt;40,1,IF('Grille de saisie'!CM392&lt;65,2,IF('Grille de saisie'!CM392&lt;100,3,4))))</f>
        <v>4</v>
      </c>
      <c r="CO392" s="236">
        <f>IF(AND('Grille de saisie'!C392=1,'Grille de saisie'!BZ392=0),1,IF(AND('Grille de saisie'!C392="",'Grille de saisie'!BZ392=""),3,IF(AND('Grille de saisie'!C392=5),3,2)))</f>
        <v>3</v>
      </c>
      <c r="CP392" s="236">
        <f>IF(AND('Grille de saisie'!C392=1,'Grille de saisie'!BZ392=0),1,IF(AND('Grille de saisie'!C392=1,'Grille de saisie'!BZ392=1),2,IF(AND('Grille de saisie'!C392=2,'Grille de saisie'!BZ392=0),2,IF(AND('Grille de saisie'!C392=3,'Grille de saisie'!BZ392=0),3,IF(AND('Grille de saisie'!C392=2,'Grille de saisie'!BZ392=1),3,IF(AND('Grille de saisie'!C392=1,'Grille de saisie'!BZ392=2),3,IF(AND('Grille de saisie'!C392="",'Grille de saisie'!BZ392=""),5,IF(AND('Grille de saisie'!C392=5),5,4))))))))</f>
        <v>5</v>
      </c>
      <c r="CQ392" s="237">
        <f>IF('Grille de saisie'!BZ392="",3,IF('Grille de saisie'!C392=5,3,IF('Grille de saisie'!BZ392=0,1,2)))</f>
        <v>3</v>
      </c>
    </row>
    <row r="393" spans="1:95" ht="15">
      <c r="A393" s="511">
        <v>391</v>
      </c>
      <c r="B393" s="240"/>
      <c r="C393" s="513"/>
      <c r="D393" s="240"/>
      <c r="E393" s="517"/>
      <c r="F393" s="265"/>
      <c r="G393" s="513"/>
      <c r="H393" s="265"/>
      <c r="I393" s="520"/>
      <c r="J393" s="241"/>
      <c r="K393" s="520"/>
      <c r="L393" s="241"/>
      <c r="M393" s="521"/>
      <c r="N393" s="241"/>
      <c r="O393" s="521"/>
      <c r="P393" s="241"/>
      <c r="Q393" s="520"/>
      <c r="R393" s="241"/>
      <c r="S393" s="520"/>
      <c r="T393" s="241"/>
      <c r="U393" s="520"/>
      <c r="V393" s="241"/>
      <c r="W393" s="242"/>
      <c r="X393" s="241"/>
      <c r="Y393" s="242"/>
      <c r="Z393" s="241"/>
      <c r="AA393" s="241"/>
      <c r="AB393" s="275"/>
      <c r="AC393" s="524"/>
      <c r="AD393" s="241"/>
      <c r="AE393" s="241"/>
      <c r="AF393" s="241"/>
      <c r="AG393" s="241"/>
      <c r="AH393" s="241"/>
      <c r="AI393" s="241"/>
      <c r="AJ393" s="529"/>
      <c r="AK393" s="258"/>
      <c r="AL393" s="241"/>
      <c r="AM393" s="242"/>
      <c r="AN393" s="241"/>
      <c r="AO393" s="242"/>
      <c r="AP393" s="241"/>
      <c r="AQ393" s="242"/>
      <c r="AR393" s="241"/>
      <c r="AS393" s="242"/>
      <c r="AT393" s="241"/>
      <c r="AU393" s="241"/>
      <c r="AV393" s="256"/>
      <c r="AW393" s="241"/>
      <c r="AX393" s="256"/>
      <c r="AY393" s="241"/>
      <c r="AZ393" s="256"/>
      <c r="BA393" s="239"/>
      <c r="BB393" s="242"/>
      <c r="BC393" s="239"/>
      <c r="BD393" s="242"/>
      <c r="BE393" s="239"/>
      <c r="BF393" s="241"/>
      <c r="BG393" s="239"/>
      <c r="BH393" s="241"/>
      <c r="BI393" s="260"/>
      <c r="BJ393" s="241"/>
      <c r="BK393" s="260"/>
      <c r="BL393" s="239"/>
      <c r="BM393" s="256"/>
      <c r="BN393" s="241"/>
      <c r="BO393" s="243"/>
      <c r="BP393" s="241"/>
      <c r="BQ393" s="239"/>
      <c r="BR393" s="276"/>
      <c r="BS393" s="256"/>
      <c r="BT393" s="260"/>
      <c r="BU393" s="261"/>
      <c r="BV393" s="260"/>
      <c r="BW393" s="239"/>
      <c r="BX393" s="260"/>
      <c r="BY393" s="260"/>
      <c r="BZ393" s="239"/>
      <c r="CA393" s="260"/>
      <c r="CB393" s="239"/>
      <c r="CC393" s="260"/>
      <c r="CD393" s="539"/>
      <c r="CE393" s="239"/>
      <c r="CF393" s="276"/>
      <c r="CG393" s="256"/>
      <c r="CH393" s="259"/>
      <c r="CI393" s="347"/>
      <c r="CJ393" s="540"/>
      <c r="CK393" s="256"/>
      <c r="CL393" s="244">
        <v>1</v>
      </c>
      <c r="CM393" s="274">
        <f t="shared" si="6"/>
        <v>2015</v>
      </c>
      <c r="CN393" s="244">
        <f>IF('Grille de saisie'!CM393&lt;18,0,IF('Grille de saisie'!CM393&lt;40,1,IF('Grille de saisie'!CM393&lt;65,2,IF('Grille de saisie'!CM393&lt;100,3,4))))</f>
        <v>4</v>
      </c>
      <c r="CO393" s="236">
        <f>IF(AND('Grille de saisie'!C393=1,'Grille de saisie'!BZ393=0),1,IF(AND('Grille de saisie'!C393="",'Grille de saisie'!BZ393=""),3,IF(AND('Grille de saisie'!C393=5),3,2)))</f>
        <v>3</v>
      </c>
      <c r="CP393" s="236">
        <f>IF(AND('Grille de saisie'!C393=1,'Grille de saisie'!BZ393=0),1,IF(AND('Grille de saisie'!C393=1,'Grille de saisie'!BZ393=1),2,IF(AND('Grille de saisie'!C393=2,'Grille de saisie'!BZ393=0),2,IF(AND('Grille de saisie'!C393=3,'Grille de saisie'!BZ393=0),3,IF(AND('Grille de saisie'!C393=2,'Grille de saisie'!BZ393=1),3,IF(AND('Grille de saisie'!C393=1,'Grille de saisie'!BZ393=2),3,IF(AND('Grille de saisie'!C393="",'Grille de saisie'!BZ393=""),5,IF(AND('Grille de saisie'!C393=5),5,4))))))))</f>
        <v>5</v>
      </c>
      <c r="CQ393" s="237">
        <f>IF('Grille de saisie'!BZ393="",3,IF('Grille de saisie'!C393=5,3,IF('Grille de saisie'!BZ393=0,1,2)))</f>
        <v>3</v>
      </c>
    </row>
    <row r="394" spans="1:95" ht="15">
      <c r="A394" s="510">
        <v>392</v>
      </c>
      <c r="B394" s="240"/>
      <c r="C394" s="513"/>
      <c r="D394" s="240"/>
      <c r="E394" s="517"/>
      <c r="F394" s="265"/>
      <c r="G394" s="513"/>
      <c r="H394" s="265"/>
      <c r="I394" s="520"/>
      <c r="J394" s="241"/>
      <c r="K394" s="520"/>
      <c r="L394" s="241"/>
      <c r="M394" s="521"/>
      <c r="N394" s="241"/>
      <c r="O394" s="521"/>
      <c r="P394" s="241"/>
      <c r="Q394" s="520"/>
      <c r="R394" s="241"/>
      <c r="S394" s="520"/>
      <c r="T394" s="241"/>
      <c r="U394" s="520"/>
      <c r="V394" s="241"/>
      <c r="W394" s="242"/>
      <c r="X394" s="241"/>
      <c r="Y394" s="242"/>
      <c r="Z394" s="241"/>
      <c r="AA394" s="241"/>
      <c r="AB394" s="275"/>
      <c r="AC394" s="524"/>
      <c r="AD394" s="241"/>
      <c r="AE394" s="241"/>
      <c r="AF394" s="241"/>
      <c r="AG394" s="241"/>
      <c r="AH394" s="241"/>
      <c r="AI394" s="241"/>
      <c r="AJ394" s="529"/>
      <c r="AK394" s="258"/>
      <c r="AL394" s="241"/>
      <c r="AM394" s="242"/>
      <c r="AN394" s="241"/>
      <c r="AO394" s="242"/>
      <c r="AP394" s="241"/>
      <c r="AQ394" s="242"/>
      <c r="AR394" s="241"/>
      <c r="AS394" s="242"/>
      <c r="AT394" s="241"/>
      <c r="AU394" s="241"/>
      <c r="AV394" s="256"/>
      <c r="AW394" s="241"/>
      <c r="AX394" s="256"/>
      <c r="AY394" s="241"/>
      <c r="AZ394" s="256"/>
      <c r="BA394" s="239"/>
      <c r="BB394" s="242"/>
      <c r="BC394" s="239"/>
      <c r="BD394" s="242"/>
      <c r="BE394" s="239"/>
      <c r="BF394" s="241"/>
      <c r="BG394" s="239"/>
      <c r="BH394" s="241"/>
      <c r="BI394" s="260"/>
      <c r="BJ394" s="241"/>
      <c r="BK394" s="260"/>
      <c r="BL394" s="239"/>
      <c r="BM394" s="256"/>
      <c r="BN394" s="241"/>
      <c r="BO394" s="243"/>
      <c r="BP394" s="241"/>
      <c r="BQ394" s="239"/>
      <c r="BR394" s="276"/>
      <c r="BS394" s="256"/>
      <c r="BT394" s="260"/>
      <c r="BU394" s="261"/>
      <c r="BV394" s="260"/>
      <c r="BW394" s="239"/>
      <c r="BX394" s="260"/>
      <c r="BY394" s="260"/>
      <c r="BZ394" s="239"/>
      <c r="CA394" s="260"/>
      <c r="CB394" s="239"/>
      <c r="CC394" s="260"/>
      <c r="CD394" s="539"/>
      <c r="CE394" s="239"/>
      <c r="CF394" s="276"/>
      <c r="CG394" s="256"/>
      <c r="CH394" s="259"/>
      <c r="CI394" s="347"/>
      <c r="CJ394" s="540"/>
      <c r="CK394" s="256"/>
      <c r="CL394" s="244">
        <v>1</v>
      </c>
      <c r="CM394" s="274">
        <f t="shared" si="6"/>
        <v>2015</v>
      </c>
      <c r="CN394" s="244">
        <f>IF('Grille de saisie'!CM394&lt;18,0,IF('Grille de saisie'!CM394&lt;40,1,IF('Grille de saisie'!CM394&lt;65,2,IF('Grille de saisie'!CM394&lt;100,3,4))))</f>
        <v>4</v>
      </c>
      <c r="CO394" s="236">
        <f>IF(AND('Grille de saisie'!C394=1,'Grille de saisie'!BZ394=0),1,IF(AND('Grille de saisie'!C394="",'Grille de saisie'!BZ394=""),3,IF(AND('Grille de saisie'!C394=5),3,2)))</f>
        <v>3</v>
      </c>
      <c r="CP394" s="236">
        <f>IF(AND('Grille de saisie'!C394=1,'Grille de saisie'!BZ394=0),1,IF(AND('Grille de saisie'!C394=1,'Grille de saisie'!BZ394=1),2,IF(AND('Grille de saisie'!C394=2,'Grille de saisie'!BZ394=0),2,IF(AND('Grille de saisie'!C394=3,'Grille de saisie'!BZ394=0),3,IF(AND('Grille de saisie'!C394=2,'Grille de saisie'!BZ394=1),3,IF(AND('Grille de saisie'!C394=1,'Grille de saisie'!BZ394=2),3,IF(AND('Grille de saisie'!C394="",'Grille de saisie'!BZ394=""),5,IF(AND('Grille de saisie'!C394=5),5,4))))))))</f>
        <v>5</v>
      </c>
      <c r="CQ394" s="237">
        <f>IF('Grille de saisie'!BZ394="",3,IF('Grille de saisie'!C394=5,3,IF('Grille de saisie'!BZ394=0,1,2)))</f>
        <v>3</v>
      </c>
    </row>
    <row r="395" spans="1:95" ht="15">
      <c r="A395" s="510">
        <v>393</v>
      </c>
      <c r="B395" s="240"/>
      <c r="C395" s="513"/>
      <c r="D395" s="240"/>
      <c r="E395" s="517"/>
      <c r="F395" s="265"/>
      <c r="G395" s="513"/>
      <c r="H395" s="265"/>
      <c r="I395" s="520"/>
      <c r="J395" s="241"/>
      <c r="K395" s="520"/>
      <c r="L395" s="241"/>
      <c r="M395" s="521"/>
      <c r="N395" s="241"/>
      <c r="O395" s="521"/>
      <c r="P395" s="241"/>
      <c r="Q395" s="520"/>
      <c r="R395" s="241"/>
      <c r="S395" s="520"/>
      <c r="T395" s="241"/>
      <c r="U395" s="520"/>
      <c r="V395" s="241"/>
      <c r="W395" s="242"/>
      <c r="X395" s="241"/>
      <c r="Y395" s="242"/>
      <c r="Z395" s="241"/>
      <c r="AA395" s="241"/>
      <c r="AB395" s="275"/>
      <c r="AC395" s="524"/>
      <c r="AD395" s="241"/>
      <c r="AE395" s="241"/>
      <c r="AF395" s="241"/>
      <c r="AG395" s="241"/>
      <c r="AH395" s="241"/>
      <c r="AI395" s="241"/>
      <c r="AJ395" s="529"/>
      <c r="AK395" s="258"/>
      <c r="AL395" s="241"/>
      <c r="AM395" s="242"/>
      <c r="AN395" s="241"/>
      <c r="AO395" s="242"/>
      <c r="AP395" s="241"/>
      <c r="AQ395" s="242"/>
      <c r="AR395" s="241"/>
      <c r="AS395" s="242"/>
      <c r="AT395" s="241"/>
      <c r="AU395" s="241"/>
      <c r="AV395" s="256"/>
      <c r="AW395" s="241"/>
      <c r="AX395" s="256"/>
      <c r="AY395" s="241"/>
      <c r="AZ395" s="256"/>
      <c r="BA395" s="239"/>
      <c r="BB395" s="242"/>
      <c r="BC395" s="239"/>
      <c r="BD395" s="242"/>
      <c r="BE395" s="239"/>
      <c r="BF395" s="241"/>
      <c r="BG395" s="239"/>
      <c r="BH395" s="241"/>
      <c r="BI395" s="260"/>
      <c r="BJ395" s="241"/>
      <c r="BK395" s="260"/>
      <c r="BL395" s="239"/>
      <c r="BM395" s="256"/>
      <c r="BN395" s="241"/>
      <c r="BO395" s="243"/>
      <c r="BP395" s="241"/>
      <c r="BQ395" s="239"/>
      <c r="BR395" s="276"/>
      <c r="BS395" s="256"/>
      <c r="BT395" s="260"/>
      <c r="BU395" s="261"/>
      <c r="BV395" s="260"/>
      <c r="BW395" s="239"/>
      <c r="BX395" s="260"/>
      <c r="BY395" s="260"/>
      <c r="BZ395" s="239"/>
      <c r="CA395" s="260"/>
      <c r="CB395" s="239"/>
      <c r="CC395" s="260"/>
      <c r="CD395" s="539"/>
      <c r="CE395" s="239"/>
      <c r="CF395" s="276"/>
      <c r="CG395" s="256"/>
      <c r="CH395" s="259"/>
      <c r="CI395" s="347"/>
      <c r="CJ395" s="540"/>
      <c r="CK395" s="256"/>
      <c r="CL395" s="244">
        <v>1</v>
      </c>
      <c r="CM395" s="274">
        <f t="shared" si="6"/>
        <v>2015</v>
      </c>
      <c r="CN395" s="244">
        <f>IF('Grille de saisie'!CM395&lt;18,0,IF('Grille de saisie'!CM395&lt;40,1,IF('Grille de saisie'!CM395&lt;65,2,IF('Grille de saisie'!CM395&lt;100,3,4))))</f>
        <v>4</v>
      </c>
      <c r="CO395" s="236">
        <f>IF(AND('Grille de saisie'!C395=1,'Grille de saisie'!BZ395=0),1,IF(AND('Grille de saisie'!C395="",'Grille de saisie'!BZ395=""),3,IF(AND('Grille de saisie'!C395=5),3,2)))</f>
        <v>3</v>
      </c>
      <c r="CP395" s="236">
        <f>IF(AND('Grille de saisie'!C395=1,'Grille de saisie'!BZ395=0),1,IF(AND('Grille de saisie'!C395=1,'Grille de saisie'!BZ395=1),2,IF(AND('Grille de saisie'!C395=2,'Grille de saisie'!BZ395=0),2,IF(AND('Grille de saisie'!C395=3,'Grille de saisie'!BZ395=0),3,IF(AND('Grille de saisie'!C395=2,'Grille de saisie'!BZ395=1),3,IF(AND('Grille de saisie'!C395=1,'Grille de saisie'!BZ395=2),3,IF(AND('Grille de saisie'!C395="",'Grille de saisie'!BZ395=""),5,IF(AND('Grille de saisie'!C395=5),5,4))))))))</f>
        <v>5</v>
      </c>
      <c r="CQ395" s="237">
        <f>IF('Grille de saisie'!BZ395="",3,IF('Grille de saisie'!C395=5,3,IF('Grille de saisie'!BZ395=0,1,2)))</f>
        <v>3</v>
      </c>
    </row>
    <row r="396" spans="1:95" ht="15">
      <c r="A396" s="511">
        <v>394</v>
      </c>
      <c r="B396" s="240"/>
      <c r="C396" s="513"/>
      <c r="D396" s="240"/>
      <c r="E396" s="517"/>
      <c r="F396" s="265"/>
      <c r="G396" s="513"/>
      <c r="H396" s="265"/>
      <c r="I396" s="520"/>
      <c r="J396" s="241"/>
      <c r="K396" s="520"/>
      <c r="L396" s="241"/>
      <c r="M396" s="521"/>
      <c r="N396" s="241"/>
      <c r="O396" s="521"/>
      <c r="P396" s="241"/>
      <c r="Q396" s="520"/>
      <c r="R396" s="241"/>
      <c r="S396" s="520"/>
      <c r="T396" s="241"/>
      <c r="U396" s="520"/>
      <c r="V396" s="241"/>
      <c r="W396" s="242"/>
      <c r="X396" s="241"/>
      <c r="Y396" s="242"/>
      <c r="Z396" s="241"/>
      <c r="AA396" s="241"/>
      <c r="AB396" s="275"/>
      <c r="AC396" s="524"/>
      <c r="AD396" s="241"/>
      <c r="AE396" s="241"/>
      <c r="AF396" s="241"/>
      <c r="AG396" s="241"/>
      <c r="AH396" s="241"/>
      <c r="AI396" s="241"/>
      <c r="AJ396" s="529"/>
      <c r="AK396" s="258"/>
      <c r="AL396" s="241"/>
      <c r="AM396" s="242"/>
      <c r="AN396" s="241"/>
      <c r="AO396" s="242"/>
      <c r="AP396" s="241"/>
      <c r="AQ396" s="242"/>
      <c r="AR396" s="241"/>
      <c r="AS396" s="242"/>
      <c r="AT396" s="241"/>
      <c r="AU396" s="241"/>
      <c r="AV396" s="256"/>
      <c r="AW396" s="241"/>
      <c r="AX396" s="256"/>
      <c r="AY396" s="241"/>
      <c r="AZ396" s="256"/>
      <c r="BA396" s="239"/>
      <c r="BB396" s="242"/>
      <c r="BC396" s="239"/>
      <c r="BD396" s="242"/>
      <c r="BE396" s="239"/>
      <c r="BF396" s="241"/>
      <c r="BG396" s="239"/>
      <c r="BH396" s="241"/>
      <c r="BI396" s="260"/>
      <c r="BJ396" s="241"/>
      <c r="BK396" s="260"/>
      <c r="BL396" s="239"/>
      <c r="BM396" s="256"/>
      <c r="BN396" s="241"/>
      <c r="BO396" s="243"/>
      <c r="BP396" s="241"/>
      <c r="BQ396" s="239"/>
      <c r="BR396" s="276"/>
      <c r="BS396" s="256"/>
      <c r="BT396" s="260"/>
      <c r="BU396" s="261"/>
      <c r="BV396" s="260"/>
      <c r="BW396" s="239"/>
      <c r="BX396" s="260"/>
      <c r="BY396" s="260"/>
      <c r="BZ396" s="239"/>
      <c r="CA396" s="260"/>
      <c r="CB396" s="239"/>
      <c r="CC396" s="260"/>
      <c r="CD396" s="539"/>
      <c r="CE396" s="239"/>
      <c r="CF396" s="276"/>
      <c r="CG396" s="256"/>
      <c r="CH396" s="259"/>
      <c r="CI396" s="347"/>
      <c r="CJ396" s="540"/>
      <c r="CK396" s="256"/>
      <c r="CL396" s="244">
        <v>1</v>
      </c>
      <c r="CM396" s="274">
        <f t="shared" si="6"/>
        <v>2015</v>
      </c>
      <c r="CN396" s="244">
        <f>IF('Grille de saisie'!CM396&lt;18,0,IF('Grille de saisie'!CM396&lt;40,1,IF('Grille de saisie'!CM396&lt;65,2,IF('Grille de saisie'!CM396&lt;100,3,4))))</f>
        <v>4</v>
      </c>
      <c r="CO396" s="236">
        <f>IF(AND('Grille de saisie'!C396=1,'Grille de saisie'!BZ396=0),1,IF(AND('Grille de saisie'!C396="",'Grille de saisie'!BZ396=""),3,IF(AND('Grille de saisie'!C396=5),3,2)))</f>
        <v>3</v>
      </c>
      <c r="CP396" s="236">
        <f>IF(AND('Grille de saisie'!C396=1,'Grille de saisie'!BZ396=0),1,IF(AND('Grille de saisie'!C396=1,'Grille de saisie'!BZ396=1),2,IF(AND('Grille de saisie'!C396=2,'Grille de saisie'!BZ396=0),2,IF(AND('Grille de saisie'!C396=3,'Grille de saisie'!BZ396=0),3,IF(AND('Grille de saisie'!C396=2,'Grille de saisie'!BZ396=1),3,IF(AND('Grille de saisie'!C396=1,'Grille de saisie'!BZ396=2),3,IF(AND('Grille de saisie'!C396="",'Grille de saisie'!BZ396=""),5,IF(AND('Grille de saisie'!C396=5),5,4))))))))</f>
        <v>5</v>
      </c>
      <c r="CQ396" s="237">
        <f>IF('Grille de saisie'!BZ396="",3,IF('Grille de saisie'!C396=5,3,IF('Grille de saisie'!BZ396=0,1,2)))</f>
        <v>3</v>
      </c>
    </row>
    <row r="397" spans="1:95" ht="15">
      <c r="A397" s="510">
        <v>395</v>
      </c>
      <c r="B397" s="240"/>
      <c r="C397" s="513"/>
      <c r="D397" s="240"/>
      <c r="E397" s="517"/>
      <c r="F397" s="265"/>
      <c r="G397" s="513"/>
      <c r="H397" s="265"/>
      <c r="I397" s="520"/>
      <c r="J397" s="241"/>
      <c r="K397" s="520"/>
      <c r="L397" s="241"/>
      <c r="M397" s="521"/>
      <c r="N397" s="241"/>
      <c r="O397" s="521"/>
      <c r="P397" s="241"/>
      <c r="Q397" s="520"/>
      <c r="R397" s="241"/>
      <c r="S397" s="520"/>
      <c r="T397" s="241"/>
      <c r="U397" s="520"/>
      <c r="V397" s="241"/>
      <c r="W397" s="242"/>
      <c r="X397" s="241"/>
      <c r="Y397" s="242"/>
      <c r="Z397" s="241"/>
      <c r="AA397" s="241"/>
      <c r="AB397" s="275"/>
      <c r="AC397" s="524"/>
      <c r="AD397" s="241"/>
      <c r="AE397" s="241"/>
      <c r="AF397" s="241"/>
      <c r="AG397" s="241"/>
      <c r="AH397" s="241"/>
      <c r="AI397" s="241"/>
      <c r="AJ397" s="529"/>
      <c r="AK397" s="258"/>
      <c r="AL397" s="241"/>
      <c r="AM397" s="242"/>
      <c r="AN397" s="241"/>
      <c r="AO397" s="242"/>
      <c r="AP397" s="241"/>
      <c r="AQ397" s="242"/>
      <c r="AR397" s="241"/>
      <c r="AS397" s="242"/>
      <c r="AT397" s="241"/>
      <c r="AU397" s="241"/>
      <c r="AV397" s="256"/>
      <c r="AW397" s="241"/>
      <c r="AX397" s="256"/>
      <c r="AY397" s="241"/>
      <c r="AZ397" s="256"/>
      <c r="BA397" s="239"/>
      <c r="BB397" s="242"/>
      <c r="BC397" s="239"/>
      <c r="BD397" s="242"/>
      <c r="BE397" s="239"/>
      <c r="BF397" s="241"/>
      <c r="BG397" s="239"/>
      <c r="BH397" s="241"/>
      <c r="BI397" s="260"/>
      <c r="BJ397" s="241"/>
      <c r="BK397" s="260"/>
      <c r="BL397" s="239"/>
      <c r="BM397" s="256"/>
      <c r="BN397" s="241"/>
      <c r="BO397" s="243"/>
      <c r="BP397" s="241"/>
      <c r="BQ397" s="239"/>
      <c r="BR397" s="276"/>
      <c r="BS397" s="256"/>
      <c r="BT397" s="260"/>
      <c r="BU397" s="261"/>
      <c r="BV397" s="260"/>
      <c r="BW397" s="239"/>
      <c r="BX397" s="260"/>
      <c r="BY397" s="260"/>
      <c r="BZ397" s="239"/>
      <c r="CA397" s="260"/>
      <c r="CB397" s="239"/>
      <c r="CC397" s="260"/>
      <c r="CD397" s="539"/>
      <c r="CE397" s="239"/>
      <c r="CF397" s="276"/>
      <c r="CG397" s="256"/>
      <c r="CH397" s="259"/>
      <c r="CI397" s="347"/>
      <c r="CJ397" s="540"/>
      <c r="CK397" s="256"/>
      <c r="CL397" s="244">
        <v>1</v>
      </c>
      <c r="CM397" s="274">
        <f t="shared" si="6"/>
        <v>2015</v>
      </c>
      <c r="CN397" s="244">
        <f>IF('Grille de saisie'!CM397&lt;18,0,IF('Grille de saisie'!CM397&lt;40,1,IF('Grille de saisie'!CM397&lt;65,2,IF('Grille de saisie'!CM397&lt;100,3,4))))</f>
        <v>4</v>
      </c>
      <c r="CO397" s="236">
        <f>IF(AND('Grille de saisie'!C397=1,'Grille de saisie'!BZ397=0),1,IF(AND('Grille de saisie'!C397="",'Grille de saisie'!BZ397=""),3,IF(AND('Grille de saisie'!C397=5),3,2)))</f>
        <v>3</v>
      </c>
      <c r="CP397" s="236">
        <f>IF(AND('Grille de saisie'!C397=1,'Grille de saisie'!BZ397=0),1,IF(AND('Grille de saisie'!C397=1,'Grille de saisie'!BZ397=1),2,IF(AND('Grille de saisie'!C397=2,'Grille de saisie'!BZ397=0),2,IF(AND('Grille de saisie'!C397=3,'Grille de saisie'!BZ397=0),3,IF(AND('Grille de saisie'!C397=2,'Grille de saisie'!BZ397=1),3,IF(AND('Grille de saisie'!C397=1,'Grille de saisie'!BZ397=2),3,IF(AND('Grille de saisie'!C397="",'Grille de saisie'!BZ397=""),5,IF(AND('Grille de saisie'!C397=5),5,4))))))))</f>
        <v>5</v>
      </c>
      <c r="CQ397" s="237">
        <f>IF('Grille de saisie'!BZ397="",3,IF('Grille de saisie'!C397=5,3,IF('Grille de saisie'!BZ397=0,1,2)))</f>
        <v>3</v>
      </c>
    </row>
    <row r="398" spans="1:95" ht="15">
      <c r="A398" s="510">
        <v>396</v>
      </c>
      <c r="B398" s="240"/>
      <c r="C398" s="513"/>
      <c r="D398" s="240"/>
      <c r="E398" s="517"/>
      <c r="F398" s="265"/>
      <c r="G398" s="513"/>
      <c r="H398" s="265"/>
      <c r="I398" s="520"/>
      <c r="J398" s="241"/>
      <c r="K398" s="520"/>
      <c r="L398" s="241"/>
      <c r="M398" s="521"/>
      <c r="N398" s="241"/>
      <c r="O398" s="521"/>
      <c r="P398" s="241"/>
      <c r="Q398" s="520"/>
      <c r="R398" s="241"/>
      <c r="S398" s="520"/>
      <c r="T398" s="241"/>
      <c r="U398" s="520"/>
      <c r="V398" s="241"/>
      <c r="W398" s="242"/>
      <c r="X398" s="241"/>
      <c r="Y398" s="242"/>
      <c r="Z398" s="241"/>
      <c r="AA398" s="241"/>
      <c r="AB398" s="275"/>
      <c r="AC398" s="524"/>
      <c r="AD398" s="241"/>
      <c r="AE398" s="241"/>
      <c r="AF398" s="241"/>
      <c r="AG398" s="241"/>
      <c r="AH398" s="241"/>
      <c r="AI398" s="241"/>
      <c r="AJ398" s="529"/>
      <c r="AK398" s="258"/>
      <c r="AL398" s="241"/>
      <c r="AM398" s="242"/>
      <c r="AN398" s="241"/>
      <c r="AO398" s="242"/>
      <c r="AP398" s="241"/>
      <c r="AQ398" s="242"/>
      <c r="AR398" s="241"/>
      <c r="AS398" s="242"/>
      <c r="AT398" s="241"/>
      <c r="AU398" s="241"/>
      <c r="AV398" s="256"/>
      <c r="AW398" s="241"/>
      <c r="AX398" s="256"/>
      <c r="AY398" s="241"/>
      <c r="AZ398" s="256"/>
      <c r="BA398" s="239"/>
      <c r="BB398" s="242"/>
      <c r="BC398" s="239"/>
      <c r="BD398" s="242"/>
      <c r="BE398" s="239"/>
      <c r="BF398" s="241"/>
      <c r="BG398" s="239"/>
      <c r="BH398" s="241"/>
      <c r="BI398" s="260"/>
      <c r="BJ398" s="241"/>
      <c r="BK398" s="260"/>
      <c r="BL398" s="239"/>
      <c r="BM398" s="256"/>
      <c r="BN398" s="241"/>
      <c r="BO398" s="243"/>
      <c r="BP398" s="241"/>
      <c r="BQ398" s="239"/>
      <c r="BR398" s="276"/>
      <c r="BS398" s="256"/>
      <c r="BT398" s="260"/>
      <c r="BU398" s="261"/>
      <c r="BV398" s="260"/>
      <c r="BW398" s="239"/>
      <c r="BX398" s="260"/>
      <c r="BY398" s="260"/>
      <c r="BZ398" s="239"/>
      <c r="CA398" s="260"/>
      <c r="CB398" s="239"/>
      <c r="CC398" s="260"/>
      <c r="CD398" s="539"/>
      <c r="CE398" s="239"/>
      <c r="CF398" s="276"/>
      <c r="CG398" s="256"/>
      <c r="CH398" s="259"/>
      <c r="CI398" s="347"/>
      <c r="CJ398" s="540"/>
      <c r="CK398" s="256"/>
      <c r="CL398" s="244">
        <v>1</v>
      </c>
      <c r="CM398" s="274">
        <f t="shared" si="6"/>
        <v>2015</v>
      </c>
      <c r="CN398" s="244">
        <f>IF('Grille de saisie'!CM398&lt;18,0,IF('Grille de saisie'!CM398&lt;40,1,IF('Grille de saisie'!CM398&lt;65,2,IF('Grille de saisie'!CM398&lt;100,3,4))))</f>
        <v>4</v>
      </c>
      <c r="CO398" s="236">
        <f>IF(AND('Grille de saisie'!C398=1,'Grille de saisie'!BZ398=0),1,IF(AND('Grille de saisie'!C398="",'Grille de saisie'!BZ398=""),3,IF(AND('Grille de saisie'!C398=5),3,2)))</f>
        <v>3</v>
      </c>
      <c r="CP398" s="236">
        <f>IF(AND('Grille de saisie'!C398=1,'Grille de saisie'!BZ398=0),1,IF(AND('Grille de saisie'!C398=1,'Grille de saisie'!BZ398=1),2,IF(AND('Grille de saisie'!C398=2,'Grille de saisie'!BZ398=0),2,IF(AND('Grille de saisie'!C398=3,'Grille de saisie'!BZ398=0),3,IF(AND('Grille de saisie'!C398=2,'Grille de saisie'!BZ398=1),3,IF(AND('Grille de saisie'!C398=1,'Grille de saisie'!BZ398=2),3,IF(AND('Grille de saisie'!C398="",'Grille de saisie'!BZ398=""),5,IF(AND('Grille de saisie'!C398=5),5,4))))))))</f>
        <v>5</v>
      </c>
      <c r="CQ398" s="237">
        <f>IF('Grille de saisie'!BZ398="",3,IF('Grille de saisie'!C398=5,3,IF('Grille de saisie'!BZ398=0,1,2)))</f>
        <v>3</v>
      </c>
    </row>
    <row r="399" spans="1:95" ht="15">
      <c r="A399" s="511">
        <v>397</v>
      </c>
      <c r="B399" s="240"/>
      <c r="C399" s="513"/>
      <c r="D399" s="240"/>
      <c r="E399" s="517"/>
      <c r="F399" s="265"/>
      <c r="G399" s="513"/>
      <c r="H399" s="265"/>
      <c r="I399" s="520"/>
      <c r="J399" s="241"/>
      <c r="K399" s="520"/>
      <c r="L399" s="241"/>
      <c r="M399" s="521"/>
      <c r="N399" s="241"/>
      <c r="O399" s="521"/>
      <c r="P399" s="241"/>
      <c r="Q399" s="520"/>
      <c r="R399" s="241"/>
      <c r="S399" s="520"/>
      <c r="T399" s="241"/>
      <c r="U399" s="520"/>
      <c r="V399" s="241"/>
      <c r="W399" s="242"/>
      <c r="X399" s="241"/>
      <c r="Y399" s="242"/>
      <c r="Z399" s="241"/>
      <c r="AA399" s="241"/>
      <c r="AB399" s="275"/>
      <c r="AC399" s="524"/>
      <c r="AD399" s="241"/>
      <c r="AE399" s="241"/>
      <c r="AF399" s="241"/>
      <c r="AG399" s="241"/>
      <c r="AH399" s="241"/>
      <c r="AI399" s="241"/>
      <c r="AJ399" s="529"/>
      <c r="AK399" s="258"/>
      <c r="AL399" s="241"/>
      <c r="AM399" s="242"/>
      <c r="AN399" s="241"/>
      <c r="AO399" s="242"/>
      <c r="AP399" s="241"/>
      <c r="AQ399" s="242"/>
      <c r="AR399" s="241"/>
      <c r="AS399" s="242"/>
      <c r="AT399" s="241"/>
      <c r="AU399" s="241"/>
      <c r="AV399" s="256"/>
      <c r="AW399" s="241"/>
      <c r="AX399" s="256"/>
      <c r="AY399" s="241"/>
      <c r="AZ399" s="256"/>
      <c r="BA399" s="239"/>
      <c r="BB399" s="242"/>
      <c r="BC399" s="239"/>
      <c r="BD399" s="242"/>
      <c r="BE399" s="239"/>
      <c r="BF399" s="241"/>
      <c r="BG399" s="239"/>
      <c r="BH399" s="241"/>
      <c r="BI399" s="260"/>
      <c r="BJ399" s="241"/>
      <c r="BK399" s="260"/>
      <c r="BL399" s="239"/>
      <c r="BM399" s="256"/>
      <c r="BN399" s="241"/>
      <c r="BO399" s="243"/>
      <c r="BP399" s="241"/>
      <c r="BQ399" s="239"/>
      <c r="BR399" s="276"/>
      <c r="BS399" s="256"/>
      <c r="BT399" s="260"/>
      <c r="BU399" s="261"/>
      <c r="BV399" s="260"/>
      <c r="BW399" s="239"/>
      <c r="BX399" s="260"/>
      <c r="BY399" s="260"/>
      <c r="BZ399" s="239"/>
      <c r="CA399" s="260"/>
      <c r="CB399" s="239"/>
      <c r="CC399" s="260"/>
      <c r="CD399" s="539"/>
      <c r="CE399" s="239"/>
      <c r="CF399" s="276"/>
      <c r="CG399" s="256"/>
      <c r="CH399" s="259"/>
      <c r="CI399" s="347"/>
      <c r="CJ399" s="540"/>
      <c r="CK399" s="256"/>
      <c r="CL399" s="244">
        <v>1</v>
      </c>
      <c r="CM399" s="274">
        <f t="shared" si="6"/>
        <v>2015</v>
      </c>
      <c r="CN399" s="244">
        <f>IF('Grille de saisie'!CM399&lt;18,0,IF('Grille de saisie'!CM399&lt;40,1,IF('Grille de saisie'!CM399&lt;65,2,IF('Grille de saisie'!CM399&lt;100,3,4))))</f>
        <v>4</v>
      </c>
      <c r="CO399" s="236">
        <f>IF(AND('Grille de saisie'!C399=1,'Grille de saisie'!BZ399=0),1,IF(AND('Grille de saisie'!C399="",'Grille de saisie'!BZ399=""),3,IF(AND('Grille de saisie'!C399=5),3,2)))</f>
        <v>3</v>
      </c>
      <c r="CP399" s="236">
        <f>IF(AND('Grille de saisie'!C399=1,'Grille de saisie'!BZ399=0),1,IF(AND('Grille de saisie'!C399=1,'Grille de saisie'!BZ399=1),2,IF(AND('Grille de saisie'!C399=2,'Grille de saisie'!BZ399=0),2,IF(AND('Grille de saisie'!C399=3,'Grille de saisie'!BZ399=0),3,IF(AND('Grille de saisie'!C399=2,'Grille de saisie'!BZ399=1),3,IF(AND('Grille de saisie'!C399=1,'Grille de saisie'!BZ399=2),3,IF(AND('Grille de saisie'!C399="",'Grille de saisie'!BZ399=""),5,IF(AND('Grille de saisie'!C399=5),5,4))))))))</f>
        <v>5</v>
      </c>
      <c r="CQ399" s="237">
        <f>IF('Grille de saisie'!BZ399="",3,IF('Grille de saisie'!C399=5,3,IF('Grille de saisie'!BZ399=0,1,2)))</f>
        <v>3</v>
      </c>
    </row>
    <row r="400" spans="1:95" ht="15">
      <c r="A400" s="510">
        <v>398</v>
      </c>
      <c r="B400" s="240"/>
      <c r="C400" s="513"/>
      <c r="D400" s="240"/>
      <c r="E400" s="517"/>
      <c r="F400" s="265"/>
      <c r="G400" s="513"/>
      <c r="H400" s="265"/>
      <c r="I400" s="520"/>
      <c r="J400" s="241"/>
      <c r="K400" s="520"/>
      <c r="L400" s="241"/>
      <c r="M400" s="521"/>
      <c r="N400" s="241"/>
      <c r="O400" s="521"/>
      <c r="P400" s="241"/>
      <c r="Q400" s="520"/>
      <c r="R400" s="241"/>
      <c r="S400" s="520"/>
      <c r="T400" s="241"/>
      <c r="U400" s="520"/>
      <c r="V400" s="241"/>
      <c r="W400" s="242"/>
      <c r="X400" s="241"/>
      <c r="Y400" s="242"/>
      <c r="Z400" s="241"/>
      <c r="AA400" s="241"/>
      <c r="AB400" s="275"/>
      <c r="AC400" s="524"/>
      <c r="AD400" s="241"/>
      <c r="AE400" s="241"/>
      <c r="AF400" s="241"/>
      <c r="AG400" s="241"/>
      <c r="AH400" s="241"/>
      <c r="AI400" s="241"/>
      <c r="AJ400" s="529"/>
      <c r="AK400" s="258"/>
      <c r="AL400" s="241"/>
      <c r="AM400" s="242"/>
      <c r="AN400" s="241"/>
      <c r="AO400" s="242"/>
      <c r="AP400" s="241"/>
      <c r="AQ400" s="242"/>
      <c r="AR400" s="241"/>
      <c r="AS400" s="242"/>
      <c r="AT400" s="241"/>
      <c r="AU400" s="241"/>
      <c r="AV400" s="256"/>
      <c r="AW400" s="241"/>
      <c r="AX400" s="256"/>
      <c r="AY400" s="241"/>
      <c r="AZ400" s="256"/>
      <c r="BA400" s="239"/>
      <c r="BB400" s="242"/>
      <c r="BC400" s="239"/>
      <c r="BD400" s="242"/>
      <c r="BE400" s="239"/>
      <c r="BF400" s="241"/>
      <c r="BG400" s="239"/>
      <c r="BH400" s="241"/>
      <c r="BI400" s="260"/>
      <c r="BJ400" s="241"/>
      <c r="BK400" s="260"/>
      <c r="BL400" s="239"/>
      <c r="BM400" s="256"/>
      <c r="BN400" s="241"/>
      <c r="BO400" s="243"/>
      <c r="BP400" s="241"/>
      <c r="BQ400" s="239"/>
      <c r="BR400" s="276"/>
      <c r="BS400" s="256"/>
      <c r="BT400" s="260"/>
      <c r="BU400" s="261"/>
      <c r="BV400" s="260"/>
      <c r="BW400" s="239"/>
      <c r="BX400" s="260"/>
      <c r="BY400" s="260"/>
      <c r="BZ400" s="239"/>
      <c r="CA400" s="260"/>
      <c r="CB400" s="239"/>
      <c r="CC400" s="260"/>
      <c r="CD400" s="539"/>
      <c r="CE400" s="239"/>
      <c r="CF400" s="276"/>
      <c r="CG400" s="256"/>
      <c r="CH400" s="259"/>
      <c r="CI400" s="347"/>
      <c r="CJ400" s="540"/>
      <c r="CK400" s="256"/>
      <c r="CL400" s="244">
        <v>1</v>
      </c>
      <c r="CM400" s="274">
        <f t="shared" si="6"/>
        <v>2015</v>
      </c>
      <c r="CN400" s="244">
        <f>IF('Grille de saisie'!CM400&lt;18,0,IF('Grille de saisie'!CM400&lt;40,1,IF('Grille de saisie'!CM400&lt;65,2,IF('Grille de saisie'!CM400&lt;100,3,4))))</f>
        <v>4</v>
      </c>
      <c r="CO400" s="236">
        <f>IF(AND('Grille de saisie'!C400=1,'Grille de saisie'!BZ400=0),1,IF(AND('Grille de saisie'!C400="",'Grille de saisie'!BZ400=""),3,IF(AND('Grille de saisie'!C400=5),3,2)))</f>
        <v>3</v>
      </c>
      <c r="CP400" s="236">
        <f>IF(AND('Grille de saisie'!C400=1,'Grille de saisie'!BZ400=0),1,IF(AND('Grille de saisie'!C400=1,'Grille de saisie'!BZ400=1),2,IF(AND('Grille de saisie'!C400=2,'Grille de saisie'!BZ400=0),2,IF(AND('Grille de saisie'!C400=3,'Grille de saisie'!BZ400=0),3,IF(AND('Grille de saisie'!C400=2,'Grille de saisie'!BZ400=1),3,IF(AND('Grille de saisie'!C400=1,'Grille de saisie'!BZ400=2),3,IF(AND('Grille de saisie'!C400="",'Grille de saisie'!BZ400=""),5,IF(AND('Grille de saisie'!C400=5),5,4))))))))</f>
        <v>5</v>
      </c>
      <c r="CQ400" s="237">
        <f>IF('Grille de saisie'!BZ400="",3,IF('Grille de saisie'!C400=5,3,IF('Grille de saisie'!BZ400=0,1,2)))</f>
        <v>3</v>
      </c>
    </row>
    <row r="401" spans="1:95" ht="15">
      <c r="A401" s="510">
        <v>399</v>
      </c>
      <c r="B401" s="240"/>
      <c r="C401" s="513"/>
      <c r="D401" s="240"/>
      <c r="E401" s="517"/>
      <c r="F401" s="265"/>
      <c r="G401" s="513"/>
      <c r="H401" s="265"/>
      <c r="I401" s="520"/>
      <c r="J401" s="241"/>
      <c r="K401" s="520"/>
      <c r="L401" s="241"/>
      <c r="M401" s="521"/>
      <c r="N401" s="241"/>
      <c r="O401" s="521"/>
      <c r="P401" s="241"/>
      <c r="Q401" s="520"/>
      <c r="R401" s="241"/>
      <c r="S401" s="520"/>
      <c r="T401" s="241"/>
      <c r="U401" s="520"/>
      <c r="V401" s="241"/>
      <c r="W401" s="242"/>
      <c r="X401" s="241"/>
      <c r="Y401" s="242"/>
      <c r="Z401" s="241"/>
      <c r="AA401" s="241"/>
      <c r="AB401" s="275"/>
      <c r="AC401" s="524"/>
      <c r="AD401" s="241"/>
      <c r="AE401" s="241"/>
      <c r="AF401" s="241"/>
      <c r="AG401" s="241"/>
      <c r="AH401" s="241"/>
      <c r="AI401" s="241"/>
      <c r="AJ401" s="529"/>
      <c r="AK401" s="258"/>
      <c r="AL401" s="241"/>
      <c r="AM401" s="242"/>
      <c r="AN401" s="241"/>
      <c r="AO401" s="242"/>
      <c r="AP401" s="241"/>
      <c r="AQ401" s="242"/>
      <c r="AR401" s="241"/>
      <c r="AS401" s="242"/>
      <c r="AT401" s="241"/>
      <c r="AU401" s="241"/>
      <c r="AV401" s="256"/>
      <c r="AW401" s="241"/>
      <c r="AX401" s="256"/>
      <c r="AY401" s="241"/>
      <c r="AZ401" s="256"/>
      <c r="BA401" s="239"/>
      <c r="BB401" s="242"/>
      <c r="BC401" s="239"/>
      <c r="BD401" s="242"/>
      <c r="BE401" s="239"/>
      <c r="BF401" s="241"/>
      <c r="BG401" s="239"/>
      <c r="BH401" s="241"/>
      <c r="BI401" s="260"/>
      <c r="BJ401" s="241"/>
      <c r="BK401" s="260"/>
      <c r="BL401" s="239"/>
      <c r="BM401" s="256"/>
      <c r="BN401" s="241"/>
      <c r="BO401" s="243"/>
      <c r="BP401" s="241"/>
      <c r="BQ401" s="239"/>
      <c r="BR401" s="276"/>
      <c r="BS401" s="256"/>
      <c r="BT401" s="260"/>
      <c r="BU401" s="261"/>
      <c r="BV401" s="260"/>
      <c r="BW401" s="239"/>
      <c r="BX401" s="260"/>
      <c r="BY401" s="260"/>
      <c r="BZ401" s="239"/>
      <c r="CA401" s="260"/>
      <c r="CB401" s="239"/>
      <c r="CC401" s="260"/>
      <c r="CD401" s="539"/>
      <c r="CE401" s="239"/>
      <c r="CF401" s="276"/>
      <c r="CG401" s="256"/>
      <c r="CH401" s="259"/>
      <c r="CI401" s="347"/>
      <c r="CJ401" s="540"/>
      <c r="CK401" s="256"/>
      <c r="CL401" s="244">
        <v>1</v>
      </c>
      <c r="CM401" s="274">
        <f t="shared" si="6"/>
        <v>2015</v>
      </c>
      <c r="CN401" s="244">
        <f>IF('Grille de saisie'!CM401&lt;18,0,IF('Grille de saisie'!CM401&lt;40,1,IF('Grille de saisie'!CM401&lt;65,2,IF('Grille de saisie'!CM401&lt;100,3,4))))</f>
        <v>4</v>
      </c>
      <c r="CO401" s="236">
        <f>IF(AND('Grille de saisie'!C401=1,'Grille de saisie'!BZ401=0),1,IF(AND('Grille de saisie'!C401="",'Grille de saisie'!BZ401=""),3,IF(AND('Grille de saisie'!C401=5),3,2)))</f>
        <v>3</v>
      </c>
      <c r="CP401" s="236">
        <f>IF(AND('Grille de saisie'!C401=1,'Grille de saisie'!BZ401=0),1,IF(AND('Grille de saisie'!C401=1,'Grille de saisie'!BZ401=1),2,IF(AND('Grille de saisie'!C401=2,'Grille de saisie'!BZ401=0),2,IF(AND('Grille de saisie'!C401=3,'Grille de saisie'!BZ401=0),3,IF(AND('Grille de saisie'!C401=2,'Grille de saisie'!BZ401=1),3,IF(AND('Grille de saisie'!C401=1,'Grille de saisie'!BZ401=2),3,IF(AND('Grille de saisie'!C401="",'Grille de saisie'!BZ401=""),5,IF(AND('Grille de saisie'!C401=5),5,4))))))))</f>
        <v>5</v>
      </c>
      <c r="CQ401" s="237">
        <f>IF('Grille de saisie'!BZ401="",3,IF('Grille de saisie'!C401=5,3,IF('Grille de saisie'!BZ401=0,1,2)))</f>
        <v>3</v>
      </c>
    </row>
    <row r="402" spans="1:95" ht="15">
      <c r="A402" s="511">
        <v>400</v>
      </c>
      <c r="B402" s="240"/>
      <c r="C402" s="513"/>
      <c r="D402" s="240"/>
      <c r="E402" s="517"/>
      <c r="F402" s="265"/>
      <c r="G402" s="513"/>
      <c r="H402" s="265"/>
      <c r="I402" s="520"/>
      <c r="J402" s="241"/>
      <c r="K402" s="520"/>
      <c r="L402" s="241"/>
      <c r="M402" s="521"/>
      <c r="N402" s="241"/>
      <c r="O402" s="521"/>
      <c r="P402" s="241"/>
      <c r="Q402" s="520"/>
      <c r="R402" s="241"/>
      <c r="S402" s="520"/>
      <c r="T402" s="241"/>
      <c r="U402" s="520"/>
      <c r="V402" s="241"/>
      <c r="W402" s="242"/>
      <c r="X402" s="241"/>
      <c r="Y402" s="242"/>
      <c r="Z402" s="241"/>
      <c r="AA402" s="241"/>
      <c r="AB402" s="275"/>
      <c r="AC402" s="524"/>
      <c r="AD402" s="241"/>
      <c r="AE402" s="241"/>
      <c r="AF402" s="241"/>
      <c r="AG402" s="241"/>
      <c r="AH402" s="241"/>
      <c r="AI402" s="241"/>
      <c r="AJ402" s="529"/>
      <c r="AK402" s="258"/>
      <c r="AL402" s="241"/>
      <c r="AM402" s="242"/>
      <c r="AN402" s="241"/>
      <c r="AO402" s="242"/>
      <c r="AP402" s="241"/>
      <c r="AQ402" s="242"/>
      <c r="AR402" s="241"/>
      <c r="AS402" s="242"/>
      <c r="AT402" s="241"/>
      <c r="AU402" s="241"/>
      <c r="AV402" s="256"/>
      <c r="AW402" s="241"/>
      <c r="AX402" s="256"/>
      <c r="AY402" s="241"/>
      <c r="AZ402" s="256"/>
      <c r="BA402" s="239"/>
      <c r="BB402" s="242"/>
      <c r="BC402" s="239"/>
      <c r="BD402" s="242"/>
      <c r="BE402" s="239"/>
      <c r="BF402" s="241"/>
      <c r="BG402" s="239"/>
      <c r="BH402" s="241"/>
      <c r="BI402" s="260"/>
      <c r="BJ402" s="241"/>
      <c r="BK402" s="260"/>
      <c r="BL402" s="239"/>
      <c r="BM402" s="256"/>
      <c r="BN402" s="241"/>
      <c r="BO402" s="243"/>
      <c r="BP402" s="241"/>
      <c r="BQ402" s="239"/>
      <c r="BR402" s="276"/>
      <c r="BS402" s="256"/>
      <c r="BT402" s="260"/>
      <c r="BU402" s="261"/>
      <c r="BV402" s="260"/>
      <c r="BW402" s="239"/>
      <c r="BX402" s="260"/>
      <c r="BY402" s="260"/>
      <c r="BZ402" s="239"/>
      <c r="CA402" s="260"/>
      <c r="CB402" s="239"/>
      <c r="CC402" s="260"/>
      <c r="CD402" s="539"/>
      <c r="CE402" s="239"/>
      <c r="CF402" s="276"/>
      <c r="CG402" s="256"/>
      <c r="CH402" s="259"/>
      <c r="CI402" s="347"/>
      <c r="CJ402" s="540"/>
      <c r="CK402" s="256"/>
      <c r="CL402" s="244">
        <v>1</v>
      </c>
      <c r="CM402" s="274">
        <f t="shared" si="6"/>
        <v>2015</v>
      </c>
      <c r="CN402" s="244">
        <f>IF('Grille de saisie'!CM402&lt;18,0,IF('Grille de saisie'!CM402&lt;40,1,IF('Grille de saisie'!CM402&lt;65,2,IF('Grille de saisie'!CM402&lt;100,3,4))))</f>
        <v>4</v>
      </c>
      <c r="CO402" s="236">
        <f>IF(AND('Grille de saisie'!C402=1,'Grille de saisie'!BZ402=0),1,IF(AND('Grille de saisie'!C402="",'Grille de saisie'!BZ402=""),3,IF(AND('Grille de saisie'!C402=5),3,2)))</f>
        <v>3</v>
      </c>
      <c r="CP402" s="236">
        <f>IF(AND('Grille de saisie'!C402=1,'Grille de saisie'!BZ402=0),1,IF(AND('Grille de saisie'!C402=1,'Grille de saisie'!BZ402=1),2,IF(AND('Grille de saisie'!C402=2,'Grille de saisie'!BZ402=0),2,IF(AND('Grille de saisie'!C402=3,'Grille de saisie'!BZ402=0),3,IF(AND('Grille de saisie'!C402=2,'Grille de saisie'!BZ402=1),3,IF(AND('Grille de saisie'!C402=1,'Grille de saisie'!BZ402=2),3,IF(AND('Grille de saisie'!C402="",'Grille de saisie'!BZ402=""),5,IF(AND('Grille de saisie'!C402=5),5,4))))))))</f>
        <v>5</v>
      </c>
      <c r="CQ402" s="237">
        <f>IF('Grille de saisie'!BZ402="",3,IF('Grille de saisie'!C402=5,3,IF('Grille de saisie'!BZ402=0,1,2)))</f>
        <v>3</v>
      </c>
    </row>
    <row r="403" spans="1:95" ht="15">
      <c r="A403" s="510">
        <v>401</v>
      </c>
      <c r="B403" s="240"/>
      <c r="C403" s="513"/>
      <c r="D403" s="240"/>
      <c r="E403" s="517"/>
      <c r="F403" s="265"/>
      <c r="G403" s="513"/>
      <c r="H403" s="265"/>
      <c r="I403" s="520"/>
      <c r="J403" s="241"/>
      <c r="K403" s="520"/>
      <c r="L403" s="241"/>
      <c r="M403" s="521"/>
      <c r="N403" s="241"/>
      <c r="O403" s="521"/>
      <c r="P403" s="241"/>
      <c r="Q403" s="520"/>
      <c r="R403" s="241"/>
      <c r="S403" s="520"/>
      <c r="T403" s="241"/>
      <c r="U403" s="520"/>
      <c r="V403" s="241"/>
      <c r="W403" s="242"/>
      <c r="X403" s="241"/>
      <c r="Y403" s="242"/>
      <c r="Z403" s="241"/>
      <c r="AA403" s="241"/>
      <c r="AB403" s="275"/>
      <c r="AC403" s="524"/>
      <c r="AD403" s="241"/>
      <c r="AE403" s="241"/>
      <c r="AF403" s="241"/>
      <c r="AG403" s="241"/>
      <c r="AH403" s="241"/>
      <c r="AI403" s="241"/>
      <c r="AJ403" s="529"/>
      <c r="AK403" s="258"/>
      <c r="AL403" s="241"/>
      <c r="AM403" s="242"/>
      <c r="AN403" s="241"/>
      <c r="AO403" s="242"/>
      <c r="AP403" s="241"/>
      <c r="AQ403" s="242"/>
      <c r="AR403" s="241"/>
      <c r="AS403" s="242"/>
      <c r="AT403" s="241"/>
      <c r="AU403" s="241"/>
      <c r="AV403" s="256"/>
      <c r="AW403" s="241"/>
      <c r="AX403" s="256"/>
      <c r="AY403" s="241"/>
      <c r="AZ403" s="256"/>
      <c r="BA403" s="239"/>
      <c r="BB403" s="242"/>
      <c r="BC403" s="239"/>
      <c r="BD403" s="242"/>
      <c r="BE403" s="239"/>
      <c r="BF403" s="241"/>
      <c r="BG403" s="239"/>
      <c r="BH403" s="241"/>
      <c r="BI403" s="260"/>
      <c r="BJ403" s="241"/>
      <c r="BK403" s="260"/>
      <c r="BL403" s="239"/>
      <c r="BM403" s="256"/>
      <c r="BN403" s="241"/>
      <c r="BO403" s="243"/>
      <c r="BP403" s="241"/>
      <c r="BQ403" s="239"/>
      <c r="BR403" s="276"/>
      <c r="BS403" s="256"/>
      <c r="BT403" s="260"/>
      <c r="BU403" s="261"/>
      <c r="BV403" s="260"/>
      <c r="BW403" s="239"/>
      <c r="BX403" s="260"/>
      <c r="BY403" s="260"/>
      <c r="BZ403" s="239"/>
      <c r="CA403" s="260"/>
      <c r="CB403" s="239"/>
      <c r="CC403" s="260"/>
      <c r="CD403" s="539"/>
      <c r="CE403" s="239"/>
      <c r="CF403" s="276"/>
      <c r="CG403" s="256"/>
      <c r="CH403" s="259"/>
      <c r="CI403" s="347"/>
      <c r="CJ403" s="540"/>
      <c r="CK403" s="256"/>
      <c r="CL403" s="244">
        <v>1</v>
      </c>
      <c r="CM403" s="274">
        <f t="shared" si="6"/>
        <v>2015</v>
      </c>
      <c r="CN403" s="244">
        <f>IF('Grille de saisie'!CM403&lt;18,0,IF('Grille de saisie'!CM403&lt;40,1,IF('Grille de saisie'!CM403&lt;65,2,IF('Grille de saisie'!CM403&lt;100,3,4))))</f>
        <v>4</v>
      </c>
      <c r="CO403" s="236">
        <f>IF(AND('Grille de saisie'!C403=1,'Grille de saisie'!BZ403=0),1,IF(AND('Grille de saisie'!C403="",'Grille de saisie'!BZ403=""),3,IF(AND('Grille de saisie'!C403=5),3,2)))</f>
        <v>3</v>
      </c>
      <c r="CP403" s="236">
        <f>IF(AND('Grille de saisie'!C403=1,'Grille de saisie'!BZ403=0),1,IF(AND('Grille de saisie'!C403=1,'Grille de saisie'!BZ403=1),2,IF(AND('Grille de saisie'!C403=2,'Grille de saisie'!BZ403=0),2,IF(AND('Grille de saisie'!C403=3,'Grille de saisie'!BZ403=0),3,IF(AND('Grille de saisie'!C403=2,'Grille de saisie'!BZ403=1),3,IF(AND('Grille de saisie'!C403=1,'Grille de saisie'!BZ403=2),3,IF(AND('Grille de saisie'!C403="",'Grille de saisie'!BZ403=""),5,IF(AND('Grille de saisie'!C403=5),5,4))))))))</f>
        <v>5</v>
      </c>
      <c r="CQ403" s="237">
        <f>IF('Grille de saisie'!BZ403="",3,IF('Grille de saisie'!C403=5,3,IF('Grille de saisie'!BZ403=0,1,2)))</f>
        <v>3</v>
      </c>
    </row>
    <row r="404" spans="1:95" ht="15">
      <c r="A404" s="510">
        <v>402</v>
      </c>
      <c r="B404" s="240"/>
      <c r="C404" s="513"/>
      <c r="D404" s="240"/>
      <c r="E404" s="517"/>
      <c r="F404" s="265"/>
      <c r="G404" s="513"/>
      <c r="H404" s="265"/>
      <c r="I404" s="520"/>
      <c r="J404" s="241"/>
      <c r="K404" s="520"/>
      <c r="L404" s="241"/>
      <c r="M404" s="521"/>
      <c r="N404" s="241"/>
      <c r="O404" s="521"/>
      <c r="P404" s="241"/>
      <c r="Q404" s="520"/>
      <c r="R404" s="241"/>
      <c r="S404" s="520"/>
      <c r="T404" s="241"/>
      <c r="U404" s="520"/>
      <c r="V404" s="241"/>
      <c r="W404" s="242"/>
      <c r="X404" s="241"/>
      <c r="Y404" s="242"/>
      <c r="Z404" s="241"/>
      <c r="AA404" s="241"/>
      <c r="AB404" s="275"/>
      <c r="AC404" s="524"/>
      <c r="AD404" s="241"/>
      <c r="AE404" s="241"/>
      <c r="AF404" s="241"/>
      <c r="AG404" s="241"/>
      <c r="AH404" s="241"/>
      <c r="AI404" s="241"/>
      <c r="AJ404" s="529"/>
      <c r="AK404" s="258"/>
      <c r="AL404" s="241"/>
      <c r="AM404" s="242"/>
      <c r="AN404" s="241"/>
      <c r="AO404" s="242"/>
      <c r="AP404" s="241"/>
      <c r="AQ404" s="242"/>
      <c r="AR404" s="241"/>
      <c r="AS404" s="242"/>
      <c r="AT404" s="241"/>
      <c r="AU404" s="241"/>
      <c r="AV404" s="256"/>
      <c r="AW404" s="241"/>
      <c r="AX404" s="256"/>
      <c r="AY404" s="241"/>
      <c r="AZ404" s="256"/>
      <c r="BA404" s="239"/>
      <c r="BB404" s="242"/>
      <c r="BC404" s="239"/>
      <c r="BD404" s="242"/>
      <c r="BE404" s="239"/>
      <c r="BF404" s="241"/>
      <c r="BG404" s="239"/>
      <c r="BH404" s="241"/>
      <c r="BI404" s="260"/>
      <c r="BJ404" s="241"/>
      <c r="BK404" s="260"/>
      <c r="BL404" s="239"/>
      <c r="BM404" s="256"/>
      <c r="BN404" s="241"/>
      <c r="BO404" s="243"/>
      <c r="BP404" s="241"/>
      <c r="BQ404" s="239"/>
      <c r="BR404" s="276"/>
      <c r="BS404" s="256"/>
      <c r="BT404" s="260"/>
      <c r="BU404" s="261"/>
      <c r="BV404" s="260"/>
      <c r="BW404" s="239"/>
      <c r="BX404" s="260"/>
      <c r="BY404" s="260"/>
      <c r="BZ404" s="239"/>
      <c r="CA404" s="260"/>
      <c r="CB404" s="239"/>
      <c r="CC404" s="260"/>
      <c r="CD404" s="539"/>
      <c r="CE404" s="239"/>
      <c r="CF404" s="276"/>
      <c r="CG404" s="256"/>
      <c r="CH404" s="259"/>
      <c r="CI404" s="347"/>
      <c r="CJ404" s="540"/>
      <c r="CK404" s="256"/>
      <c r="CL404" s="244">
        <v>1</v>
      </c>
      <c r="CM404" s="274">
        <f t="shared" si="6"/>
        <v>2015</v>
      </c>
      <c r="CN404" s="244">
        <f>IF('Grille de saisie'!CM404&lt;18,0,IF('Grille de saisie'!CM404&lt;40,1,IF('Grille de saisie'!CM404&lt;65,2,IF('Grille de saisie'!CM404&lt;100,3,4))))</f>
        <v>4</v>
      </c>
      <c r="CO404" s="236">
        <f>IF(AND('Grille de saisie'!C404=1,'Grille de saisie'!BZ404=0),1,IF(AND('Grille de saisie'!C404="",'Grille de saisie'!BZ404=""),3,IF(AND('Grille de saisie'!C404=5),3,2)))</f>
        <v>3</v>
      </c>
      <c r="CP404" s="236">
        <f>IF(AND('Grille de saisie'!C404=1,'Grille de saisie'!BZ404=0),1,IF(AND('Grille de saisie'!C404=1,'Grille de saisie'!BZ404=1),2,IF(AND('Grille de saisie'!C404=2,'Grille de saisie'!BZ404=0),2,IF(AND('Grille de saisie'!C404=3,'Grille de saisie'!BZ404=0),3,IF(AND('Grille de saisie'!C404=2,'Grille de saisie'!BZ404=1),3,IF(AND('Grille de saisie'!C404=1,'Grille de saisie'!BZ404=2),3,IF(AND('Grille de saisie'!C404="",'Grille de saisie'!BZ404=""),5,IF(AND('Grille de saisie'!C404=5),5,4))))))))</f>
        <v>5</v>
      </c>
      <c r="CQ404" s="237">
        <f>IF('Grille de saisie'!BZ404="",3,IF('Grille de saisie'!C404=5,3,IF('Grille de saisie'!BZ404=0,1,2)))</f>
        <v>3</v>
      </c>
    </row>
    <row r="405" spans="1:95" ht="15">
      <c r="A405" s="511">
        <v>403</v>
      </c>
      <c r="B405" s="240"/>
      <c r="C405" s="513"/>
      <c r="D405" s="240"/>
      <c r="E405" s="517"/>
      <c r="F405" s="265"/>
      <c r="G405" s="513"/>
      <c r="H405" s="265"/>
      <c r="I405" s="520"/>
      <c r="J405" s="241"/>
      <c r="K405" s="520"/>
      <c r="L405" s="241"/>
      <c r="M405" s="521"/>
      <c r="N405" s="241"/>
      <c r="O405" s="521"/>
      <c r="P405" s="241"/>
      <c r="Q405" s="520"/>
      <c r="R405" s="241"/>
      <c r="S405" s="520"/>
      <c r="T405" s="241"/>
      <c r="U405" s="520"/>
      <c r="V405" s="241"/>
      <c r="W405" s="242"/>
      <c r="X405" s="241"/>
      <c r="Y405" s="242"/>
      <c r="Z405" s="241"/>
      <c r="AA405" s="241"/>
      <c r="AB405" s="275"/>
      <c r="AC405" s="524"/>
      <c r="AD405" s="241"/>
      <c r="AE405" s="241"/>
      <c r="AF405" s="241"/>
      <c r="AG405" s="241"/>
      <c r="AH405" s="241"/>
      <c r="AI405" s="241"/>
      <c r="AJ405" s="529"/>
      <c r="AK405" s="258"/>
      <c r="AL405" s="241"/>
      <c r="AM405" s="242"/>
      <c r="AN405" s="241"/>
      <c r="AO405" s="242"/>
      <c r="AP405" s="241"/>
      <c r="AQ405" s="242"/>
      <c r="AR405" s="241"/>
      <c r="AS405" s="242"/>
      <c r="AT405" s="241"/>
      <c r="AU405" s="241"/>
      <c r="AV405" s="256"/>
      <c r="AW405" s="241"/>
      <c r="AX405" s="256"/>
      <c r="AY405" s="241"/>
      <c r="AZ405" s="256"/>
      <c r="BA405" s="239"/>
      <c r="BB405" s="242"/>
      <c r="BC405" s="239"/>
      <c r="BD405" s="242"/>
      <c r="BE405" s="239"/>
      <c r="BF405" s="241"/>
      <c r="BG405" s="239"/>
      <c r="BH405" s="241"/>
      <c r="BI405" s="260"/>
      <c r="BJ405" s="241"/>
      <c r="BK405" s="260"/>
      <c r="BL405" s="239"/>
      <c r="BM405" s="256"/>
      <c r="BN405" s="241"/>
      <c r="BO405" s="243"/>
      <c r="BP405" s="241"/>
      <c r="BQ405" s="239"/>
      <c r="BR405" s="276"/>
      <c r="BS405" s="256"/>
      <c r="BT405" s="260"/>
      <c r="BU405" s="261"/>
      <c r="BV405" s="260"/>
      <c r="BW405" s="239"/>
      <c r="BX405" s="260"/>
      <c r="BY405" s="260"/>
      <c r="BZ405" s="239"/>
      <c r="CA405" s="260"/>
      <c r="CB405" s="239"/>
      <c r="CC405" s="260"/>
      <c r="CD405" s="539"/>
      <c r="CE405" s="239"/>
      <c r="CF405" s="276"/>
      <c r="CG405" s="256"/>
      <c r="CH405" s="259"/>
      <c r="CI405" s="347"/>
      <c r="CJ405" s="540"/>
      <c r="CK405" s="256"/>
      <c r="CL405" s="244">
        <v>1</v>
      </c>
      <c r="CM405" s="274">
        <f t="shared" si="6"/>
        <v>2015</v>
      </c>
      <c r="CN405" s="244">
        <f>IF('Grille de saisie'!CM405&lt;18,0,IF('Grille de saisie'!CM405&lt;40,1,IF('Grille de saisie'!CM405&lt;65,2,IF('Grille de saisie'!CM405&lt;100,3,4))))</f>
        <v>4</v>
      </c>
      <c r="CO405" s="236">
        <f>IF(AND('Grille de saisie'!C405=1,'Grille de saisie'!BZ405=0),1,IF(AND('Grille de saisie'!C405="",'Grille de saisie'!BZ405=""),3,IF(AND('Grille de saisie'!C405=5),3,2)))</f>
        <v>3</v>
      </c>
      <c r="CP405" s="236">
        <f>IF(AND('Grille de saisie'!C405=1,'Grille de saisie'!BZ405=0),1,IF(AND('Grille de saisie'!C405=1,'Grille de saisie'!BZ405=1),2,IF(AND('Grille de saisie'!C405=2,'Grille de saisie'!BZ405=0),2,IF(AND('Grille de saisie'!C405=3,'Grille de saisie'!BZ405=0),3,IF(AND('Grille de saisie'!C405=2,'Grille de saisie'!BZ405=1),3,IF(AND('Grille de saisie'!C405=1,'Grille de saisie'!BZ405=2),3,IF(AND('Grille de saisie'!C405="",'Grille de saisie'!BZ405=""),5,IF(AND('Grille de saisie'!C405=5),5,4))))))))</f>
        <v>5</v>
      </c>
      <c r="CQ405" s="237">
        <f>IF('Grille de saisie'!BZ405="",3,IF('Grille de saisie'!C405=5,3,IF('Grille de saisie'!BZ405=0,1,2)))</f>
        <v>3</v>
      </c>
    </row>
    <row r="406" spans="1:95" ht="15">
      <c r="A406" s="510">
        <v>404</v>
      </c>
      <c r="B406" s="240"/>
      <c r="C406" s="513"/>
      <c r="D406" s="240"/>
      <c r="E406" s="517"/>
      <c r="F406" s="265"/>
      <c r="G406" s="513"/>
      <c r="H406" s="265"/>
      <c r="I406" s="520"/>
      <c r="J406" s="241"/>
      <c r="K406" s="520"/>
      <c r="L406" s="241"/>
      <c r="M406" s="521"/>
      <c r="N406" s="241"/>
      <c r="O406" s="521"/>
      <c r="P406" s="241"/>
      <c r="Q406" s="520"/>
      <c r="R406" s="241"/>
      <c r="S406" s="520"/>
      <c r="T406" s="241"/>
      <c r="U406" s="520"/>
      <c r="V406" s="241"/>
      <c r="W406" s="242"/>
      <c r="X406" s="241"/>
      <c r="Y406" s="242"/>
      <c r="Z406" s="241"/>
      <c r="AA406" s="241"/>
      <c r="AB406" s="275"/>
      <c r="AC406" s="524"/>
      <c r="AD406" s="241"/>
      <c r="AE406" s="241"/>
      <c r="AF406" s="241"/>
      <c r="AG406" s="241"/>
      <c r="AH406" s="241"/>
      <c r="AI406" s="241"/>
      <c r="AJ406" s="529"/>
      <c r="AK406" s="258"/>
      <c r="AL406" s="241"/>
      <c r="AM406" s="242"/>
      <c r="AN406" s="241"/>
      <c r="AO406" s="242"/>
      <c r="AP406" s="241"/>
      <c r="AQ406" s="242"/>
      <c r="AR406" s="241"/>
      <c r="AS406" s="242"/>
      <c r="AT406" s="241"/>
      <c r="AU406" s="241"/>
      <c r="AV406" s="256"/>
      <c r="AW406" s="241"/>
      <c r="AX406" s="256"/>
      <c r="AY406" s="241"/>
      <c r="AZ406" s="256"/>
      <c r="BA406" s="239"/>
      <c r="BB406" s="242"/>
      <c r="BC406" s="239"/>
      <c r="BD406" s="242"/>
      <c r="BE406" s="239"/>
      <c r="BF406" s="241"/>
      <c r="BG406" s="239"/>
      <c r="BH406" s="241"/>
      <c r="BI406" s="260"/>
      <c r="BJ406" s="241"/>
      <c r="BK406" s="260"/>
      <c r="BL406" s="239"/>
      <c r="BM406" s="256"/>
      <c r="BN406" s="241"/>
      <c r="BO406" s="243"/>
      <c r="BP406" s="241"/>
      <c r="BQ406" s="239"/>
      <c r="BR406" s="276"/>
      <c r="BS406" s="256"/>
      <c r="BT406" s="260"/>
      <c r="BU406" s="261"/>
      <c r="BV406" s="260"/>
      <c r="BW406" s="239"/>
      <c r="BX406" s="260"/>
      <c r="BY406" s="260"/>
      <c r="BZ406" s="239"/>
      <c r="CA406" s="260"/>
      <c r="CB406" s="239"/>
      <c r="CC406" s="260"/>
      <c r="CD406" s="539"/>
      <c r="CE406" s="239"/>
      <c r="CF406" s="276"/>
      <c r="CG406" s="256"/>
      <c r="CH406" s="259"/>
      <c r="CI406" s="347"/>
      <c r="CJ406" s="540"/>
      <c r="CK406" s="256"/>
      <c r="CL406" s="244">
        <v>1</v>
      </c>
      <c r="CM406" s="274">
        <f t="shared" si="6"/>
        <v>2015</v>
      </c>
      <c r="CN406" s="244">
        <f>IF('Grille de saisie'!CM406&lt;18,0,IF('Grille de saisie'!CM406&lt;40,1,IF('Grille de saisie'!CM406&lt;65,2,IF('Grille de saisie'!CM406&lt;100,3,4))))</f>
        <v>4</v>
      </c>
      <c r="CO406" s="236">
        <f>IF(AND('Grille de saisie'!C406=1,'Grille de saisie'!BZ406=0),1,IF(AND('Grille de saisie'!C406="",'Grille de saisie'!BZ406=""),3,IF(AND('Grille de saisie'!C406=5),3,2)))</f>
        <v>3</v>
      </c>
      <c r="CP406" s="236">
        <f>IF(AND('Grille de saisie'!C406=1,'Grille de saisie'!BZ406=0),1,IF(AND('Grille de saisie'!C406=1,'Grille de saisie'!BZ406=1),2,IF(AND('Grille de saisie'!C406=2,'Grille de saisie'!BZ406=0),2,IF(AND('Grille de saisie'!C406=3,'Grille de saisie'!BZ406=0),3,IF(AND('Grille de saisie'!C406=2,'Grille de saisie'!BZ406=1),3,IF(AND('Grille de saisie'!C406=1,'Grille de saisie'!BZ406=2),3,IF(AND('Grille de saisie'!C406="",'Grille de saisie'!BZ406=""),5,IF(AND('Grille de saisie'!C406=5),5,4))))))))</f>
        <v>5</v>
      </c>
      <c r="CQ406" s="237">
        <f>IF('Grille de saisie'!BZ406="",3,IF('Grille de saisie'!C406=5,3,IF('Grille de saisie'!BZ406=0,1,2)))</f>
        <v>3</v>
      </c>
    </row>
    <row r="407" spans="1:95" ht="15">
      <c r="A407" s="510">
        <v>405</v>
      </c>
      <c r="B407" s="240"/>
      <c r="C407" s="513"/>
      <c r="D407" s="240"/>
      <c r="E407" s="517"/>
      <c r="F407" s="265"/>
      <c r="G407" s="513"/>
      <c r="H407" s="265"/>
      <c r="I407" s="520"/>
      <c r="J407" s="241"/>
      <c r="K407" s="520"/>
      <c r="L407" s="241"/>
      <c r="M407" s="521"/>
      <c r="N407" s="241"/>
      <c r="O407" s="521"/>
      <c r="P407" s="241"/>
      <c r="Q407" s="520"/>
      <c r="R407" s="241"/>
      <c r="S407" s="520"/>
      <c r="T407" s="241"/>
      <c r="U407" s="520"/>
      <c r="V407" s="241"/>
      <c r="W407" s="242"/>
      <c r="X407" s="241"/>
      <c r="Y407" s="242"/>
      <c r="Z407" s="241"/>
      <c r="AA407" s="241"/>
      <c r="AB407" s="275"/>
      <c r="AC407" s="524"/>
      <c r="AD407" s="241"/>
      <c r="AE407" s="241"/>
      <c r="AF407" s="241"/>
      <c r="AG407" s="241"/>
      <c r="AH407" s="241"/>
      <c r="AI407" s="241"/>
      <c r="AJ407" s="529"/>
      <c r="AK407" s="258"/>
      <c r="AL407" s="241"/>
      <c r="AM407" s="242"/>
      <c r="AN407" s="241"/>
      <c r="AO407" s="242"/>
      <c r="AP407" s="241"/>
      <c r="AQ407" s="242"/>
      <c r="AR407" s="241"/>
      <c r="AS407" s="242"/>
      <c r="AT407" s="241"/>
      <c r="AU407" s="241"/>
      <c r="AV407" s="256"/>
      <c r="AW407" s="241"/>
      <c r="AX407" s="256"/>
      <c r="AY407" s="241"/>
      <c r="AZ407" s="256"/>
      <c r="BA407" s="239"/>
      <c r="BB407" s="242"/>
      <c r="BC407" s="239"/>
      <c r="BD407" s="242"/>
      <c r="BE407" s="239"/>
      <c r="BF407" s="241"/>
      <c r="BG407" s="239"/>
      <c r="BH407" s="241"/>
      <c r="BI407" s="260"/>
      <c r="BJ407" s="241"/>
      <c r="BK407" s="260"/>
      <c r="BL407" s="239"/>
      <c r="BM407" s="256"/>
      <c r="BN407" s="241"/>
      <c r="BO407" s="243"/>
      <c r="BP407" s="241"/>
      <c r="BQ407" s="239"/>
      <c r="BR407" s="276"/>
      <c r="BS407" s="256"/>
      <c r="BT407" s="260"/>
      <c r="BU407" s="261"/>
      <c r="BV407" s="260"/>
      <c r="BW407" s="239"/>
      <c r="BX407" s="260"/>
      <c r="BY407" s="260"/>
      <c r="BZ407" s="239"/>
      <c r="CA407" s="260"/>
      <c r="CB407" s="239"/>
      <c r="CC407" s="260"/>
      <c r="CD407" s="539"/>
      <c r="CE407" s="239"/>
      <c r="CF407" s="276"/>
      <c r="CG407" s="256"/>
      <c r="CH407" s="259"/>
      <c r="CI407" s="347"/>
      <c r="CJ407" s="540"/>
      <c r="CK407" s="256"/>
      <c r="CL407" s="244">
        <v>1</v>
      </c>
      <c r="CM407" s="274">
        <f t="shared" si="6"/>
        <v>2015</v>
      </c>
      <c r="CN407" s="244">
        <f>IF('Grille de saisie'!CM407&lt;18,0,IF('Grille de saisie'!CM407&lt;40,1,IF('Grille de saisie'!CM407&lt;65,2,IF('Grille de saisie'!CM407&lt;100,3,4))))</f>
        <v>4</v>
      </c>
      <c r="CO407" s="236">
        <f>IF(AND('Grille de saisie'!C407=1,'Grille de saisie'!BZ407=0),1,IF(AND('Grille de saisie'!C407="",'Grille de saisie'!BZ407=""),3,IF(AND('Grille de saisie'!C407=5),3,2)))</f>
        <v>3</v>
      </c>
      <c r="CP407" s="236">
        <f>IF(AND('Grille de saisie'!C407=1,'Grille de saisie'!BZ407=0),1,IF(AND('Grille de saisie'!C407=1,'Grille de saisie'!BZ407=1),2,IF(AND('Grille de saisie'!C407=2,'Grille de saisie'!BZ407=0),2,IF(AND('Grille de saisie'!C407=3,'Grille de saisie'!BZ407=0),3,IF(AND('Grille de saisie'!C407=2,'Grille de saisie'!BZ407=1),3,IF(AND('Grille de saisie'!C407=1,'Grille de saisie'!BZ407=2),3,IF(AND('Grille de saisie'!C407="",'Grille de saisie'!BZ407=""),5,IF(AND('Grille de saisie'!C407=5),5,4))))))))</f>
        <v>5</v>
      </c>
      <c r="CQ407" s="237">
        <f>IF('Grille de saisie'!BZ407="",3,IF('Grille de saisie'!C407=5,3,IF('Grille de saisie'!BZ407=0,1,2)))</f>
        <v>3</v>
      </c>
    </row>
    <row r="408" spans="1:95" ht="15">
      <c r="A408" s="511">
        <v>406</v>
      </c>
      <c r="B408" s="240"/>
      <c r="C408" s="513"/>
      <c r="D408" s="240"/>
      <c r="E408" s="517"/>
      <c r="F408" s="265"/>
      <c r="G408" s="513"/>
      <c r="H408" s="265"/>
      <c r="I408" s="520"/>
      <c r="J408" s="241"/>
      <c r="K408" s="520"/>
      <c r="L408" s="241"/>
      <c r="M408" s="521"/>
      <c r="N408" s="241"/>
      <c r="O408" s="521"/>
      <c r="P408" s="241"/>
      <c r="Q408" s="520"/>
      <c r="R408" s="241"/>
      <c r="S408" s="520"/>
      <c r="T408" s="241"/>
      <c r="U408" s="520"/>
      <c r="V408" s="241"/>
      <c r="W408" s="242"/>
      <c r="X408" s="241"/>
      <c r="Y408" s="242"/>
      <c r="Z408" s="241"/>
      <c r="AA408" s="241"/>
      <c r="AB408" s="275"/>
      <c r="AC408" s="524"/>
      <c r="AD408" s="241"/>
      <c r="AE408" s="241"/>
      <c r="AF408" s="241"/>
      <c r="AG408" s="241"/>
      <c r="AH408" s="241"/>
      <c r="AI408" s="241"/>
      <c r="AJ408" s="529"/>
      <c r="AK408" s="258"/>
      <c r="AL408" s="241"/>
      <c r="AM408" s="242"/>
      <c r="AN408" s="241"/>
      <c r="AO408" s="242"/>
      <c r="AP408" s="241"/>
      <c r="AQ408" s="242"/>
      <c r="AR408" s="241"/>
      <c r="AS408" s="242"/>
      <c r="AT408" s="241"/>
      <c r="AU408" s="241"/>
      <c r="AV408" s="256"/>
      <c r="AW408" s="241"/>
      <c r="AX408" s="256"/>
      <c r="AY408" s="241"/>
      <c r="AZ408" s="256"/>
      <c r="BA408" s="239"/>
      <c r="BB408" s="242"/>
      <c r="BC408" s="239"/>
      <c r="BD408" s="242"/>
      <c r="BE408" s="239"/>
      <c r="BF408" s="241"/>
      <c r="BG408" s="239"/>
      <c r="BH408" s="241"/>
      <c r="BI408" s="260"/>
      <c r="BJ408" s="241"/>
      <c r="BK408" s="260"/>
      <c r="BL408" s="239"/>
      <c r="BM408" s="256"/>
      <c r="BN408" s="241"/>
      <c r="BO408" s="243"/>
      <c r="BP408" s="241"/>
      <c r="BQ408" s="239"/>
      <c r="BR408" s="276"/>
      <c r="BS408" s="256"/>
      <c r="BT408" s="260"/>
      <c r="BU408" s="261"/>
      <c r="BV408" s="260"/>
      <c r="BW408" s="239"/>
      <c r="BX408" s="260"/>
      <c r="BY408" s="260"/>
      <c r="BZ408" s="239"/>
      <c r="CA408" s="260"/>
      <c r="CB408" s="239"/>
      <c r="CC408" s="260"/>
      <c r="CD408" s="539"/>
      <c r="CE408" s="239"/>
      <c r="CF408" s="276"/>
      <c r="CG408" s="256"/>
      <c r="CH408" s="259"/>
      <c r="CI408" s="347"/>
      <c r="CJ408" s="540"/>
      <c r="CK408" s="256"/>
      <c r="CL408" s="244">
        <v>1</v>
      </c>
      <c r="CM408" s="274">
        <f t="shared" si="6"/>
        <v>2015</v>
      </c>
      <c r="CN408" s="244">
        <f>IF('Grille de saisie'!CM408&lt;18,0,IF('Grille de saisie'!CM408&lt;40,1,IF('Grille de saisie'!CM408&lt;65,2,IF('Grille de saisie'!CM408&lt;100,3,4))))</f>
        <v>4</v>
      </c>
      <c r="CO408" s="236">
        <f>IF(AND('Grille de saisie'!C408=1,'Grille de saisie'!BZ408=0),1,IF(AND('Grille de saisie'!C408="",'Grille de saisie'!BZ408=""),3,IF(AND('Grille de saisie'!C408=5),3,2)))</f>
        <v>3</v>
      </c>
      <c r="CP408" s="236">
        <f>IF(AND('Grille de saisie'!C408=1,'Grille de saisie'!BZ408=0),1,IF(AND('Grille de saisie'!C408=1,'Grille de saisie'!BZ408=1),2,IF(AND('Grille de saisie'!C408=2,'Grille de saisie'!BZ408=0),2,IF(AND('Grille de saisie'!C408=3,'Grille de saisie'!BZ408=0),3,IF(AND('Grille de saisie'!C408=2,'Grille de saisie'!BZ408=1),3,IF(AND('Grille de saisie'!C408=1,'Grille de saisie'!BZ408=2),3,IF(AND('Grille de saisie'!C408="",'Grille de saisie'!BZ408=""),5,IF(AND('Grille de saisie'!C408=5),5,4))))))))</f>
        <v>5</v>
      </c>
      <c r="CQ408" s="237">
        <f>IF('Grille de saisie'!BZ408="",3,IF('Grille de saisie'!C408=5,3,IF('Grille de saisie'!BZ408=0,1,2)))</f>
        <v>3</v>
      </c>
    </row>
    <row r="409" spans="1:95" ht="15">
      <c r="A409" s="510">
        <v>407</v>
      </c>
      <c r="B409" s="240"/>
      <c r="C409" s="513"/>
      <c r="D409" s="240"/>
      <c r="E409" s="517"/>
      <c r="F409" s="265"/>
      <c r="G409" s="513"/>
      <c r="H409" s="265"/>
      <c r="I409" s="520"/>
      <c r="J409" s="241"/>
      <c r="K409" s="520"/>
      <c r="L409" s="241"/>
      <c r="M409" s="521"/>
      <c r="N409" s="241"/>
      <c r="O409" s="521"/>
      <c r="P409" s="241"/>
      <c r="Q409" s="520"/>
      <c r="R409" s="241"/>
      <c r="S409" s="520"/>
      <c r="T409" s="241"/>
      <c r="U409" s="520"/>
      <c r="V409" s="241"/>
      <c r="W409" s="242"/>
      <c r="X409" s="241"/>
      <c r="Y409" s="242"/>
      <c r="Z409" s="241"/>
      <c r="AA409" s="241"/>
      <c r="AB409" s="275"/>
      <c r="AC409" s="524"/>
      <c r="AD409" s="241"/>
      <c r="AE409" s="241"/>
      <c r="AF409" s="241"/>
      <c r="AG409" s="241"/>
      <c r="AH409" s="241"/>
      <c r="AI409" s="241"/>
      <c r="AJ409" s="529"/>
      <c r="AK409" s="258"/>
      <c r="AL409" s="241"/>
      <c r="AM409" s="242"/>
      <c r="AN409" s="241"/>
      <c r="AO409" s="242"/>
      <c r="AP409" s="241"/>
      <c r="AQ409" s="242"/>
      <c r="AR409" s="241"/>
      <c r="AS409" s="242"/>
      <c r="AT409" s="241"/>
      <c r="AU409" s="241"/>
      <c r="AV409" s="256"/>
      <c r="AW409" s="241"/>
      <c r="AX409" s="256"/>
      <c r="AY409" s="241"/>
      <c r="AZ409" s="256"/>
      <c r="BA409" s="239"/>
      <c r="BB409" s="242"/>
      <c r="BC409" s="239"/>
      <c r="BD409" s="242"/>
      <c r="BE409" s="239"/>
      <c r="BF409" s="241"/>
      <c r="BG409" s="239"/>
      <c r="BH409" s="241"/>
      <c r="BI409" s="260"/>
      <c r="BJ409" s="241"/>
      <c r="BK409" s="260"/>
      <c r="BL409" s="239"/>
      <c r="BM409" s="256"/>
      <c r="BN409" s="241"/>
      <c r="BO409" s="243"/>
      <c r="BP409" s="241"/>
      <c r="BQ409" s="239"/>
      <c r="BR409" s="276"/>
      <c r="BS409" s="256"/>
      <c r="BT409" s="260"/>
      <c r="BU409" s="261"/>
      <c r="BV409" s="260"/>
      <c r="BW409" s="239"/>
      <c r="BX409" s="260"/>
      <c r="BY409" s="260"/>
      <c r="BZ409" s="239"/>
      <c r="CA409" s="260"/>
      <c r="CB409" s="239"/>
      <c r="CC409" s="260"/>
      <c r="CD409" s="539"/>
      <c r="CE409" s="239"/>
      <c r="CF409" s="276"/>
      <c r="CG409" s="256"/>
      <c r="CH409" s="259"/>
      <c r="CI409" s="347"/>
      <c r="CJ409" s="540"/>
      <c r="CK409" s="256"/>
      <c r="CL409" s="244">
        <v>1</v>
      </c>
      <c r="CM409" s="274">
        <f t="shared" si="6"/>
        <v>2015</v>
      </c>
      <c r="CN409" s="244">
        <f>IF('Grille de saisie'!CM409&lt;18,0,IF('Grille de saisie'!CM409&lt;40,1,IF('Grille de saisie'!CM409&lt;65,2,IF('Grille de saisie'!CM409&lt;100,3,4))))</f>
        <v>4</v>
      </c>
      <c r="CO409" s="236">
        <f>IF(AND('Grille de saisie'!C409=1,'Grille de saisie'!BZ409=0),1,IF(AND('Grille de saisie'!C409="",'Grille de saisie'!BZ409=""),3,IF(AND('Grille de saisie'!C409=5),3,2)))</f>
        <v>3</v>
      </c>
      <c r="CP409" s="236">
        <f>IF(AND('Grille de saisie'!C409=1,'Grille de saisie'!BZ409=0),1,IF(AND('Grille de saisie'!C409=1,'Grille de saisie'!BZ409=1),2,IF(AND('Grille de saisie'!C409=2,'Grille de saisie'!BZ409=0),2,IF(AND('Grille de saisie'!C409=3,'Grille de saisie'!BZ409=0),3,IF(AND('Grille de saisie'!C409=2,'Grille de saisie'!BZ409=1),3,IF(AND('Grille de saisie'!C409=1,'Grille de saisie'!BZ409=2),3,IF(AND('Grille de saisie'!C409="",'Grille de saisie'!BZ409=""),5,IF(AND('Grille de saisie'!C409=5),5,4))))))))</f>
        <v>5</v>
      </c>
      <c r="CQ409" s="237">
        <f>IF('Grille de saisie'!BZ409="",3,IF('Grille de saisie'!C409=5,3,IF('Grille de saisie'!BZ409=0,1,2)))</f>
        <v>3</v>
      </c>
    </row>
    <row r="410" spans="1:95" ht="15">
      <c r="A410" s="510">
        <v>408</v>
      </c>
      <c r="B410" s="240"/>
      <c r="C410" s="513"/>
      <c r="D410" s="240"/>
      <c r="E410" s="517"/>
      <c r="F410" s="265"/>
      <c r="G410" s="513"/>
      <c r="H410" s="265"/>
      <c r="I410" s="520"/>
      <c r="J410" s="241"/>
      <c r="K410" s="520"/>
      <c r="L410" s="241"/>
      <c r="M410" s="521"/>
      <c r="N410" s="241"/>
      <c r="O410" s="521"/>
      <c r="P410" s="241"/>
      <c r="Q410" s="520"/>
      <c r="R410" s="241"/>
      <c r="S410" s="520"/>
      <c r="T410" s="241"/>
      <c r="U410" s="520"/>
      <c r="V410" s="241"/>
      <c r="W410" s="242"/>
      <c r="X410" s="241"/>
      <c r="Y410" s="242"/>
      <c r="Z410" s="241"/>
      <c r="AA410" s="241"/>
      <c r="AB410" s="275"/>
      <c r="AC410" s="524"/>
      <c r="AD410" s="241"/>
      <c r="AE410" s="241"/>
      <c r="AF410" s="241"/>
      <c r="AG410" s="241"/>
      <c r="AH410" s="241"/>
      <c r="AI410" s="241"/>
      <c r="AJ410" s="529"/>
      <c r="AK410" s="258"/>
      <c r="AL410" s="241"/>
      <c r="AM410" s="242"/>
      <c r="AN410" s="241"/>
      <c r="AO410" s="242"/>
      <c r="AP410" s="241"/>
      <c r="AQ410" s="242"/>
      <c r="AR410" s="241"/>
      <c r="AS410" s="242"/>
      <c r="AT410" s="241"/>
      <c r="AU410" s="241"/>
      <c r="AV410" s="256"/>
      <c r="AW410" s="241"/>
      <c r="AX410" s="256"/>
      <c r="AY410" s="241"/>
      <c r="AZ410" s="256"/>
      <c r="BA410" s="239"/>
      <c r="BB410" s="242"/>
      <c r="BC410" s="239"/>
      <c r="BD410" s="242"/>
      <c r="BE410" s="239"/>
      <c r="BF410" s="241"/>
      <c r="BG410" s="239"/>
      <c r="BH410" s="241"/>
      <c r="BI410" s="260"/>
      <c r="BJ410" s="241"/>
      <c r="BK410" s="260"/>
      <c r="BL410" s="239"/>
      <c r="BM410" s="256"/>
      <c r="BN410" s="241"/>
      <c r="BO410" s="243"/>
      <c r="BP410" s="241"/>
      <c r="BQ410" s="239"/>
      <c r="BR410" s="276"/>
      <c r="BS410" s="256"/>
      <c r="BT410" s="260"/>
      <c r="BU410" s="261"/>
      <c r="BV410" s="260"/>
      <c r="BW410" s="239"/>
      <c r="BX410" s="260"/>
      <c r="BY410" s="260"/>
      <c r="BZ410" s="239"/>
      <c r="CA410" s="260"/>
      <c r="CB410" s="239"/>
      <c r="CC410" s="260"/>
      <c r="CD410" s="539"/>
      <c r="CE410" s="239"/>
      <c r="CF410" s="276"/>
      <c r="CG410" s="256"/>
      <c r="CH410" s="259"/>
      <c r="CI410" s="347"/>
      <c r="CJ410" s="540"/>
      <c r="CK410" s="256"/>
      <c r="CL410" s="244">
        <v>1</v>
      </c>
      <c r="CM410" s="274">
        <f t="shared" si="6"/>
        <v>2015</v>
      </c>
      <c r="CN410" s="244">
        <f>IF('Grille de saisie'!CM410&lt;18,0,IF('Grille de saisie'!CM410&lt;40,1,IF('Grille de saisie'!CM410&lt;65,2,IF('Grille de saisie'!CM410&lt;100,3,4))))</f>
        <v>4</v>
      </c>
      <c r="CO410" s="236">
        <f>IF(AND('Grille de saisie'!C410=1,'Grille de saisie'!BZ410=0),1,IF(AND('Grille de saisie'!C410="",'Grille de saisie'!BZ410=""),3,IF(AND('Grille de saisie'!C410=5),3,2)))</f>
        <v>3</v>
      </c>
      <c r="CP410" s="236">
        <f>IF(AND('Grille de saisie'!C410=1,'Grille de saisie'!BZ410=0),1,IF(AND('Grille de saisie'!C410=1,'Grille de saisie'!BZ410=1),2,IF(AND('Grille de saisie'!C410=2,'Grille de saisie'!BZ410=0),2,IF(AND('Grille de saisie'!C410=3,'Grille de saisie'!BZ410=0),3,IF(AND('Grille de saisie'!C410=2,'Grille de saisie'!BZ410=1),3,IF(AND('Grille de saisie'!C410=1,'Grille de saisie'!BZ410=2),3,IF(AND('Grille de saisie'!C410="",'Grille de saisie'!BZ410=""),5,IF(AND('Grille de saisie'!C410=5),5,4))))))))</f>
        <v>5</v>
      </c>
      <c r="CQ410" s="237">
        <f>IF('Grille de saisie'!BZ410="",3,IF('Grille de saisie'!C410=5,3,IF('Grille de saisie'!BZ410=0,1,2)))</f>
        <v>3</v>
      </c>
    </row>
    <row r="411" spans="1:95" ht="15">
      <c r="A411" s="511">
        <v>409</v>
      </c>
      <c r="B411" s="240"/>
      <c r="C411" s="513"/>
      <c r="D411" s="240"/>
      <c r="E411" s="517"/>
      <c r="F411" s="265"/>
      <c r="G411" s="513"/>
      <c r="H411" s="265"/>
      <c r="I411" s="520"/>
      <c r="J411" s="241"/>
      <c r="K411" s="520"/>
      <c r="L411" s="241"/>
      <c r="M411" s="521"/>
      <c r="N411" s="241"/>
      <c r="O411" s="521"/>
      <c r="P411" s="241"/>
      <c r="Q411" s="520"/>
      <c r="R411" s="241"/>
      <c r="S411" s="520"/>
      <c r="T411" s="241"/>
      <c r="U411" s="520"/>
      <c r="V411" s="241"/>
      <c r="W411" s="242"/>
      <c r="X411" s="241"/>
      <c r="Y411" s="242"/>
      <c r="Z411" s="241"/>
      <c r="AA411" s="241"/>
      <c r="AB411" s="275"/>
      <c r="AC411" s="524"/>
      <c r="AD411" s="241"/>
      <c r="AE411" s="241"/>
      <c r="AF411" s="241"/>
      <c r="AG411" s="241"/>
      <c r="AH411" s="241"/>
      <c r="AI411" s="241"/>
      <c r="AJ411" s="529"/>
      <c r="AK411" s="258"/>
      <c r="AL411" s="241"/>
      <c r="AM411" s="242"/>
      <c r="AN411" s="241"/>
      <c r="AO411" s="242"/>
      <c r="AP411" s="241"/>
      <c r="AQ411" s="242"/>
      <c r="AR411" s="241"/>
      <c r="AS411" s="242"/>
      <c r="AT411" s="241"/>
      <c r="AU411" s="241"/>
      <c r="AV411" s="256"/>
      <c r="AW411" s="241"/>
      <c r="AX411" s="256"/>
      <c r="AY411" s="241"/>
      <c r="AZ411" s="256"/>
      <c r="BA411" s="239"/>
      <c r="BB411" s="242"/>
      <c r="BC411" s="239"/>
      <c r="BD411" s="242"/>
      <c r="BE411" s="239"/>
      <c r="BF411" s="241"/>
      <c r="BG411" s="239"/>
      <c r="BH411" s="241"/>
      <c r="BI411" s="260"/>
      <c r="BJ411" s="241"/>
      <c r="BK411" s="260"/>
      <c r="BL411" s="239"/>
      <c r="BM411" s="256"/>
      <c r="BN411" s="241"/>
      <c r="BO411" s="243"/>
      <c r="BP411" s="241"/>
      <c r="BQ411" s="239"/>
      <c r="BR411" s="276"/>
      <c r="BS411" s="256"/>
      <c r="BT411" s="260"/>
      <c r="BU411" s="261"/>
      <c r="BV411" s="260"/>
      <c r="BW411" s="239"/>
      <c r="BX411" s="260"/>
      <c r="BY411" s="260"/>
      <c r="BZ411" s="239"/>
      <c r="CA411" s="260"/>
      <c r="CB411" s="239"/>
      <c r="CC411" s="260"/>
      <c r="CD411" s="539"/>
      <c r="CE411" s="239"/>
      <c r="CF411" s="276"/>
      <c r="CG411" s="256"/>
      <c r="CH411" s="259"/>
      <c r="CI411" s="347"/>
      <c r="CJ411" s="540"/>
      <c r="CK411" s="256"/>
      <c r="CL411" s="244">
        <v>1</v>
      </c>
      <c r="CM411" s="274">
        <f t="shared" si="6"/>
        <v>2015</v>
      </c>
      <c r="CN411" s="244">
        <f>IF('Grille de saisie'!CM411&lt;18,0,IF('Grille de saisie'!CM411&lt;40,1,IF('Grille de saisie'!CM411&lt;65,2,IF('Grille de saisie'!CM411&lt;100,3,4))))</f>
        <v>4</v>
      </c>
      <c r="CO411" s="236">
        <f>IF(AND('Grille de saisie'!C411=1,'Grille de saisie'!BZ411=0),1,IF(AND('Grille de saisie'!C411="",'Grille de saisie'!BZ411=""),3,IF(AND('Grille de saisie'!C411=5),3,2)))</f>
        <v>3</v>
      </c>
      <c r="CP411" s="236">
        <f>IF(AND('Grille de saisie'!C411=1,'Grille de saisie'!BZ411=0),1,IF(AND('Grille de saisie'!C411=1,'Grille de saisie'!BZ411=1),2,IF(AND('Grille de saisie'!C411=2,'Grille de saisie'!BZ411=0),2,IF(AND('Grille de saisie'!C411=3,'Grille de saisie'!BZ411=0),3,IF(AND('Grille de saisie'!C411=2,'Grille de saisie'!BZ411=1),3,IF(AND('Grille de saisie'!C411=1,'Grille de saisie'!BZ411=2),3,IF(AND('Grille de saisie'!C411="",'Grille de saisie'!BZ411=""),5,IF(AND('Grille de saisie'!C411=5),5,4))))))))</f>
        <v>5</v>
      </c>
      <c r="CQ411" s="237">
        <f>IF('Grille de saisie'!BZ411="",3,IF('Grille de saisie'!C411=5,3,IF('Grille de saisie'!BZ411=0,1,2)))</f>
        <v>3</v>
      </c>
    </row>
    <row r="412" spans="1:95" ht="15">
      <c r="A412" s="510">
        <v>410</v>
      </c>
      <c r="B412" s="240"/>
      <c r="C412" s="513"/>
      <c r="D412" s="240"/>
      <c r="E412" s="517"/>
      <c r="F412" s="265"/>
      <c r="G412" s="513"/>
      <c r="H412" s="265"/>
      <c r="I412" s="520"/>
      <c r="J412" s="241"/>
      <c r="K412" s="520"/>
      <c r="L412" s="241"/>
      <c r="M412" s="521"/>
      <c r="N412" s="241"/>
      <c r="O412" s="521"/>
      <c r="P412" s="241"/>
      <c r="Q412" s="520"/>
      <c r="R412" s="241"/>
      <c r="S412" s="520"/>
      <c r="T412" s="241"/>
      <c r="U412" s="520"/>
      <c r="V412" s="241"/>
      <c r="W412" s="242"/>
      <c r="X412" s="241"/>
      <c r="Y412" s="242"/>
      <c r="Z412" s="241"/>
      <c r="AA412" s="241"/>
      <c r="AB412" s="275"/>
      <c r="AC412" s="524"/>
      <c r="AD412" s="241"/>
      <c r="AE412" s="241"/>
      <c r="AF412" s="241"/>
      <c r="AG412" s="241"/>
      <c r="AH412" s="241"/>
      <c r="AI412" s="241"/>
      <c r="AJ412" s="529"/>
      <c r="AK412" s="258"/>
      <c r="AL412" s="241"/>
      <c r="AM412" s="242"/>
      <c r="AN412" s="241"/>
      <c r="AO412" s="242"/>
      <c r="AP412" s="241"/>
      <c r="AQ412" s="242"/>
      <c r="AR412" s="241"/>
      <c r="AS412" s="242"/>
      <c r="AT412" s="241"/>
      <c r="AU412" s="241"/>
      <c r="AV412" s="256"/>
      <c r="AW412" s="241"/>
      <c r="AX412" s="256"/>
      <c r="AY412" s="241"/>
      <c r="AZ412" s="256"/>
      <c r="BA412" s="239"/>
      <c r="BB412" s="242"/>
      <c r="BC412" s="239"/>
      <c r="BD412" s="242"/>
      <c r="BE412" s="239"/>
      <c r="BF412" s="241"/>
      <c r="BG412" s="239"/>
      <c r="BH412" s="241"/>
      <c r="BI412" s="260"/>
      <c r="BJ412" s="241"/>
      <c r="BK412" s="260"/>
      <c r="BL412" s="239"/>
      <c r="BM412" s="256"/>
      <c r="BN412" s="241"/>
      <c r="BO412" s="243"/>
      <c r="BP412" s="241"/>
      <c r="BQ412" s="239"/>
      <c r="BR412" s="276"/>
      <c r="BS412" s="256"/>
      <c r="BT412" s="260"/>
      <c r="BU412" s="261"/>
      <c r="BV412" s="260"/>
      <c r="BW412" s="239"/>
      <c r="BX412" s="260"/>
      <c r="BY412" s="260"/>
      <c r="BZ412" s="239"/>
      <c r="CA412" s="260"/>
      <c r="CB412" s="239"/>
      <c r="CC412" s="260"/>
      <c r="CD412" s="539"/>
      <c r="CE412" s="239"/>
      <c r="CF412" s="276"/>
      <c r="CG412" s="256"/>
      <c r="CH412" s="259"/>
      <c r="CI412" s="347"/>
      <c r="CJ412" s="540"/>
      <c r="CK412" s="256"/>
      <c r="CL412" s="244">
        <v>1</v>
      </c>
      <c r="CM412" s="274">
        <f t="shared" si="6"/>
        <v>2015</v>
      </c>
      <c r="CN412" s="244">
        <f>IF('Grille de saisie'!CM412&lt;18,0,IF('Grille de saisie'!CM412&lt;40,1,IF('Grille de saisie'!CM412&lt;65,2,IF('Grille de saisie'!CM412&lt;100,3,4))))</f>
        <v>4</v>
      </c>
      <c r="CO412" s="236">
        <f>IF(AND('Grille de saisie'!C412=1,'Grille de saisie'!BZ412=0),1,IF(AND('Grille de saisie'!C412="",'Grille de saisie'!BZ412=""),3,IF(AND('Grille de saisie'!C412=5),3,2)))</f>
        <v>3</v>
      </c>
      <c r="CP412" s="236">
        <f>IF(AND('Grille de saisie'!C412=1,'Grille de saisie'!BZ412=0),1,IF(AND('Grille de saisie'!C412=1,'Grille de saisie'!BZ412=1),2,IF(AND('Grille de saisie'!C412=2,'Grille de saisie'!BZ412=0),2,IF(AND('Grille de saisie'!C412=3,'Grille de saisie'!BZ412=0),3,IF(AND('Grille de saisie'!C412=2,'Grille de saisie'!BZ412=1),3,IF(AND('Grille de saisie'!C412=1,'Grille de saisie'!BZ412=2),3,IF(AND('Grille de saisie'!C412="",'Grille de saisie'!BZ412=""),5,IF(AND('Grille de saisie'!C412=5),5,4))))))))</f>
        <v>5</v>
      </c>
      <c r="CQ412" s="237">
        <f>IF('Grille de saisie'!BZ412="",3,IF('Grille de saisie'!C412=5,3,IF('Grille de saisie'!BZ412=0,1,2)))</f>
        <v>3</v>
      </c>
    </row>
    <row r="413" spans="1:95" ht="15">
      <c r="A413" s="510">
        <v>411</v>
      </c>
      <c r="B413" s="240"/>
      <c r="C413" s="513"/>
      <c r="D413" s="240"/>
      <c r="E413" s="517"/>
      <c r="F413" s="265"/>
      <c r="G413" s="513"/>
      <c r="H413" s="265"/>
      <c r="I413" s="520"/>
      <c r="J413" s="241"/>
      <c r="K413" s="520"/>
      <c r="L413" s="241"/>
      <c r="M413" s="521"/>
      <c r="N413" s="241"/>
      <c r="O413" s="521"/>
      <c r="P413" s="241"/>
      <c r="Q413" s="520"/>
      <c r="R413" s="241"/>
      <c r="S413" s="520"/>
      <c r="T413" s="241"/>
      <c r="U413" s="520"/>
      <c r="V413" s="241"/>
      <c r="W413" s="242"/>
      <c r="X413" s="241"/>
      <c r="Y413" s="242"/>
      <c r="Z413" s="241"/>
      <c r="AA413" s="241"/>
      <c r="AB413" s="275"/>
      <c r="AC413" s="524"/>
      <c r="AD413" s="241"/>
      <c r="AE413" s="241"/>
      <c r="AF413" s="241"/>
      <c r="AG413" s="241"/>
      <c r="AH413" s="241"/>
      <c r="AI413" s="241"/>
      <c r="AJ413" s="529"/>
      <c r="AK413" s="258"/>
      <c r="AL413" s="241"/>
      <c r="AM413" s="242"/>
      <c r="AN413" s="241"/>
      <c r="AO413" s="242"/>
      <c r="AP413" s="241"/>
      <c r="AQ413" s="242"/>
      <c r="AR413" s="241"/>
      <c r="AS413" s="242"/>
      <c r="AT413" s="241"/>
      <c r="AU413" s="241"/>
      <c r="AV413" s="256"/>
      <c r="AW413" s="241"/>
      <c r="AX413" s="256"/>
      <c r="AY413" s="241"/>
      <c r="AZ413" s="256"/>
      <c r="BA413" s="239"/>
      <c r="BB413" s="242"/>
      <c r="BC413" s="239"/>
      <c r="BD413" s="242"/>
      <c r="BE413" s="239"/>
      <c r="BF413" s="241"/>
      <c r="BG413" s="239"/>
      <c r="BH413" s="241"/>
      <c r="BI413" s="260"/>
      <c r="BJ413" s="241"/>
      <c r="BK413" s="260"/>
      <c r="BL413" s="239"/>
      <c r="BM413" s="256"/>
      <c r="BN413" s="241"/>
      <c r="BO413" s="243"/>
      <c r="BP413" s="241"/>
      <c r="BQ413" s="239"/>
      <c r="BR413" s="276"/>
      <c r="BS413" s="256"/>
      <c r="BT413" s="260"/>
      <c r="BU413" s="261"/>
      <c r="BV413" s="260"/>
      <c r="BW413" s="239"/>
      <c r="BX413" s="260"/>
      <c r="BY413" s="260"/>
      <c r="BZ413" s="239"/>
      <c r="CA413" s="260"/>
      <c r="CB413" s="239"/>
      <c r="CC413" s="260"/>
      <c r="CD413" s="539"/>
      <c r="CE413" s="239"/>
      <c r="CF413" s="276"/>
      <c r="CG413" s="256"/>
      <c r="CH413" s="259"/>
      <c r="CI413" s="347"/>
      <c r="CJ413" s="540"/>
      <c r="CK413" s="256"/>
      <c r="CL413" s="244">
        <v>1</v>
      </c>
      <c r="CM413" s="274">
        <f t="shared" si="6"/>
        <v>2015</v>
      </c>
      <c r="CN413" s="244">
        <f>IF('Grille de saisie'!CM413&lt;18,0,IF('Grille de saisie'!CM413&lt;40,1,IF('Grille de saisie'!CM413&lt;65,2,IF('Grille de saisie'!CM413&lt;100,3,4))))</f>
        <v>4</v>
      </c>
      <c r="CO413" s="236">
        <f>IF(AND('Grille de saisie'!C413=1,'Grille de saisie'!BZ413=0),1,IF(AND('Grille de saisie'!C413="",'Grille de saisie'!BZ413=""),3,IF(AND('Grille de saisie'!C413=5),3,2)))</f>
        <v>3</v>
      </c>
      <c r="CP413" s="236">
        <f>IF(AND('Grille de saisie'!C413=1,'Grille de saisie'!BZ413=0),1,IF(AND('Grille de saisie'!C413=1,'Grille de saisie'!BZ413=1),2,IF(AND('Grille de saisie'!C413=2,'Grille de saisie'!BZ413=0),2,IF(AND('Grille de saisie'!C413=3,'Grille de saisie'!BZ413=0),3,IF(AND('Grille de saisie'!C413=2,'Grille de saisie'!BZ413=1),3,IF(AND('Grille de saisie'!C413=1,'Grille de saisie'!BZ413=2),3,IF(AND('Grille de saisie'!C413="",'Grille de saisie'!BZ413=""),5,IF(AND('Grille de saisie'!C413=5),5,4))))))))</f>
        <v>5</v>
      </c>
      <c r="CQ413" s="237">
        <f>IF('Grille de saisie'!BZ413="",3,IF('Grille de saisie'!C413=5,3,IF('Grille de saisie'!BZ413=0,1,2)))</f>
        <v>3</v>
      </c>
    </row>
    <row r="414" spans="1:95" ht="15">
      <c r="A414" s="511">
        <v>412</v>
      </c>
      <c r="B414" s="240"/>
      <c r="C414" s="513"/>
      <c r="D414" s="240"/>
      <c r="E414" s="517"/>
      <c r="F414" s="265"/>
      <c r="G414" s="513"/>
      <c r="H414" s="265"/>
      <c r="I414" s="520"/>
      <c r="J414" s="241"/>
      <c r="K414" s="520"/>
      <c r="L414" s="241"/>
      <c r="M414" s="521"/>
      <c r="N414" s="241"/>
      <c r="O414" s="521"/>
      <c r="P414" s="241"/>
      <c r="Q414" s="520"/>
      <c r="R414" s="241"/>
      <c r="S414" s="520"/>
      <c r="T414" s="241"/>
      <c r="U414" s="520"/>
      <c r="V414" s="241"/>
      <c r="W414" s="242"/>
      <c r="X414" s="241"/>
      <c r="Y414" s="242"/>
      <c r="Z414" s="241"/>
      <c r="AA414" s="241"/>
      <c r="AB414" s="275"/>
      <c r="AC414" s="524"/>
      <c r="AD414" s="241"/>
      <c r="AE414" s="241"/>
      <c r="AF414" s="241"/>
      <c r="AG414" s="241"/>
      <c r="AH414" s="241"/>
      <c r="AI414" s="241"/>
      <c r="AJ414" s="529"/>
      <c r="AK414" s="258"/>
      <c r="AL414" s="241"/>
      <c r="AM414" s="242"/>
      <c r="AN414" s="241"/>
      <c r="AO414" s="242"/>
      <c r="AP414" s="241"/>
      <c r="AQ414" s="242"/>
      <c r="AR414" s="241"/>
      <c r="AS414" s="242"/>
      <c r="AT414" s="241"/>
      <c r="AU414" s="241"/>
      <c r="AV414" s="256"/>
      <c r="AW414" s="241"/>
      <c r="AX414" s="256"/>
      <c r="AY414" s="241"/>
      <c r="AZ414" s="256"/>
      <c r="BA414" s="239"/>
      <c r="BB414" s="242"/>
      <c r="BC414" s="239"/>
      <c r="BD414" s="242"/>
      <c r="BE414" s="239"/>
      <c r="BF414" s="241"/>
      <c r="BG414" s="239"/>
      <c r="BH414" s="241"/>
      <c r="BI414" s="260"/>
      <c r="BJ414" s="241"/>
      <c r="BK414" s="260"/>
      <c r="BL414" s="239"/>
      <c r="BM414" s="256"/>
      <c r="BN414" s="241"/>
      <c r="BO414" s="243"/>
      <c r="BP414" s="241"/>
      <c r="BQ414" s="239"/>
      <c r="BR414" s="276"/>
      <c r="BS414" s="256"/>
      <c r="BT414" s="260"/>
      <c r="BU414" s="261"/>
      <c r="BV414" s="260"/>
      <c r="BW414" s="239"/>
      <c r="BX414" s="260"/>
      <c r="BY414" s="260"/>
      <c r="BZ414" s="239"/>
      <c r="CA414" s="260"/>
      <c r="CB414" s="239"/>
      <c r="CC414" s="260"/>
      <c r="CD414" s="539"/>
      <c r="CE414" s="239"/>
      <c r="CF414" s="276"/>
      <c r="CG414" s="256"/>
      <c r="CH414" s="259"/>
      <c r="CI414" s="347"/>
      <c r="CJ414" s="540"/>
      <c r="CK414" s="256"/>
      <c r="CL414" s="244">
        <v>1</v>
      </c>
      <c r="CM414" s="274">
        <f t="shared" si="6"/>
        <v>2015</v>
      </c>
      <c r="CN414" s="244">
        <f>IF('Grille de saisie'!CM414&lt;18,0,IF('Grille de saisie'!CM414&lt;40,1,IF('Grille de saisie'!CM414&lt;65,2,IF('Grille de saisie'!CM414&lt;100,3,4))))</f>
        <v>4</v>
      </c>
      <c r="CO414" s="236">
        <f>IF(AND('Grille de saisie'!C414=1,'Grille de saisie'!BZ414=0),1,IF(AND('Grille de saisie'!C414="",'Grille de saisie'!BZ414=""),3,IF(AND('Grille de saisie'!C414=5),3,2)))</f>
        <v>3</v>
      </c>
      <c r="CP414" s="236">
        <f>IF(AND('Grille de saisie'!C414=1,'Grille de saisie'!BZ414=0),1,IF(AND('Grille de saisie'!C414=1,'Grille de saisie'!BZ414=1),2,IF(AND('Grille de saisie'!C414=2,'Grille de saisie'!BZ414=0),2,IF(AND('Grille de saisie'!C414=3,'Grille de saisie'!BZ414=0),3,IF(AND('Grille de saisie'!C414=2,'Grille de saisie'!BZ414=1),3,IF(AND('Grille de saisie'!C414=1,'Grille de saisie'!BZ414=2),3,IF(AND('Grille de saisie'!C414="",'Grille de saisie'!BZ414=""),5,IF(AND('Grille de saisie'!C414=5),5,4))))))))</f>
        <v>5</v>
      </c>
      <c r="CQ414" s="237">
        <f>IF('Grille de saisie'!BZ414="",3,IF('Grille de saisie'!C414=5,3,IF('Grille de saisie'!BZ414=0,1,2)))</f>
        <v>3</v>
      </c>
    </row>
    <row r="415" spans="1:95" ht="15">
      <c r="A415" s="510">
        <v>413</v>
      </c>
      <c r="B415" s="240"/>
      <c r="C415" s="513"/>
      <c r="D415" s="240"/>
      <c r="E415" s="517"/>
      <c r="F415" s="265"/>
      <c r="G415" s="513"/>
      <c r="H415" s="265"/>
      <c r="I415" s="520"/>
      <c r="J415" s="241"/>
      <c r="K415" s="520"/>
      <c r="L415" s="241"/>
      <c r="M415" s="521"/>
      <c r="N415" s="241"/>
      <c r="O415" s="521"/>
      <c r="P415" s="241"/>
      <c r="Q415" s="520"/>
      <c r="R415" s="241"/>
      <c r="S415" s="520"/>
      <c r="T415" s="241"/>
      <c r="U415" s="520"/>
      <c r="V415" s="241"/>
      <c r="W415" s="242"/>
      <c r="X415" s="241"/>
      <c r="Y415" s="242"/>
      <c r="Z415" s="241"/>
      <c r="AA415" s="241"/>
      <c r="AB415" s="275"/>
      <c r="AC415" s="524"/>
      <c r="AD415" s="241"/>
      <c r="AE415" s="241"/>
      <c r="AF415" s="241"/>
      <c r="AG415" s="241"/>
      <c r="AH415" s="241"/>
      <c r="AI415" s="241"/>
      <c r="AJ415" s="529"/>
      <c r="AK415" s="258"/>
      <c r="AL415" s="241"/>
      <c r="AM415" s="242"/>
      <c r="AN415" s="241"/>
      <c r="AO415" s="242"/>
      <c r="AP415" s="241"/>
      <c r="AQ415" s="242"/>
      <c r="AR415" s="241"/>
      <c r="AS415" s="242"/>
      <c r="AT415" s="241"/>
      <c r="AU415" s="241"/>
      <c r="AV415" s="256"/>
      <c r="AW415" s="241"/>
      <c r="AX415" s="256"/>
      <c r="AY415" s="241"/>
      <c r="AZ415" s="256"/>
      <c r="BA415" s="239"/>
      <c r="BB415" s="242"/>
      <c r="BC415" s="239"/>
      <c r="BD415" s="242"/>
      <c r="BE415" s="239"/>
      <c r="BF415" s="241"/>
      <c r="BG415" s="239"/>
      <c r="BH415" s="241"/>
      <c r="BI415" s="260"/>
      <c r="BJ415" s="241"/>
      <c r="BK415" s="260"/>
      <c r="BL415" s="239"/>
      <c r="BM415" s="256"/>
      <c r="BN415" s="241"/>
      <c r="BO415" s="243"/>
      <c r="BP415" s="241"/>
      <c r="BQ415" s="239"/>
      <c r="BR415" s="276"/>
      <c r="BS415" s="256"/>
      <c r="BT415" s="260"/>
      <c r="BU415" s="261"/>
      <c r="BV415" s="260"/>
      <c r="BW415" s="239"/>
      <c r="BX415" s="260"/>
      <c r="BY415" s="260"/>
      <c r="BZ415" s="239"/>
      <c r="CA415" s="260"/>
      <c r="CB415" s="239"/>
      <c r="CC415" s="260"/>
      <c r="CD415" s="539"/>
      <c r="CE415" s="239"/>
      <c r="CF415" s="276"/>
      <c r="CG415" s="256"/>
      <c r="CH415" s="259"/>
      <c r="CI415" s="347"/>
      <c r="CJ415" s="540"/>
      <c r="CK415" s="256"/>
      <c r="CL415" s="244">
        <v>1</v>
      </c>
      <c r="CM415" s="274">
        <f t="shared" si="6"/>
        <v>2015</v>
      </c>
      <c r="CN415" s="244">
        <f>IF('Grille de saisie'!CM415&lt;18,0,IF('Grille de saisie'!CM415&lt;40,1,IF('Grille de saisie'!CM415&lt;65,2,IF('Grille de saisie'!CM415&lt;100,3,4))))</f>
        <v>4</v>
      </c>
      <c r="CO415" s="236">
        <f>IF(AND('Grille de saisie'!C415=1,'Grille de saisie'!BZ415=0),1,IF(AND('Grille de saisie'!C415="",'Grille de saisie'!BZ415=""),3,IF(AND('Grille de saisie'!C415=5),3,2)))</f>
        <v>3</v>
      </c>
      <c r="CP415" s="236">
        <f>IF(AND('Grille de saisie'!C415=1,'Grille de saisie'!BZ415=0),1,IF(AND('Grille de saisie'!C415=1,'Grille de saisie'!BZ415=1),2,IF(AND('Grille de saisie'!C415=2,'Grille de saisie'!BZ415=0),2,IF(AND('Grille de saisie'!C415=3,'Grille de saisie'!BZ415=0),3,IF(AND('Grille de saisie'!C415=2,'Grille de saisie'!BZ415=1),3,IF(AND('Grille de saisie'!C415=1,'Grille de saisie'!BZ415=2),3,IF(AND('Grille de saisie'!C415="",'Grille de saisie'!BZ415=""),5,IF(AND('Grille de saisie'!C415=5),5,4))))))))</f>
        <v>5</v>
      </c>
      <c r="CQ415" s="237">
        <f>IF('Grille de saisie'!BZ415="",3,IF('Grille de saisie'!C415=5,3,IF('Grille de saisie'!BZ415=0,1,2)))</f>
        <v>3</v>
      </c>
    </row>
    <row r="416" spans="1:95" ht="15">
      <c r="A416" s="510">
        <v>414</v>
      </c>
      <c r="B416" s="240"/>
      <c r="C416" s="513"/>
      <c r="D416" s="240"/>
      <c r="E416" s="517"/>
      <c r="F416" s="265"/>
      <c r="G416" s="513"/>
      <c r="H416" s="265"/>
      <c r="I416" s="520"/>
      <c r="J416" s="241"/>
      <c r="K416" s="520"/>
      <c r="L416" s="241"/>
      <c r="M416" s="521"/>
      <c r="N416" s="241"/>
      <c r="O416" s="521"/>
      <c r="P416" s="241"/>
      <c r="Q416" s="520"/>
      <c r="R416" s="241"/>
      <c r="S416" s="520"/>
      <c r="T416" s="241"/>
      <c r="U416" s="520"/>
      <c r="V416" s="241"/>
      <c r="W416" s="242"/>
      <c r="X416" s="241"/>
      <c r="Y416" s="242"/>
      <c r="Z416" s="241"/>
      <c r="AA416" s="241"/>
      <c r="AB416" s="275"/>
      <c r="AC416" s="524"/>
      <c r="AD416" s="241"/>
      <c r="AE416" s="241"/>
      <c r="AF416" s="241"/>
      <c r="AG416" s="241"/>
      <c r="AH416" s="241"/>
      <c r="AI416" s="241"/>
      <c r="AJ416" s="529"/>
      <c r="AK416" s="258"/>
      <c r="AL416" s="241"/>
      <c r="AM416" s="242"/>
      <c r="AN416" s="241"/>
      <c r="AO416" s="242"/>
      <c r="AP416" s="241"/>
      <c r="AQ416" s="242"/>
      <c r="AR416" s="241"/>
      <c r="AS416" s="242"/>
      <c r="AT416" s="241"/>
      <c r="AU416" s="241"/>
      <c r="AV416" s="256"/>
      <c r="AW416" s="241"/>
      <c r="AX416" s="256"/>
      <c r="AY416" s="241"/>
      <c r="AZ416" s="256"/>
      <c r="BA416" s="239"/>
      <c r="BB416" s="242"/>
      <c r="BC416" s="239"/>
      <c r="BD416" s="242"/>
      <c r="BE416" s="239"/>
      <c r="BF416" s="241"/>
      <c r="BG416" s="239"/>
      <c r="BH416" s="241"/>
      <c r="BI416" s="260"/>
      <c r="BJ416" s="241"/>
      <c r="BK416" s="260"/>
      <c r="BL416" s="239"/>
      <c r="BM416" s="256"/>
      <c r="BN416" s="241"/>
      <c r="BO416" s="243"/>
      <c r="BP416" s="241"/>
      <c r="BQ416" s="239"/>
      <c r="BR416" s="276"/>
      <c r="BS416" s="256"/>
      <c r="BT416" s="260"/>
      <c r="BU416" s="261"/>
      <c r="BV416" s="260"/>
      <c r="BW416" s="239"/>
      <c r="BX416" s="260"/>
      <c r="BY416" s="260"/>
      <c r="BZ416" s="239"/>
      <c r="CA416" s="260"/>
      <c r="CB416" s="239"/>
      <c r="CC416" s="260"/>
      <c r="CD416" s="539"/>
      <c r="CE416" s="239"/>
      <c r="CF416" s="276"/>
      <c r="CG416" s="256"/>
      <c r="CH416" s="259"/>
      <c r="CI416" s="347"/>
      <c r="CJ416" s="540"/>
      <c r="CK416" s="256"/>
      <c r="CL416" s="244">
        <v>1</v>
      </c>
      <c r="CM416" s="274">
        <f t="shared" si="6"/>
        <v>2015</v>
      </c>
      <c r="CN416" s="244">
        <f>IF('Grille de saisie'!CM416&lt;18,0,IF('Grille de saisie'!CM416&lt;40,1,IF('Grille de saisie'!CM416&lt;65,2,IF('Grille de saisie'!CM416&lt;100,3,4))))</f>
        <v>4</v>
      </c>
      <c r="CO416" s="236">
        <f>IF(AND('Grille de saisie'!C416=1,'Grille de saisie'!BZ416=0),1,IF(AND('Grille de saisie'!C416="",'Grille de saisie'!BZ416=""),3,IF(AND('Grille de saisie'!C416=5),3,2)))</f>
        <v>3</v>
      </c>
      <c r="CP416" s="236">
        <f>IF(AND('Grille de saisie'!C416=1,'Grille de saisie'!BZ416=0),1,IF(AND('Grille de saisie'!C416=1,'Grille de saisie'!BZ416=1),2,IF(AND('Grille de saisie'!C416=2,'Grille de saisie'!BZ416=0),2,IF(AND('Grille de saisie'!C416=3,'Grille de saisie'!BZ416=0),3,IF(AND('Grille de saisie'!C416=2,'Grille de saisie'!BZ416=1),3,IF(AND('Grille de saisie'!C416=1,'Grille de saisie'!BZ416=2),3,IF(AND('Grille de saisie'!C416="",'Grille de saisie'!BZ416=""),5,IF(AND('Grille de saisie'!C416=5),5,4))))))))</f>
        <v>5</v>
      </c>
      <c r="CQ416" s="237">
        <f>IF('Grille de saisie'!BZ416="",3,IF('Grille de saisie'!C416=5,3,IF('Grille de saisie'!BZ416=0,1,2)))</f>
        <v>3</v>
      </c>
    </row>
    <row r="417" spans="1:95" ht="15">
      <c r="A417" s="511">
        <v>415</v>
      </c>
      <c r="B417" s="240"/>
      <c r="C417" s="513"/>
      <c r="D417" s="240"/>
      <c r="E417" s="517"/>
      <c r="F417" s="265"/>
      <c r="G417" s="513"/>
      <c r="H417" s="265"/>
      <c r="I417" s="520"/>
      <c r="J417" s="241"/>
      <c r="K417" s="520"/>
      <c r="L417" s="241"/>
      <c r="M417" s="521"/>
      <c r="N417" s="241"/>
      <c r="O417" s="521"/>
      <c r="P417" s="241"/>
      <c r="Q417" s="520"/>
      <c r="R417" s="241"/>
      <c r="S417" s="520"/>
      <c r="T417" s="241"/>
      <c r="U417" s="520"/>
      <c r="V417" s="241"/>
      <c r="W417" s="242"/>
      <c r="X417" s="241"/>
      <c r="Y417" s="242"/>
      <c r="Z417" s="241"/>
      <c r="AA417" s="241"/>
      <c r="AB417" s="275"/>
      <c r="AC417" s="524"/>
      <c r="AD417" s="241"/>
      <c r="AE417" s="241"/>
      <c r="AF417" s="241"/>
      <c r="AG417" s="241"/>
      <c r="AH417" s="241"/>
      <c r="AI417" s="241"/>
      <c r="AJ417" s="529"/>
      <c r="AK417" s="258"/>
      <c r="AL417" s="241"/>
      <c r="AM417" s="242"/>
      <c r="AN417" s="241"/>
      <c r="AO417" s="242"/>
      <c r="AP417" s="241"/>
      <c r="AQ417" s="242"/>
      <c r="AR417" s="241"/>
      <c r="AS417" s="242"/>
      <c r="AT417" s="241"/>
      <c r="AU417" s="241"/>
      <c r="AV417" s="256"/>
      <c r="AW417" s="241"/>
      <c r="AX417" s="256"/>
      <c r="AY417" s="241"/>
      <c r="AZ417" s="256"/>
      <c r="BA417" s="239"/>
      <c r="BB417" s="242"/>
      <c r="BC417" s="239"/>
      <c r="BD417" s="242"/>
      <c r="BE417" s="239"/>
      <c r="BF417" s="241"/>
      <c r="BG417" s="239"/>
      <c r="BH417" s="241"/>
      <c r="BI417" s="260"/>
      <c r="BJ417" s="241"/>
      <c r="BK417" s="260"/>
      <c r="BL417" s="239"/>
      <c r="BM417" s="256"/>
      <c r="BN417" s="241"/>
      <c r="BO417" s="243"/>
      <c r="BP417" s="241"/>
      <c r="BQ417" s="239"/>
      <c r="BR417" s="276"/>
      <c r="BS417" s="256"/>
      <c r="BT417" s="260"/>
      <c r="BU417" s="261"/>
      <c r="BV417" s="260"/>
      <c r="BW417" s="239"/>
      <c r="BX417" s="260"/>
      <c r="BY417" s="260"/>
      <c r="BZ417" s="239"/>
      <c r="CA417" s="260"/>
      <c r="CB417" s="239"/>
      <c r="CC417" s="260"/>
      <c r="CD417" s="539"/>
      <c r="CE417" s="239"/>
      <c r="CF417" s="276"/>
      <c r="CG417" s="256"/>
      <c r="CH417" s="259"/>
      <c r="CI417" s="347"/>
      <c r="CJ417" s="540"/>
      <c r="CK417" s="256"/>
      <c r="CL417" s="244">
        <v>1</v>
      </c>
      <c r="CM417" s="274">
        <f t="shared" si="6"/>
        <v>2015</v>
      </c>
      <c r="CN417" s="244">
        <f>IF('Grille de saisie'!CM417&lt;18,0,IF('Grille de saisie'!CM417&lt;40,1,IF('Grille de saisie'!CM417&lt;65,2,IF('Grille de saisie'!CM417&lt;100,3,4))))</f>
        <v>4</v>
      </c>
      <c r="CO417" s="236">
        <f>IF(AND('Grille de saisie'!C417=1,'Grille de saisie'!BZ417=0),1,IF(AND('Grille de saisie'!C417="",'Grille de saisie'!BZ417=""),3,IF(AND('Grille de saisie'!C417=5),3,2)))</f>
        <v>3</v>
      </c>
      <c r="CP417" s="236">
        <f>IF(AND('Grille de saisie'!C417=1,'Grille de saisie'!BZ417=0),1,IF(AND('Grille de saisie'!C417=1,'Grille de saisie'!BZ417=1),2,IF(AND('Grille de saisie'!C417=2,'Grille de saisie'!BZ417=0),2,IF(AND('Grille de saisie'!C417=3,'Grille de saisie'!BZ417=0),3,IF(AND('Grille de saisie'!C417=2,'Grille de saisie'!BZ417=1),3,IF(AND('Grille de saisie'!C417=1,'Grille de saisie'!BZ417=2),3,IF(AND('Grille de saisie'!C417="",'Grille de saisie'!BZ417=""),5,IF(AND('Grille de saisie'!C417=5),5,4))))))))</f>
        <v>5</v>
      </c>
      <c r="CQ417" s="237">
        <f>IF('Grille de saisie'!BZ417="",3,IF('Grille de saisie'!C417=5,3,IF('Grille de saisie'!BZ417=0,1,2)))</f>
        <v>3</v>
      </c>
    </row>
    <row r="418" spans="1:95" ht="15">
      <c r="A418" s="510">
        <v>416</v>
      </c>
      <c r="B418" s="240"/>
      <c r="C418" s="513"/>
      <c r="D418" s="240"/>
      <c r="E418" s="517"/>
      <c r="F418" s="265"/>
      <c r="G418" s="513"/>
      <c r="H418" s="265"/>
      <c r="I418" s="520"/>
      <c r="J418" s="241"/>
      <c r="K418" s="520"/>
      <c r="L418" s="241"/>
      <c r="M418" s="521"/>
      <c r="N418" s="241"/>
      <c r="O418" s="521"/>
      <c r="P418" s="241"/>
      <c r="Q418" s="520"/>
      <c r="R418" s="241"/>
      <c r="S418" s="520"/>
      <c r="T418" s="241"/>
      <c r="U418" s="520"/>
      <c r="V418" s="241"/>
      <c r="W418" s="242"/>
      <c r="X418" s="241"/>
      <c r="Y418" s="242"/>
      <c r="Z418" s="241"/>
      <c r="AA418" s="241"/>
      <c r="AB418" s="275"/>
      <c r="AC418" s="524"/>
      <c r="AD418" s="241"/>
      <c r="AE418" s="241"/>
      <c r="AF418" s="241"/>
      <c r="AG418" s="241"/>
      <c r="AH418" s="241"/>
      <c r="AI418" s="241"/>
      <c r="AJ418" s="529"/>
      <c r="AK418" s="258"/>
      <c r="AL418" s="241"/>
      <c r="AM418" s="242"/>
      <c r="AN418" s="241"/>
      <c r="AO418" s="242"/>
      <c r="AP418" s="241"/>
      <c r="AQ418" s="242"/>
      <c r="AR418" s="241"/>
      <c r="AS418" s="242"/>
      <c r="AT418" s="241"/>
      <c r="AU418" s="241"/>
      <c r="AV418" s="256"/>
      <c r="AW418" s="241"/>
      <c r="AX418" s="256"/>
      <c r="AY418" s="241"/>
      <c r="AZ418" s="256"/>
      <c r="BA418" s="239"/>
      <c r="BB418" s="242"/>
      <c r="BC418" s="239"/>
      <c r="BD418" s="242"/>
      <c r="BE418" s="239"/>
      <c r="BF418" s="241"/>
      <c r="BG418" s="239"/>
      <c r="BH418" s="241"/>
      <c r="BI418" s="260"/>
      <c r="BJ418" s="241"/>
      <c r="BK418" s="260"/>
      <c r="BL418" s="239"/>
      <c r="BM418" s="256"/>
      <c r="BN418" s="241"/>
      <c r="BO418" s="243"/>
      <c r="BP418" s="241"/>
      <c r="BQ418" s="239"/>
      <c r="BR418" s="276"/>
      <c r="BS418" s="256"/>
      <c r="BT418" s="260"/>
      <c r="BU418" s="261"/>
      <c r="BV418" s="260"/>
      <c r="BW418" s="239"/>
      <c r="BX418" s="260"/>
      <c r="BY418" s="260"/>
      <c r="BZ418" s="239"/>
      <c r="CA418" s="260"/>
      <c r="CB418" s="239"/>
      <c r="CC418" s="260"/>
      <c r="CD418" s="539"/>
      <c r="CE418" s="239"/>
      <c r="CF418" s="276"/>
      <c r="CG418" s="256"/>
      <c r="CH418" s="259"/>
      <c r="CI418" s="347"/>
      <c r="CJ418" s="540"/>
      <c r="CK418" s="256"/>
      <c r="CL418" s="244">
        <v>1</v>
      </c>
      <c r="CM418" s="274">
        <f t="shared" si="6"/>
        <v>2015</v>
      </c>
      <c r="CN418" s="244">
        <f>IF('Grille de saisie'!CM418&lt;18,0,IF('Grille de saisie'!CM418&lt;40,1,IF('Grille de saisie'!CM418&lt;65,2,IF('Grille de saisie'!CM418&lt;100,3,4))))</f>
        <v>4</v>
      </c>
      <c r="CO418" s="236">
        <f>IF(AND('Grille de saisie'!C418=1,'Grille de saisie'!BZ418=0),1,IF(AND('Grille de saisie'!C418="",'Grille de saisie'!BZ418=""),3,IF(AND('Grille de saisie'!C418=5),3,2)))</f>
        <v>3</v>
      </c>
      <c r="CP418" s="236">
        <f>IF(AND('Grille de saisie'!C418=1,'Grille de saisie'!BZ418=0),1,IF(AND('Grille de saisie'!C418=1,'Grille de saisie'!BZ418=1),2,IF(AND('Grille de saisie'!C418=2,'Grille de saisie'!BZ418=0),2,IF(AND('Grille de saisie'!C418=3,'Grille de saisie'!BZ418=0),3,IF(AND('Grille de saisie'!C418=2,'Grille de saisie'!BZ418=1),3,IF(AND('Grille de saisie'!C418=1,'Grille de saisie'!BZ418=2),3,IF(AND('Grille de saisie'!C418="",'Grille de saisie'!BZ418=""),5,IF(AND('Grille de saisie'!C418=5),5,4))))))))</f>
        <v>5</v>
      </c>
      <c r="CQ418" s="237">
        <f>IF('Grille de saisie'!BZ418="",3,IF('Grille de saisie'!C418=5,3,IF('Grille de saisie'!BZ418=0,1,2)))</f>
        <v>3</v>
      </c>
    </row>
    <row r="419" spans="1:95" ht="15">
      <c r="A419" s="510">
        <v>417</v>
      </c>
      <c r="B419" s="240"/>
      <c r="C419" s="513"/>
      <c r="D419" s="240"/>
      <c r="E419" s="517"/>
      <c r="F419" s="265"/>
      <c r="G419" s="513"/>
      <c r="H419" s="265"/>
      <c r="I419" s="520"/>
      <c r="J419" s="241"/>
      <c r="K419" s="520"/>
      <c r="L419" s="241"/>
      <c r="M419" s="521"/>
      <c r="N419" s="241"/>
      <c r="O419" s="521"/>
      <c r="P419" s="241"/>
      <c r="Q419" s="520"/>
      <c r="R419" s="241"/>
      <c r="S419" s="520"/>
      <c r="T419" s="241"/>
      <c r="U419" s="520"/>
      <c r="V419" s="241"/>
      <c r="W419" s="242"/>
      <c r="X419" s="241"/>
      <c r="Y419" s="242"/>
      <c r="Z419" s="241"/>
      <c r="AA419" s="241"/>
      <c r="AB419" s="275"/>
      <c r="AC419" s="524"/>
      <c r="AD419" s="241"/>
      <c r="AE419" s="241"/>
      <c r="AF419" s="241"/>
      <c r="AG419" s="241"/>
      <c r="AH419" s="241"/>
      <c r="AI419" s="241"/>
      <c r="AJ419" s="529"/>
      <c r="AK419" s="258"/>
      <c r="AL419" s="241"/>
      <c r="AM419" s="242"/>
      <c r="AN419" s="241"/>
      <c r="AO419" s="242"/>
      <c r="AP419" s="241"/>
      <c r="AQ419" s="242"/>
      <c r="AR419" s="241"/>
      <c r="AS419" s="242"/>
      <c r="AT419" s="241"/>
      <c r="AU419" s="241"/>
      <c r="AV419" s="256"/>
      <c r="AW419" s="241"/>
      <c r="AX419" s="256"/>
      <c r="AY419" s="241"/>
      <c r="AZ419" s="256"/>
      <c r="BA419" s="239"/>
      <c r="BB419" s="242"/>
      <c r="BC419" s="239"/>
      <c r="BD419" s="242"/>
      <c r="BE419" s="239"/>
      <c r="BF419" s="241"/>
      <c r="BG419" s="239"/>
      <c r="BH419" s="241"/>
      <c r="BI419" s="260"/>
      <c r="BJ419" s="241"/>
      <c r="BK419" s="260"/>
      <c r="BL419" s="239"/>
      <c r="BM419" s="256"/>
      <c r="BN419" s="241"/>
      <c r="BO419" s="243"/>
      <c r="BP419" s="241"/>
      <c r="BQ419" s="239"/>
      <c r="BR419" s="276"/>
      <c r="BS419" s="256"/>
      <c r="BT419" s="260"/>
      <c r="BU419" s="261"/>
      <c r="BV419" s="260"/>
      <c r="BW419" s="239"/>
      <c r="BX419" s="260"/>
      <c r="BY419" s="260"/>
      <c r="BZ419" s="239"/>
      <c r="CA419" s="260"/>
      <c r="CB419" s="239"/>
      <c r="CC419" s="260"/>
      <c r="CD419" s="539"/>
      <c r="CE419" s="239"/>
      <c r="CF419" s="276"/>
      <c r="CG419" s="256"/>
      <c r="CH419" s="259"/>
      <c r="CI419" s="347"/>
      <c r="CJ419" s="540"/>
      <c r="CK419" s="256"/>
      <c r="CL419" s="244">
        <v>1</v>
      </c>
      <c r="CM419" s="274">
        <f t="shared" si="6"/>
        <v>2015</v>
      </c>
      <c r="CN419" s="244">
        <f>IF('Grille de saisie'!CM419&lt;18,0,IF('Grille de saisie'!CM419&lt;40,1,IF('Grille de saisie'!CM419&lt;65,2,IF('Grille de saisie'!CM419&lt;100,3,4))))</f>
        <v>4</v>
      </c>
      <c r="CO419" s="236">
        <f>IF(AND('Grille de saisie'!C419=1,'Grille de saisie'!BZ419=0),1,IF(AND('Grille de saisie'!C419="",'Grille de saisie'!BZ419=""),3,IF(AND('Grille de saisie'!C419=5),3,2)))</f>
        <v>3</v>
      </c>
      <c r="CP419" s="236">
        <f>IF(AND('Grille de saisie'!C419=1,'Grille de saisie'!BZ419=0),1,IF(AND('Grille de saisie'!C419=1,'Grille de saisie'!BZ419=1),2,IF(AND('Grille de saisie'!C419=2,'Grille de saisie'!BZ419=0),2,IF(AND('Grille de saisie'!C419=3,'Grille de saisie'!BZ419=0),3,IF(AND('Grille de saisie'!C419=2,'Grille de saisie'!BZ419=1),3,IF(AND('Grille de saisie'!C419=1,'Grille de saisie'!BZ419=2),3,IF(AND('Grille de saisie'!C419="",'Grille de saisie'!BZ419=""),5,IF(AND('Grille de saisie'!C419=5),5,4))))))))</f>
        <v>5</v>
      </c>
      <c r="CQ419" s="237">
        <f>IF('Grille de saisie'!BZ419="",3,IF('Grille de saisie'!C419=5,3,IF('Grille de saisie'!BZ419=0,1,2)))</f>
        <v>3</v>
      </c>
    </row>
    <row r="420" spans="1:95" ht="15">
      <c r="A420" s="511">
        <v>418</v>
      </c>
      <c r="B420" s="240"/>
      <c r="C420" s="513"/>
      <c r="D420" s="240"/>
      <c r="E420" s="517"/>
      <c r="F420" s="265"/>
      <c r="G420" s="513"/>
      <c r="H420" s="265"/>
      <c r="I420" s="520"/>
      <c r="J420" s="241"/>
      <c r="K420" s="520"/>
      <c r="L420" s="241"/>
      <c r="M420" s="521"/>
      <c r="N420" s="241"/>
      <c r="O420" s="521"/>
      <c r="P420" s="241"/>
      <c r="Q420" s="520"/>
      <c r="R420" s="241"/>
      <c r="S420" s="520"/>
      <c r="T420" s="241"/>
      <c r="U420" s="520"/>
      <c r="V420" s="241"/>
      <c r="W420" s="242"/>
      <c r="X420" s="241"/>
      <c r="Y420" s="242"/>
      <c r="Z420" s="241"/>
      <c r="AA420" s="241"/>
      <c r="AB420" s="275"/>
      <c r="AC420" s="524"/>
      <c r="AD420" s="241"/>
      <c r="AE420" s="241"/>
      <c r="AF420" s="241"/>
      <c r="AG420" s="241"/>
      <c r="AH420" s="241"/>
      <c r="AI420" s="241"/>
      <c r="AJ420" s="529"/>
      <c r="AK420" s="258"/>
      <c r="AL420" s="241"/>
      <c r="AM420" s="242"/>
      <c r="AN420" s="241"/>
      <c r="AO420" s="242"/>
      <c r="AP420" s="241"/>
      <c r="AQ420" s="242"/>
      <c r="AR420" s="241"/>
      <c r="AS420" s="242"/>
      <c r="AT420" s="241"/>
      <c r="AU420" s="241"/>
      <c r="AV420" s="256"/>
      <c r="AW420" s="241"/>
      <c r="AX420" s="256"/>
      <c r="AY420" s="241"/>
      <c r="AZ420" s="256"/>
      <c r="BA420" s="239"/>
      <c r="BB420" s="242"/>
      <c r="BC420" s="239"/>
      <c r="BD420" s="242"/>
      <c r="BE420" s="239"/>
      <c r="BF420" s="241"/>
      <c r="BG420" s="239"/>
      <c r="BH420" s="241"/>
      <c r="BI420" s="260"/>
      <c r="BJ420" s="241"/>
      <c r="BK420" s="260"/>
      <c r="BL420" s="239"/>
      <c r="BM420" s="256"/>
      <c r="BN420" s="241"/>
      <c r="BO420" s="243"/>
      <c r="BP420" s="241"/>
      <c r="BQ420" s="239"/>
      <c r="BR420" s="276"/>
      <c r="BS420" s="256"/>
      <c r="BT420" s="260"/>
      <c r="BU420" s="261"/>
      <c r="BV420" s="260"/>
      <c r="BW420" s="239"/>
      <c r="BX420" s="260"/>
      <c r="BY420" s="260"/>
      <c r="BZ420" s="239"/>
      <c r="CA420" s="260"/>
      <c r="CB420" s="239"/>
      <c r="CC420" s="260"/>
      <c r="CD420" s="539"/>
      <c r="CE420" s="239"/>
      <c r="CF420" s="276"/>
      <c r="CG420" s="256"/>
      <c r="CH420" s="259"/>
      <c r="CI420" s="347"/>
      <c r="CJ420" s="540"/>
      <c r="CK420" s="256"/>
      <c r="CL420" s="244">
        <v>1</v>
      </c>
      <c r="CM420" s="274">
        <f t="shared" si="6"/>
        <v>2015</v>
      </c>
      <c r="CN420" s="244">
        <f>IF('Grille de saisie'!CM420&lt;18,0,IF('Grille de saisie'!CM420&lt;40,1,IF('Grille de saisie'!CM420&lt;65,2,IF('Grille de saisie'!CM420&lt;100,3,4))))</f>
        <v>4</v>
      </c>
      <c r="CO420" s="236">
        <f>IF(AND('Grille de saisie'!C420=1,'Grille de saisie'!BZ420=0),1,IF(AND('Grille de saisie'!C420="",'Grille de saisie'!BZ420=""),3,IF(AND('Grille de saisie'!C420=5),3,2)))</f>
        <v>3</v>
      </c>
      <c r="CP420" s="236">
        <f>IF(AND('Grille de saisie'!C420=1,'Grille de saisie'!BZ420=0),1,IF(AND('Grille de saisie'!C420=1,'Grille de saisie'!BZ420=1),2,IF(AND('Grille de saisie'!C420=2,'Grille de saisie'!BZ420=0),2,IF(AND('Grille de saisie'!C420=3,'Grille de saisie'!BZ420=0),3,IF(AND('Grille de saisie'!C420=2,'Grille de saisie'!BZ420=1),3,IF(AND('Grille de saisie'!C420=1,'Grille de saisie'!BZ420=2),3,IF(AND('Grille de saisie'!C420="",'Grille de saisie'!BZ420=""),5,IF(AND('Grille de saisie'!C420=5),5,4))))))))</f>
        <v>5</v>
      </c>
      <c r="CQ420" s="237">
        <f>IF('Grille de saisie'!BZ420="",3,IF('Grille de saisie'!C420=5,3,IF('Grille de saisie'!BZ420=0,1,2)))</f>
        <v>3</v>
      </c>
    </row>
    <row r="421" spans="1:95" ht="15">
      <c r="A421" s="510">
        <v>419</v>
      </c>
      <c r="B421" s="240"/>
      <c r="C421" s="513"/>
      <c r="D421" s="240"/>
      <c r="E421" s="517"/>
      <c r="F421" s="265"/>
      <c r="G421" s="513"/>
      <c r="H421" s="265"/>
      <c r="I421" s="520"/>
      <c r="J421" s="241"/>
      <c r="K421" s="520"/>
      <c r="L421" s="241"/>
      <c r="M421" s="521"/>
      <c r="N421" s="241"/>
      <c r="O421" s="521"/>
      <c r="P421" s="241"/>
      <c r="Q421" s="520"/>
      <c r="R421" s="241"/>
      <c r="S421" s="520"/>
      <c r="T421" s="241"/>
      <c r="U421" s="520"/>
      <c r="V421" s="241"/>
      <c r="W421" s="242"/>
      <c r="X421" s="241"/>
      <c r="Y421" s="242"/>
      <c r="Z421" s="241"/>
      <c r="AA421" s="241"/>
      <c r="AB421" s="275"/>
      <c r="AC421" s="524"/>
      <c r="AD421" s="241"/>
      <c r="AE421" s="241"/>
      <c r="AF421" s="241"/>
      <c r="AG421" s="241"/>
      <c r="AH421" s="241"/>
      <c r="AI421" s="241"/>
      <c r="AJ421" s="529"/>
      <c r="AK421" s="258"/>
      <c r="AL421" s="241"/>
      <c r="AM421" s="242"/>
      <c r="AN421" s="241"/>
      <c r="AO421" s="242"/>
      <c r="AP421" s="241"/>
      <c r="AQ421" s="242"/>
      <c r="AR421" s="241"/>
      <c r="AS421" s="242"/>
      <c r="AT421" s="241"/>
      <c r="AU421" s="241"/>
      <c r="AV421" s="256"/>
      <c r="AW421" s="241"/>
      <c r="AX421" s="256"/>
      <c r="AY421" s="241"/>
      <c r="AZ421" s="256"/>
      <c r="BA421" s="239"/>
      <c r="BB421" s="242"/>
      <c r="BC421" s="239"/>
      <c r="BD421" s="242"/>
      <c r="BE421" s="239"/>
      <c r="BF421" s="241"/>
      <c r="BG421" s="239"/>
      <c r="BH421" s="241"/>
      <c r="BI421" s="260"/>
      <c r="BJ421" s="241"/>
      <c r="BK421" s="260"/>
      <c r="BL421" s="239"/>
      <c r="BM421" s="256"/>
      <c r="BN421" s="241"/>
      <c r="BO421" s="243"/>
      <c r="BP421" s="241"/>
      <c r="BQ421" s="239"/>
      <c r="BR421" s="276"/>
      <c r="BS421" s="256"/>
      <c r="BT421" s="260"/>
      <c r="BU421" s="261"/>
      <c r="BV421" s="260"/>
      <c r="BW421" s="239"/>
      <c r="BX421" s="260"/>
      <c r="BY421" s="260"/>
      <c r="BZ421" s="239"/>
      <c r="CA421" s="260"/>
      <c r="CB421" s="239"/>
      <c r="CC421" s="260"/>
      <c r="CD421" s="539"/>
      <c r="CE421" s="239"/>
      <c r="CF421" s="276"/>
      <c r="CG421" s="256"/>
      <c r="CH421" s="259"/>
      <c r="CI421" s="347"/>
      <c r="CJ421" s="540"/>
      <c r="CK421" s="256"/>
      <c r="CL421" s="244">
        <v>1</v>
      </c>
      <c r="CM421" s="274">
        <f t="shared" si="6"/>
        <v>2015</v>
      </c>
      <c r="CN421" s="244">
        <f>IF('Grille de saisie'!CM421&lt;18,0,IF('Grille de saisie'!CM421&lt;40,1,IF('Grille de saisie'!CM421&lt;65,2,IF('Grille de saisie'!CM421&lt;100,3,4))))</f>
        <v>4</v>
      </c>
      <c r="CO421" s="236">
        <f>IF(AND('Grille de saisie'!C421=1,'Grille de saisie'!BZ421=0),1,IF(AND('Grille de saisie'!C421="",'Grille de saisie'!BZ421=""),3,IF(AND('Grille de saisie'!C421=5),3,2)))</f>
        <v>3</v>
      </c>
      <c r="CP421" s="236">
        <f>IF(AND('Grille de saisie'!C421=1,'Grille de saisie'!BZ421=0),1,IF(AND('Grille de saisie'!C421=1,'Grille de saisie'!BZ421=1),2,IF(AND('Grille de saisie'!C421=2,'Grille de saisie'!BZ421=0),2,IF(AND('Grille de saisie'!C421=3,'Grille de saisie'!BZ421=0),3,IF(AND('Grille de saisie'!C421=2,'Grille de saisie'!BZ421=1),3,IF(AND('Grille de saisie'!C421=1,'Grille de saisie'!BZ421=2),3,IF(AND('Grille de saisie'!C421="",'Grille de saisie'!BZ421=""),5,IF(AND('Grille de saisie'!C421=5),5,4))))))))</f>
        <v>5</v>
      </c>
      <c r="CQ421" s="237">
        <f>IF('Grille de saisie'!BZ421="",3,IF('Grille de saisie'!C421=5,3,IF('Grille de saisie'!BZ421=0,1,2)))</f>
        <v>3</v>
      </c>
    </row>
    <row r="422" spans="1:95" ht="15">
      <c r="A422" s="510">
        <v>420</v>
      </c>
      <c r="B422" s="240"/>
      <c r="C422" s="513"/>
      <c r="D422" s="240"/>
      <c r="E422" s="517"/>
      <c r="F422" s="265"/>
      <c r="G422" s="513"/>
      <c r="H422" s="265"/>
      <c r="I422" s="520"/>
      <c r="J422" s="241"/>
      <c r="K422" s="520"/>
      <c r="L422" s="241"/>
      <c r="M422" s="521"/>
      <c r="N422" s="241"/>
      <c r="O422" s="521"/>
      <c r="P422" s="241"/>
      <c r="Q422" s="520"/>
      <c r="R422" s="241"/>
      <c r="S422" s="520"/>
      <c r="T422" s="241"/>
      <c r="U422" s="520"/>
      <c r="V422" s="241"/>
      <c r="W422" s="242"/>
      <c r="X422" s="241"/>
      <c r="Y422" s="242"/>
      <c r="Z422" s="241"/>
      <c r="AA422" s="241"/>
      <c r="AB422" s="275"/>
      <c r="AC422" s="524"/>
      <c r="AD422" s="241"/>
      <c r="AE422" s="241"/>
      <c r="AF422" s="241"/>
      <c r="AG422" s="241"/>
      <c r="AH422" s="241"/>
      <c r="AI422" s="241"/>
      <c r="AJ422" s="529"/>
      <c r="AK422" s="258"/>
      <c r="AL422" s="241"/>
      <c r="AM422" s="242"/>
      <c r="AN422" s="241"/>
      <c r="AO422" s="242"/>
      <c r="AP422" s="241"/>
      <c r="AQ422" s="242"/>
      <c r="AR422" s="241"/>
      <c r="AS422" s="242"/>
      <c r="AT422" s="241"/>
      <c r="AU422" s="241"/>
      <c r="AV422" s="256"/>
      <c r="AW422" s="241"/>
      <c r="AX422" s="256"/>
      <c r="AY422" s="241"/>
      <c r="AZ422" s="256"/>
      <c r="BA422" s="239"/>
      <c r="BB422" s="242"/>
      <c r="BC422" s="239"/>
      <c r="BD422" s="242"/>
      <c r="BE422" s="239"/>
      <c r="BF422" s="241"/>
      <c r="BG422" s="239"/>
      <c r="BH422" s="241"/>
      <c r="BI422" s="260"/>
      <c r="BJ422" s="241"/>
      <c r="BK422" s="260"/>
      <c r="BL422" s="239"/>
      <c r="BM422" s="256"/>
      <c r="BN422" s="241"/>
      <c r="BO422" s="243"/>
      <c r="BP422" s="241"/>
      <c r="BQ422" s="239"/>
      <c r="BR422" s="276"/>
      <c r="BS422" s="256"/>
      <c r="BT422" s="260"/>
      <c r="BU422" s="261"/>
      <c r="BV422" s="260"/>
      <c r="BW422" s="239"/>
      <c r="BX422" s="260"/>
      <c r="BY422" s="260"/>
      <c r="BZ422" s="239"/>
      <c r="CA422" s="260"/>
      <c r="CB422" s="239"/>
      <c r="CC422" s="260"/>
      <c r="CD422" s="539"/>
      <c r="CE422" s="239"/>
      <c r="CF422" s="276"/>
      <c r="CG422" s="256"/>
      <c r="CH422" s="259"/>
      <c r="CI422" s="347"/>
      <c r="CJ422" s="540"/>
      <c r="CK422" s="256"/>
      <c r="CL422" s="244">
        <v>1</v>
      </c>
      <c r="CM422" s="274">
        <f t="shared" si="6"/>
        <v>2015</v>
      </c>
      <c r="CN422" s="244">
        <f>IF('Grille de saisie'!CM422&lt;18,0,IF('Grille de saisie'!CM422&lt;40,1,IF('Grille de saisie'!CM422&lt;65,2,IF('Grille de saisie'!CM422&lt;100,3,4))))</f>
        <v>4</v>
      </c>
      <c r="CO422" s="236">
        <f>IF(AND('Grille de saisie'!C422=1,'Grille de saisie'!BZ422=0),1,IF(AND('Grille de saisie'!C422="",'Grille de saisie'!BZ422=""),3,IF(AND('Grille de saisie'!C422=5),3,2)))</f>
        <v>3</v>
      </c>
      <c r="CP422" s="236">
        <f>IF(AND('Grille de saisie'!C422=1,'Grille de saisie'!BZ422=0),1,IF(AND('Grille de saisie'!C422=1,'Grille de saisie'!BZ422=1),2,IF(AND('Grille de saisie'!C422=2,'Grille de saisie'!BZ422=0),2,IF(AND('Grille de saisie'!C422=3,'Grille de saisie'!BZ422=0),3,IF(AND('Grille de saisie'!C422=2,'Grille de saisie'!BZ422=1),3,IF(AND('Grille de saisie'!C422=1,'Grille de saisie'!BZ422=2),3,IF(AND('Grille de saisie'!C422="",'Grille de saisie'!BZ422=""),5,IF(AND('Grille de saisie'!C422=5),5,4))))))))</f>
        <v>5</v>
      </c>
      <c r="CQ422" s="237">
        <f>IF('Grille de saisie'!BZ422="",3,IF('Grille de saisie'!C422=5,3,IF('Grille de saisie'!BZ422=0,1,2)))</f>
        <v>3</v>
      </c>
    </row>
    <row r="423" spans="1:95" ht="15">
      <c r="A423" s="511">
        <v>421</v>
      </c>
      <c r="B423" s="240"/>
      <c r="C423" s="513"/>
      <c r="D423" s="240"/>
      <c r="E423" s="517"/>
      <c r="F423" s="265"/>
      <c r="G423" s="513"/>
      <c r="H423" s="265"/>
      <c r="I423" s="520"/>
      <c r="J423" s="241"/>
      <c r="K423" s="520"/>
      <c r="L423" s="241"/>
      <c r="M423" s="521"/>
      <c r="N423" s="241"/>
      <c r="O423" s="521"/>
      <c r="P423" s="241"/>
      <c r="Q423" s="520"/>
      <c r="R423" s="241"/>
      <c r="S423" s="520"/>
      <c r="T423" s="241"/>
      <c r="U423" s="520"/>
      <c r="V423" s="241"/>
      <c r="W423" s="242"/>
      <c r="X423" s="241"/>
      <c r="Y423" s="242"/>
      <c r="Z423" s="241"/>
      <c r="AA423" s="241"/>
      <c r="AB423" s="275"/>
      <c r="AC423" s="524"/>
      <c r="AD423" s="241"/>
      <c r="AE423" s="241"/>
      <c r="AF423" s="241"/>
      <c r="AG423" s="241"/>
      <c r="AH423" s="241"/>
      <c r="AI423" s="241"/>
      <c r="AJ423" s="529"/>
      <c r="AK423" s="258"/>
      <c r="AL423" s="241"/>
      <c r="AM423" s="242"/>
      <c r="AN423" s="241"/>
      <c r="AO423" s="242"/>
      <c r="AP423" s="241"/>
      <c r="AQ423" s="242"/>
      <c r="AR423" s="241"/>
      <c r="AS423" s="242"/>
      <c r="AT423" s="241"/>
      <c r="AU423" s="241"/>
      <c r="AV423" s="256"/>
      <c r="AW423" s="241"/>
      <c r="AX423" s="256"/>
      <c r="AY423" s="241"/>
      <c r="AZ423" s="256"/>
      <c r="BA423" s="239"/>
      <c r="BB423" s="242"/>
      <c r="BC423" s="239"/>
      <c r="BD423" s="242"/>
      <c r="BE423" s="239"/>
      <c r="BF423" s="241"/>
      <c r="BG423" s="239"/>
      <c r="BH423" s="241"/>
      <c r="BI423" s="260"/>
      <c r="BJ423" s="241"/>
      <c r="BK423" s="260"/>
      <c r="BL423" s="239"/>
      <c r="BM423" s="256"/>
      <c r="BN423" s="241"/>
      <c r="BO423" s="243"/>
      <c r="BP423" s="241"/>
      <c r="BQ423" s="239"/>
      <c r="BR423" s="276"/>
      <c r="BS423" s="256"/>
      <c r="BT423" s="260"/>
      <c r="BU423" s="261"/>
      <c r="BV423" s="260"/>
      <c r="BW423" s="239"/>
      <c r="BX423" s="260"/>
      <c r="BY423" s="260"/>
      <c r="BZ423" s="239"/>
      <c r="CA423" s="260"/>
      <c r="CB423" s="239"/>
      <c r="CC423" s="260"/>
      <c r="CD423" s="539"/>
      <c r="CE423" s="239"/>
      <c r="CF423" s="276"/>
      <c r="CG423" s="256"/>
      <c r="CH423" s="259"/>
      <c r="CI423" s="347"/>
      <c r="CJ423" s="540"/>
      <c r="CK423" s="256"/>
      <c r="CL423" s="244">
        <v>1</v>
      </c>
      <c r="CM423" s="274">
        <f t="shared" si="6"/>
        <v>2015</v>
      </c>
      <c r="CN423" s="244">
        <f>IF('Grille de saisie'!CM423&lt;18,0,IF('Grille de saisie'!CM423&lt;40,1,IF('Grille de saisie'!CM423&lt;65,2,IF('Grille de saisie'!CM423&lt;100,3,4))))</f>
        <v>4</v>
      </c>
      <c r="CO423" s="236">
        <f>IF(AND('Grille de saisie'!C423=1,'Grille de saisie'!BZ423=0),1,IF(AND('Grille de saisie'!C423="",'Grille de saisie'!BZ423=""),3,IF(AND('Grille de saisie'!C423=5),3,2)))</f>
        <v>3</v>
      </c>
      <c r="CP423" s="236">
        <f>IF(AND('Grille de saisie'!C423=1,'Grille de saisie'!BZ423=0),1,IF(AND('Grille de saisie'!C423=1,'Grille de saisie'!BZ423=1),2,IF(AND('Grille de saisie'!C423=2,'Grille de saisie'!BZ423=0),2,IF(AND('Grille de saisie'!C423=3,'Grille de saisie'!BZ423=0),3,IF(AND('Grille de saisie'!C423=2,'Grille de saisie'!BZ423=1),3,IF(AND('Grille de saisie'!C423=1,'Grille de saisie'!BZ423=2),3,IF(AND('Grille de saisie'!C423="",'Grille de saisie'!BZ423=""),5,IF(AND('Grille de saisie'!C423=5),5,4))))))))</f>
        <v>5</v>
      </c>
      <c r="CQ423" s="237">
        <f>IF('Grille de saisie'!BZ423="",3,IF('Grille de saisie'!C423=5,3,IF('Grille de saisie'!BZ423=0,1,2)))</f>
        <v>3</v>
      </c>
    </row>
    <row r="424" spans="1:95" ht="15">
      <c r="A424" s="510">
        <v>422</v>
      </c>
      <c r="B424" s="240"/>
      <c r="C424" s="513"/>
      <c r="D424" s="240"/>
      <c r="E424" s="517"/>
      <c r="F424" s="265"/>
      <c r="G424" s="513"/>
      <c r="H424" s="265"/>
      <c r="I424" s="520"/>
      <c r="J424" s="241"/>
      <c r="K424" s="520"/>
      <c r="L424" s="241"/>
      <c r="M424" s="521"/>
      <c r="N424" s="241"/>
      <c r="O424" s="521"/>
      <c r="P424" s="241"/>
      <c r="Q424" s="520"/>
      <c r="R424" s="241"/>
      <c r="S424" s="520"/>
      <c r="T424" s="241"/>
      <c r="U424" s="520"/>
      <c r="V424" s="241"/>
      <c r="W424" s="242"/>
      <c r="X424" s="241"/>
      <c r="Y424" s="242"/>
      <c r="Z424" s="241"/>
      <c r="AA424" s="241"/>
      <c r="AB424" s="275"/>
      <c r="AC424" s="524"/>
      <c r="AD424" s="241"/>
      <c r="AE424" s="241"/>
      <c r="AF424" s="241"/>
      <c r="AG424" s="241"/>
      <c r="AH424" s="241"/>
      <c r="AI424" s="241"/>
      <c r="AJ424" s="529"/>
      <c r="AK424" s="258"/>
      <c r="AL424" s="241"/>
      <c r="AM424" s="242"/>
      <c r="AN424" s="241"/>
      <c r="AO424" s="242"/>
      <c r="AP424" s="241"/>
      <c r="AQ424" s="242"/>
      <c r="AR424" s="241"/>
      <c r="AS424" s="242"/>
      <c r="AT424" s="241"/>
      <c r="AU424" s="241"/>
      <c r="AV424" s="256"/>
      <c r="AW424" s="241"/>
      <c r="AX424" s="256"/>
      <c r="AY424" s="241"/>
      <c r="AZ424" s="256"/>
      <c r="BA424" s="239"/>
      <c r="BB424" s="242"/>
      <c r="BC424" s="239"/>
      <c r="BD424" s="242"/>
      <c r="BE424" s="239"/>
      <c r="BF424" s="241"/>
      <c r="BG424" s="239"/>
      <c r="BH424" s="241"/>
      <c r="BI424" s="260"/>
      <c r="BJ424" s="241"/>
      <c r="BK424" s="260"/>
      <c r="BL424" s="239"/>
      <c r="BM424" s="256"/>
      <c r="BN424" s="241"/>
      <c r="BO424" s="243"/>
      <c r="BP424" s="241"/>
      <c r="BQ424" s="239"/>
      <c r="BR424" s="276"/>
      <c r="BS424" s="256"/>
      <c r="BT424" s="260"/>
      <c r="BU424" s="261"/>
      <c r="BV424" s="260"/>
      <c r="BW424" s="239"/>
      <c r="BX424" s="260"/>
      <c r="BY424" s="260"/>
      <c r="BZ424" s="239"/>
      <c r="CA424" s="260"/>
      <c r="CB424" s="239"/>
      <c r="CC424" s="260"/>
      <c r="CD424" s="539"/>
      <c r="CE424" s="239"/>
      <c r="CF424" s="276"/>
      <c r="CG424" s="256"/>
      <c r="CH424" s="259"/>
      <c r="CI424" s="347"/>
      <c r="CJ424" s="540"/>
      <c r="CK424" s="256"/>
      <c r="CL424" s="244">
        <v>1</v>
      </c>
      <c r="CM424" s="274">
        <f t="shared" si="6"/>
        <v>2015</v>
      </c>
      <c r="CN424" s="244">
        <f>IF('Grille de saisie'!CM424&lt;18,0,IF('Grille de saisie'!CM424&lt;40,1,IF('Grille de saisie'!CM424&lt;65,2,IF('Grille de saisie'!CM424&lt;100,3,4))))</f>
        <v>4</v>
      </c>
      <c r="CO424" s="236">
        <f>IF(AND('Grille de saisie'!C424=1,'Grille de saisie'!BZ424=0),1,IF(AND('Grille de saisie'!C424="",'Grille de saisie'!BZ424=""),3,IF(AND('Grille de saisie'!C424=5),3,2)))</f>
        <v>3</v>
      </c>
      <c r="CP424" s="236">
        <f>IF(AND('Grille de saisie'!C424=1,'Grille de saisie'!BZ424=0),1,IF(AND('Grille de saisie'!C424=1,'Grille de saisie'!BZ424=1),2,IF(AND('Grille de saisie'!C424=2,'Grille de saisie'!BZ424=0),2,IF(AND('Grille de saisie'!C424=3,'Grille de saisie'!BZ424=0),3,IF(AND('Grille de saisie'!C424=2,'Grille de saisie'!BZ424=1),3,IF(AND('Grille de saisie'!C424=1,'Grille de saisie'!BZ424=2),3,IF(AND('Grille de saisie'!C424="",'Grille de saisie'!BZ424=""),5,IF(AND('Grille de saisie'!C424=5),5,4))))))))</f>
        <v>5</v>
      </c>
      <c r="CQ424" s="237">
        <f>IF('Grille de saisie'!BZ424="",3,IF('Grille de saisie'!C424=5,3,IF('Grille de saisie'!BZ424=0,1,2)))</f>
        <v>3</v>
      </c>
    </row>
    <row r="425" spans="1:95" ht="15">
      <c r="A425" s="510">
        <v>423</v>
      </c>
      <c r="B425" s="240"/>
      <c r="C425" s="513"/>
      <c r="D425" s="240"/>
      <c r="E425" s="517"/>
      <c r="F425" s="265"/>
      <c r="G425" s="513"/>
      <c r="H425" s="265"/>
      <c r="I425" s="520"/>
      <c r="J425" s="241"/>
      <c r="K425" s="520"/>
      <c r="L425" s="241"/>
      <c r="M425" s="521"/>
      <c r="N425" s="241"/>
      <c r="O425" s="521"/>
      <c r="P425" s="241"/>
      <c r="Q425" s="520"/>
      <c r="R425" s="241"/>
      <c r="S425" s="520"/>
      <c r="T425" s="241"/>
      <c r="U425" s="520"/>
      <c r="V425" s="241"/>
      <c r="W425" s="242"/>
      <c r="X425" s="241"/>
      <c r="Y425" s="242"/>
      <c r="Z425" s="241"/>
      <c r="AA425" s="241"/>
      <c r="AB425" s="275"/>
      <c r="AC425" s="524"/>
      <c r="AD425" s="241"/>
      <c r="AE425" s="241"/>
      <c r="AF425" s="241"/>
      <c r="AG425" s="241"/>
      <c r="AH425" s="241"/>
      <c r="AI425" s="241"/>
      <c r="AJ425" s="529"/>
      <c r="AK425" s="258"/>
      <c r="AL425" s="241"/>
      <c r="AM425" s="242"/>
      <c r="AN425" s="241"/>
      <c r="AO425" s="242"/>
      <c r="AP425" s="241"/>
      <c r="AQ425" s="242"/>
      <c r="AR425" s="241"/>
      <c r="AS425" s="242"/>
      <c r="AT425" s="241"/>
      <c r="AU425" s="241"/>
      <c r="AV425" s="256"/>
      <c r="AW425" s="241"/>
      <c r="AX425" s="256"/>
      <c r="AY425" s="241"/>
      <c r="AZ425" s="256"/>
      <c r="BA425" s="239"/>
      <c r="BB425" s="242"/>
      <c r="BC425" s="239"/>
      <c r="BD425" s="242"/>
      <c r="BE425" s="239"/>
      <c r="BF425" s="241"/>
      <c r="BG425" s="239"/>
      <c r="BH425" s="241"/>
      <c r="BI425" s="260"/>
      <c r="BJ425" s="241"/>
      <c r="BK425" s="260"/>
      <c r="BL425" s="239"/>
      <c r="BM425" s="256"/>
      <c r="BN425" s="241"/>
      <c r="BO425" s="243"/>
      <c r="BP425" s="241"/>
      <c r="BQ425" s="239"/>
      <c r="BR425" s="276"/>
      <c r="BS425" s="256"/>
      <c r="BT425" s="260"/>
      <c r="BU425" s="261"/>
      <c r="BV425" s="260"/>
      <c r="BW425" s="239"/>
      <c r="BX425" s="260"/>
      <c r="BY425" s="260"/>
      <c r="BZ425" s="239"/>
      <c r="CA425" s="260"/>
      <c r="CB425" s="239"/>
      <c r="CC425" s="260"/>
      <c r="CD425" s="539"/>
      <c r="CE425" s="239"/>
      <c r="CF425" s="276"/>
      <c r="CG425" s="256"/>
      <c r="CH425" s="259"/>
      <c r="CI425" s="347"/>
      <c r="CJ425" s="540"/>
      <c r="CK425" s="256"/>
      <c r="CL425" s="244">
        <v>1</v>
      </c>
      <c r="CM425" s="274">
        <f t="shared" si="6"/>
        <v>2015</v>
      </c>
      <c r="CN425" s="244">
        <f>IF('Grille de saisie'!CM425&lt;18,0,IF('Grille de saisie'!CM425&lt;40,1,IF('Grille de saisie'!CM425&lt;65,2,IF('Grille de saisie'!CM425&lt;100,3,4))))</f>
        <v>4</v>
      </c>
      <c r="CO425" s="236">
        <f>IF(AND('Grille de saisie'!C425=1,'Grille de saisie'!BZ425=0),1,IF(AND('Grille de saisie'!C425="",'Grille de saisie'!BZ425=""),3,IF(AND('Grille de saisie'!C425=5),3,2)))</f>
        <v>3</v>
      </c>
      <c r="CP425" s="236">
        <f>IF(AND('Grille de saisie'!C425=1,'Grille de saisie'!BZ425=0),1,IF(AND('Grille de saisie'!C425=1,'Grille de saisie'!BZ425=1),2,IF(AND('Grille de saisie'!C425=2,'Grille de saisie'!BZ425=0),2,IF(AND('Grille de saisie'!C425=3,'Grille de saisie'!BZ425=0),3,IF(AND('Grille de saisie'!C425=2,'Grille de saisie'!BZ425=1),3,IF(AND('Grille de saisie'!C425=1,'Grille de saisie'!BZ425=2),3,IF(AND('Grille de saisie'!C425="",'Grille de saisie'!BZ425=""),5,IF(AND('Grille de saisie'!C425=5),5,4))))))))</f>
        <v>5</v>
      </c>
      <c r="CQ425" s="237">
        <f>IF('Grille de saisie'!BZ425="",3,IF('Grille de saisie'!C425=5,3,IF('Grille de saisie'!BZ425=0,1,2)))</f>
        <v>3</v>
      </c>
    </row>
    <row r="426" spans="1:95" ht="15">
      <c r="A426" s="511">
        <v>424</v>
      </c>
      <c r="B426" s="240"/>
      <c r="C426" s="513"/>
      <c r="D426" s="240"/>
      <c r="E426" s="517"/>
      <c r="F426" s="265"/>
      <c r="G426" s="513"/>
      <c r="H426" s="265"/>
      <c r="I426" s="520"/>
      <c r="J426" s="241"/>
      <c r="K426" s="520"/>
      <c r="L426" s="241"/>
      <c r="M426" s="521"/>
      <c r="N426" s="241"/>
      <c r="O426" s="521"/>
      <c r="P426" s="241"/>
      <c r="Q426" s="520"/>
      <c r="R426" s="241"/>
      <c r="S426" s="520"/>
      <c r="T426" s="241"/>
      <c r="U426" s="520"/>
      <c r="V426" s="241"/>
      <c r="W426" s="242"/>
      <c r="X426" s="241"/>
      <c r="Y426" s="242"/>
      <c r="Z426" s="241"/>
      <c r="AA426" s="241"/>
      <c r="AB426" s="275"/>
      <c r="AC426" s="524"/>
      <c r="AD426" s="241"/>
      <c r="AE426" s="241"/>
      <c r="AF426" s="241"/>
      <c r="AG426" s="241"/>
      <c r="AH426" s="241"/>
      <c r="AI426" s="241"/>
      <c r="AJ426" s="529"/>
      <c r="AK426" s="258"/>
      <c r="AL426" s="241"/>
      <c r="AM426" s="242"/>
      <c r="AN426" s="241"/>
      <c r="AO426" s="242"/>
      <c r="AP426" s="241"/>
      <c r="AQ426" s="242"/>
      <c r="AR426" s="241"/>
      <c r="AS426" s="242"/>
      <c r="AT426" s="241"/>
      <c r="AU426" s="241"/>
      <c r="AV426" s="256"/>
      <c r="AW426" s="241"/>
      <c r="AX426" s="256"/>
      <c r="AY426" s="241"/>
      <c r="AZ426" s="256"/>
      <c r="BA426" s="239"/>
      <c r="BB426" s="242"/>
      <c r="BC426" s="239"/>
      <c r="BD426" s="242"/>
      <c r="BE426" s="239"/>
      <c r="BF426" s="241"/>
      <c r="BG426" s="239"/>
      <c r="BH426" s="241"/>
      <c r="BI426" s="260"/>
      <c r="BJ426" s="241"/>
      <c r="BK426" s="260"/>
      <c r="BL426" s="239"/>
      <c r="BM426" s="256"/>
      <c r="BN426" s="241"/>
      <c r="BO426" s="243"/>
      <c r="BP426" s="241"/>
      <c r="BQ426" s="239"/>
      <c r="BR426" s="276"/>
      <c r="BS426" s="256"/>
      <c r="BT426" s="260"/>
      <c r="BU426" s="261"/>
      <c r="BV426" s="260"/>
      <c r="BW426" s="239"/>
      <c r="BX426" s="260"/>
      <c r="BY426" s="260"/>
      <c r="BZ426" s="239"/>
      <c r="CA426" s="260"/>
      <c r="CB426" s="239"/>
      <c r="CC426" s="260"/>
      <c r="CD426" s="539"/>
      <c r="CE426" s="239"/>
      <c r="CF426" s="276"/>
      <c r="CG426" s="256"/>
      <c r="CH426" s="259"/>
      <c r="CI426" s="347"/>
      <c r="CJ426" s="540"/>
      <c r="CK426" s="256"/>
      <c r="CL426" s="244">
        <v>1</v>
      </c>
      <c r="CM426" s="274">
        <f t="shared" si="6"/>
        <v>2015</v>
      </c>
      <c r="CN426" s="244">
        <f>IF('Grille de saisie'!CM426&lt;18,0,IF('Grille de saisie'!CM426&lt;40,1,IF('Grille de saisie'!CM426&lt;65,2,IF('Grille de saisie'!CM426&lt;100,3,4))))</f>
        <v>4</v>
      </c>
      <c r="CO426" s="236">
        <f>IF(AND('Grille de saisie'!C426=1,'Grille de saisie'!BZ426=0),1,IF(AND('Grille de saisie'!C426="",'Grille de saisie'!BZ426=""),3,IF(AND('Grille de saisie'!C426=5),3,2)))</f>
        <v>3</v>
      </c>
      <c r="CP426" s="236">
        <f>IF(AND('Grille de saisie'!C426=1,'Grille de saisie'!BZ426=0),1,IF(AND('Grille de saisie'!C426=1,'Grille de saisie'!BZ426=1),2,IF(AND('Grille de saisie'!C426=2,'Grille de saisie'!BZ426=0),2,IF(AND('Grille de saisie'!C426=3,'Grille de saisie'!BZ426=0),3,IF(AND('Grille de saisie'!C426=2,'Grille de saisie'!BZ426=1),3,IF(AND('Grille de saisie'!C426=1,'Grille de saisie'!BZ426=2),3,IF(AND('Grille de saisie'!C426="",'Grille de saisie'!BZ426=""),5,IF(AND('Grille de saisie'!C426=5),5,4))))))))</f>
        <v>5</v>
      </c>
      <c r="CQ426" s="237">
        <f>IF('Grille de saisie'!BZ426="",3,IF('Grille de saisie'!C426=5,3,IF('Grille de saisie'!BZ426=0,1,2)))</f>
        <v>3</v>
      </c>
    </row>
    <row r="427" spans="1:95" ht="15">
      <c r="A427" s="510">
        <v>425</v>
      </c>
      <c r="B427" s="240"/>
      <c r="C427" s="513"/>
      <c r="D427" s="240"/>
      <c r="E427" s="517"/>
      <c r="F427" s="265"/>
      <c r="G427" s="513"/>
      <c r="H427" s="265"/>
      <c r="I427" s="520"/>
      <c r="J427" s="241"/>
      <c r="K427" s="520"/>
      <c r="L427" s="241"/>
      <c r="M427" s="521"/>
      <c r="N427" s="241"/>
      <c r="O427" s="521"/>
      <c r="P427" s="241"/>
      <c r="Q427" s="520"/>
      <c r="R427" s="241"/>
      <c r="S427" s="520"/>
      <c r="T427" s="241"/>
      <c r="U427" s="520"/>
      <c r="V427" s="241"/>
      <c r="W427" s="242"/>
      <c r="X427" s="241"/>
      <c r="Y427" s="242"/>
      <c r="Z427" s="241"/>
      <c r="AA427" s="241"/>
      <c r="AB427" s="275"/>
      <c r="AC427" s="524"/>
      <c r="AD427" s="241"/>
      <c r="AE427" s="241"/>
      <c r="AF427" s="241"/>
      <c r="AG427" s="241"/>
      <c r="AH427" s="241"/>
      <c r="AI427" s="241"/>
      <c r="AJ427" s="529"/>
      <c r="AK427" s="258"/>
      <c r="AL427" s="241"/>
      <c r="AM427" s="242"/>
      <c r="AN427" s="241"/>
      <c r="AO427" s="242"/>
      <c r="AP427" s="241"/>
      <c r="AQ427" s="242"/>
      <c r="AR427" s="241"/>
      <c r="AS427" s="242"/>
      <c r="AT427" s="241"/>
      <c r="AU427" s="241"/>
      <c r="AV427" s="256"/>
      <c r="AW427" s="241"/>
      <c r="AX427" s="256"/>
      <c r="AY427" s="241"/>
      <c r="AZ427" s="256"/>
      <c r="BA427" s="239"/>
      <c r="BB427" s="242"/>
      <c r="BC427" s="239"/>
      <c r="BD427" s="242"/>
      <c r="BE427" s="239"/>
      <c r="BF427" s="241"/>
      <c r="BG427" s="239"/>
      <c r="BH427" s="241"/>
      <c r="BI427" s="260"/>
      <c r="BJ427" s="241"/>
      <c r="BK427" s="260"/>
      <c r="BL427" s="239"/>
      <c r="BM427" s="256"/>
      <c r="BN427" s="241"/>
      <c r="BO427" s="243"/>
      <c r="BP427" s="241"/>
      <c r="BQ427" s="239"/>
      <c r="BR427" s="276"/>
      <c r="BS427" s="256"/>
      <c r="BT427" s="260"/>
      <c r="BU427" s="261"/>
      <c r="BV427" s="260"/>
      <c r="BW427" s="239"/>
      <c r="BX427" s="260"/>
      <c r="BY427" s="260"/>
      <c r="BZ427" s="239"/>
      <c r="CA427" s="260"/>
      <c r="CB427" s="239"/>
      <c r="CC427" s="260"/>
      <c r="CD427" s="539"/>
      <c r="CE427" s="239"/>
      <c r="CF427" s="276"/>
      <c r="CG427" s="256"/>
      <c r="CH427" s="259"/>
      <c r="CI427" s="347"/>
      <c r="CJ427" s="540"/>
      <c r="CK427" s="256"/>
      <c r="CL427" s="244">
        <v>1</v>
      </c>
      <c r="CM427" s="274">
        <f t="shared" si="6"/>
        <v>2015</v>
      </c>
      <c r="CN427" s="244">
        <f>IF('Grille de saisie'!CM427&lt;18,0,IF('Grille de saisie'!CM427&lt;40,1,IF('Grille de saisie'!CM427&lt;65,2,IF('Grille de saisie'!CM427&lt;100,3,4))))</f>
        <v>4</v>
      </c>
      <c r="CO427" s="236">
        <f>IF(AND('Grille de saisie'!C427=1,'Grille de saisie'!BZ427=0),1,IF(AND('Grille de saisie'!C427="",'Grille de saisie'!BZ427=""),3,IF(AND('Grille de saisie'!C427=5),3,2)))</f>
        <v>3</v>
      </c>
      <c r="CP427" s="236">
        <f>IF(AND('Grille de saisie'!C427=1,'Grille de saisie'!BZ427=0),1,IF(AND('Grille de saisie'!C427=1,'Grille de saisie'!BZ427=1),2,IF(AND('Grille de saisie'!C427=2,'Grille de saisie'!BZ427=0),2,IF(AND('Grille de saisie'!C427=3,'Grille de saisie'!BZ427=0),3,IF(AND('Grille de saisie'!C427=2,'Grille de saisie'!BZ427=1),3,IF(AND('Grille de saisie'!C427=1,'Grille de saisie'!BZ427=2),3,IF(AND('Grille de saisie'!C427="",'Grille de saisie'!BZ427=""),5,IF(AND('Grille de saisie'!C427=5),5,4))))))))</f>
        <v>5</v>
      </c>
      <c r="CQ427" s="237">
        <f>IF('Grille de saisie'!BZ427="",3,IF('Grille de saisie'!C427=5,3,IF('Grille de saisie'!BZ427=0,1,2)))</f>
        <v>3</v>
      </c>
    </row>
    <row r="428" spans="1:95" ht="15">
      <c r="A428" s="510">
        <v>426</v>
      </c>
      <c r="B428" s="240"/>
      <c r="C428" s="513"/>
      <c r="D428" s="240"/>
      <c r="E428" s="517"/>
      <c r="F428" s="265"/>
      <c r="G428" s="513"/>
      <c r="H428" s="265"/>
      <c r="I428" s="520"/>
      <c r="J428" s="241"/>
      <c r="K428" s="520"/>
      <c r="L428" s="241"/>
      <c r="M428" s="521"/>
      <c r="N428" s="241"/>
      <c r="O428" s="521"/>
      <c r="P428" s="241"/>
      <c r="Q428" s="520"/>
      <c r="R428" s="241"/>
      <c r="S428" s="520"/>
      <c r="T428" s="241"/>
      <c r="U428" s="520"/>
      <c r="V428" s="241"/>
      <c r="W428" s="242"/>
      <c r="X428" s="241"/>
      <c r="Y428" s="242"/>
      <c r="Z428" s="241"/>
      <c r="AA428" s="241"/>
      <c r="AB428" s="275"/>
      <c r="AC428" s="524"/>
      <c r="AD428" s="241"/>
      <c r="AE428" s="241"/>
      <c r="AF428" s="241"/>
      <c r="AG428" s="241"/>
      <c r="AH428" s="241"/>
      <c r="AI428" s="241"/>
      <c r="AJ428" s="529"/>
      <c r="AK428" s="258"/>
      <c r="AL428" s="241"/>
      <c r="AM428" s="242"/>
      <c r="AN428" s="241"/>
      <c r="AO428" s="242"/>
      <c r="AP428" s="241"/>
      <c r="AQ428" s="242"/>
      <c r="AR428" s="241"/>
      <c r="AS428" s="242"/>
      <c r="AT428" s="241"/>
      <c r="AU428" s="241"/>
      <c r="AV428" s="256"/>
      <c r="AW428" s="241"/>
      <c r="AX428" s="256"/>
      <c r="AY428" s="241"/>
      <c r="AZ428" s="256"/>
      <c r="BA428" s="239"/>
      <c r="BB428" s="242"/>
      <c r="BC428" s="239"/>
      <c r="BD428" s="242"/>
      <c r="BE428" s="239"/>
      <c r="BF428" s="241"/>
      <c r="BG428" s="239"/>
      <c r="BH428" s="241"/>
      <c r="BI428" s="260"/>
      <c r="BJ428" s="241"/>
      <c r="BK428" s="260"/>
      <c r="BL428" s="239"/>
      <c r="BM428" s="256"/>
      <c r="BN428" s="241"/>
      <c r="BO428" s="243"/>
      <c r="BP428" s="241"/>
      <c r="BQ428" s="239"/>
      <c r="BR428" s="276"/>
      <c r="BS428" s="256"/>
      <c r="BT428" s="260"/>
      <c r="BU428" s="261"/>
      <c r="BV428" s="260"/>
      <c r="BW428" s="239"/>
      <c r="BX428" s="260"/>
      <c r="BY428" s="260"/>
      <c r="BZ428" s="239"/>
      <c r="CA428" s="260"/>
      <c r="CB428" s="239"/>
      <c r="CC428" s="260"/>
      <c r="CD428" s="539"/>
      <c r="CE428" s="239"/>
      <c r="CF428" s="276"/>
      <c r="CG428" s="256"/>
      <c r="CH428" s="259"/>
      <c r="CI428" s="347"/>
      <c r="CJ428" s="540"/>
      <c r="CK428" s="256"/>
      <c r="CL428" s="244">
        <v>1</v>
      </c>
      <c r="CM428" s="274">
        <f t="shared" si="6"/>
        <v>2015</v>
      </c>
      <c r="CN428" s="244">
        <f>IF('Grille de saisie'!CM428&lt;18,0,IF('Grille de saisie'!CM428&lt;40,1,IF('Grille de saisie'!CM428&lt;65,2,IF('Grille de saisie'!CM428&lt;100,3,4))))</f>
        <v>4</v>
      </c>
      <c r="CO428" s="236">
        <f>IF(AND('Grille de saisie'!C428=1,'Grille de saisie'!BZ428=0),1,IF(AND('Grille de saisie'!C428="",'Grille de saisie'!BZ428=""),3,IF(AND('Grille de saisie'!C428=5),3,2)))</f>
        <v>3</v>
      </c>
      <c r="CP428" s="236">
        <f>IF(AND('Grille de saisie'!C428=1,'Grille de saisie'!BZ428=0),1,IF(AND('Grille de saisie'!C428=1,'Grille de saisie'!BZ428=1),2,IF(AND('Grille de saisie'!C428=2,'Grille de saisie'!BZ428=0),2,IF(AND('Grille de saisie'!C428=3,'Grille de saisie'!BZ428=0),3,IF(AND('Grille de saisie'!C428=2,'Grille de saisie'!BZ428=1),3,IF(AND('Grille de saisie'!C428=1,'Grille de saisie'!BZ428=2),3,IF(AND('Grille de saisie'!C428="",'Grille de saisie'!BZ428=""),5,IF(AND('Grille de saisie'!C428=5),5,4))))))))</f>
        <v>5</v>
      </c>
      <c r="CQ428" s="237">
        <f>IF('Grille de saisie'!BZ428="",3,IF('Grille de saisie'!C428=5,3,IF('Grille de saisie'!BZ428=0,1,2)))</f>
        <v>3</v>
      </c>
    </row>
    <row r="429" spans="1:95" ht="15">
      <c r="A429" s="511">
        <v>427</v>
      </c>
      <c r="B429" s="240"/>
      <c r="C429" s="513"/>
      <c r="D429" s="240"/>
      <c r="E429" s="517"/>
      <c r="F429" s="265"/>
      <c r="G429" s="513"/>
      <c r="H429" s="265"/>
      <c r="I429" s="520"/>
      <c r="J429" s="241"/>
      <c r="K429" s="520"/>
      <c r="L429" s="241"/>
      <c r="M429" s="521"/>
      <c r="N429" s="241"/>
      <c r="O429" s="521"/>
      <c r="P429" s="241"/>
      <c r="Q429" s="520"/>
      <c r="R429" s="241"/>
      <c r="S429" s="520"/>
      <c r="T429" s="241"/>
      <c r="U429" s="520"/>
      <c r="V429" s="241"/>
      <c r="W429" s="242"/>
      <c r="X429" s="241"/>
      <c r="Y429" s="242"/>
      <c r="Z429" s="241"/>
      <c r="AA429" s="241"/>
      <c r="AB429" s="275"/>
      <c r="AC429" s="524"/>
      <c r="AD429" s="241"/>
      <c r="AE429" s="241"/>
      <c r="AF429" s="241"/>
      <c r="AG429" s="241"/>
      <c r="AH429" s="241"/>
      <c r="AI429" s="241"/>
      <c r="AJ429" s="529"/>
      <c r="AK429" s="258"/>
      <c r="AL429" s="241"/>
      <c r="AM429" s="242"/>
      <c r="AN429" s="241"/>
      <c r="AO429" s="242"/>
      <c r="AP429" s="241"/>
      <c r="AQ429" s="242"/>
      <c r="AR429" s="241"/>
      <c r="AS429" s="242"/>
      <c r="AT429" s="241"/>
      <c r="AU429" s="241"/>
      <c r="AV429" s="256"/>
      <c r="AW429" s="241"/>
      <c r="AX429" s="256"/>
      <c r="AY429" s="241"/>
      <c r="AZ429" s="256"/>
      <c r="BA429" s="239"/>
      <c r="BB429" s="242"/>
      <c r="BC429" s="239"/>
      <c r="BD429" s="242"/>
      <c r="BE429" s="239"/>
      <c r="BF429" s="241"/>
      <c r="BG429" s="239"/>
      <c r="BH429" s="241"/>
      <c r="BI429" s="260"/>
      <c r="BJ429" s="241"/>
      <c r="BK429" s="260"/>
      <c r="BL429" s="239"/>
      <c r="BM429" s="256"/>
      <c r="BN429" s="241"/>
      <c r="BO429" s="243"/>
      <c r="BP429" s="241"/>
      <c r="BQ429" s="239"/>
      <c r="BR429" s="276"/>
      <c r="BS429" s="256"/>
      <c r="BT429" s="260"/>
      <c r="BU429" s="261"/>
      <c r="BV429" s="260"/>
      <c r="BW429" s="239"/>
      <c r="BX429" s="260"/>
      <c r="BY429" s="260"/>
      <c r="BZ429" s="239"/>
      <c r="CA429" s="260"/>
      <c r="CB429" s="239"/>
      <c r="CC429" s="260"/>
      <c r="CD429" s="539"/>
      <c r="CE429" s="239"/>
      <c r="CF429" s="276"/>
      <c r="CG429" s="256"/>
      <c r="CH429" s="259"/>
      <c r="CI429" s="347"/>
      <c r="CJ429" s="540"/>
      <c r="CK429" s="256"/>
      <c r="CL429" s="244">
        <v>1</v>
      </c>
      <c r="CM429" s="274">
        <f t="shared" si="6"/>
        <v>2015</v>
      </c>
      <c r="CN429" s="244">
        <f>IF('Grille de saisie'!CM429&lt;18,0,IF('Grille de saisie'!CM429&lt;40,1,IF('Grille de saisie'!CM429&lt;65,2,IF('Grille de saisie'!CM429&lt;100,3,4))))</f>
        <v>4</v>
      </c>
      <c r="CO429" s="236">
        <f>IF(AND('Grille de saisie'!C429=1,'Grille de saisie'!BZ429=0),1,IF(AND('Grille de saisie'!C429="",'Grille de saisie'!BZ429=""),3,IF(AND('Grille de saisie'!C429=5),3,2)))</f>
        <v>3</v>
      </c>
      <c r="CP429" s="236">
        <f>IF(AND('Grille de saisie'!C429=1,'Grille de saisie'!BZ429=0),1,IF(AND('Grille de saisie'!C429=1,'Grille de saisie'!BZ429=1),2,IF(AND('Grille de saisie'!C429=2,'Grille de saisie'!BZ429=0),2,IF(AND('Grille de saisie'!C429=3,'Grille de saisie'!BZ429=0),3,IF(AND('Grille de saisie'!C429=2,'Grille de saisie'!BZ429=1),3,IF(AND('Grille de saisie'!C429=1,'Grille de saisie'!BZ429=2),3,IF(AND('Grille de saisie'!C429="",'Grille de saisie'!BZ429=""),5,IF(AND('Grille de saisie'!C429=5),5,4))))))))</f>
        <v>5</v>
      </c>
      <c r="CQ429" s="237">
        <f>IF('Grille de saisie'!BZ429="",3,IF('Grille de saisie'!C429=5,3,IF('Grille de saisie'!BZ429=0,1,2)))</f>
        <v>3</v>
      </c>
    </row>
    <row r="430" spans="1:95" ht="15">
      <c r="A430" s="510">
        <v>428</v>
      </c>
      <c r="B430" s="240"/>
      <c r="C430" s="513"/>
      <c r="D430" s="240"/>
      <c r="E430" s="517"/>
      <c r="F430" s="265"/>
      <c r="G430" s="513"/>
      <c r="H430" s="265"/>
      <c r="I430" s="520"/>
      <c r="J430" s="241"/>
      <c r="K430" s="520"/>
      <c r="L430" s="241"/>
      <c r="M430" s="521"/>
      <c r="N430" s="241"/>
      <c r="O430" s="521"/>
      <c r="P430" s="241"/>
      <c r="Q430" s="520"/>
      <c r="R430" s="241"/>
      <c r="S430" s="520"/>
      <c r="T430" s="241"/>
      <c r="U430" s="520"/>
      <c r="V430" s="241"/>
      <c r="W430" s="242"/>
      <c r="X430" s="241"/>
      <c r="Y430" s="242"/>
      <c r="Z430" s="241"/>
      <c r="AA430" s="241"/>
      <c r="AB430" s="275"/>
      <c r="AC430" s="524"/>
      <c r="AD430" s="241"/>
      <c r="AE430" s="241"/>
      <c r="AF430" s="241"/>
      <c r="AG430" s="241"/>
      <c r="AH430" s="241"/>
      <c r="AI430" s="241"/>
      <c r="AJ430" s="529"/>
      <c r="AK430" s="258"/>
      <c r="AL430" s="241"/>
      <c r="AM430" s="242"/>
      <c r="AN430" s="241"/>
      <c r="AO430" s="242"/>
      <c r="AP430" s="241"/>
      <c r="AQ430" s="242"/>
      <c r="AR430" s="241"/>
      <c r="AS430" s="242"/>
      <c r="AT430" s="241"/>
      <c r="AU430" s="241"/>
      <c r="AV430" s="256"/>
      <c r="AW430" s="241"/>
      <c r="AX430" s="256"/>
      <c r="AY430" s="241"/>
      <c r="AZ430" s="256"/>
      <c r="BA430" s="239"/>
      <c r="BB430" s="242"/>
      <c r="BC430" s="239"/>
      <c r="BD430" s="242"/>
      <c r="BE430" s="239"/>
      <c r="BF430" s="241"/>
      <c r="BG430" s="239"/>
      <c r="BH430" s="241"/>
      <c r="BI430" s="260"/>
      <c r="BJ430" s="241"/>
      <c r="BK430" s="260"/>
      <c r="BL430" s="239"/>
      <c r="BM430" s="256"/>
      <c r="BN430" s="241"/>
      <c r="BO430" s="243"/>
      <c r="BP430" s="241"/>
      <c r="BQ430" s="239"/>
      <c r="BR430" s="276"/>
      <c r="BS430" s="256"/>
      <c r="BT430" s="260"/>
      <c r="BU430" s="261"/>
      <c r="BV430" s="260"/>
      <c r="BW430" s="239"/>
      <c r="BX430" s="260"/>
      <c r="BY430" s="260"/>
      <c r="BZ430" s="239"/>
      <c r="CA430" s="260"/>
      <c r="CB430" s="239"/>
      <c r="CC430" s="260"/>
      <c r="CD430" s="539"/>
      <c r="CE430" s="239"/>
      <c r="CF430" s="276"/>
      <c r="CG430" s="256"/>
      <c r="CH430" s="259"/>
      <c r="CI430" s="347"/>
      <c r="CJ430" s="540"/>
      <c r="CK430" s="256"/>
      <c r="CL430" s="244">
        <v>1</v>
      </c>
      <c r="CM430" s="274">
        <f t="shared" si="6"/>
        <v>2015</v>
      </c>
      <c r="CN430" s="244">
        <f>IF('Grille de saisie'!CM430&lt;18,0,IF('Grille de saisie'!CM430&lt;40,1,IF('Grille de saisie'!CM430&lt;65,2,IF('Grille de saisie'!CM430&lt;100,3,4))))</f>
        <v>4</v>
      </c>
      <c r="CO430" s="236">
        <f>IF(AND('Grille de saisie'!C430=1,'Grille de saisie'!BZ430=0),1,IF(AND('Grille de saisie'!C430="",'Grille de saisie'!BZ430=""),3,IF(AND('Grille de saisie'!C430=5),3,2)))</f>
        <v>3</v>
      </c>
      <c r="CP430" s="236">
        <f>IF(AND('Grille de saisie'!C430=1,'Grille de saisie'!BZ430=0),1,IF(AND('Grille de saisie'!C430=1,'Grille de saisie'!BZ430=1),2,IF(AND('Grille de saisie'!C430=2,'Grille de saisie'!BZ430=0),2,IF(AND('Grille de saisie'!C430=3,'Grille de saisie'!BZ430=0),3,IF(AND('Grille de saisie'!C430=2,'Grille de saisie'!BZ430=1),3,IF(AND('Grille de saisie'!C430=1,'Grille de saisie'!BZ430=2),3,IF(AND('Grille de saisie'!C430="",'Grille de saisie'!BZ430=""),5,IF(AND('Grille de saisie'!C430=5),5,4))))))))</f>
        <v>5</v>
      </c>
      <c r="CQ430" s="237">
        <f>IF('Grille de saisie'!BZ430="",3,IF('Grille de saisie'!C430=5,3,IF('Grille de saisie'!BZ430=0,1,2)))</f>
        <v>3</v>
      </c>
    </row>
    <row r="431" spans="1:95" ht="15">
      <c r="A431" s="510">
        <v>429</v>
      </c>
      <c r="B431" s="240"/>
      <c r="C431" s="513"/>
      <c r="D431" s="240"/>
      <c r="E431" s="517"/>
      <c r="F431" s="265"/>
      <c r="G431" s="513"/>
      <c r="H431" s="265"/>
      <c r="I431" s="520"/>
      <c r="J431" s="241"/>
      <c r="K431" s="520"/>
      <c r="L431" s="241"/>
      <c r="M431" s="521"/>
      <c r="N431" s="241"/>
      <c r="O431" s="521"/>
      <c r="P431" s="241"/>
      <c r="Q431" s="520"/>
      <c r="R431" s="241"/>
      <c r="S431" s="520"/>
      <c r="T431" s="241"/>
      <c r="U431" s="520"/>
      <c r="V431" s="241"/>
      <c r="W431" s="242"/>
      <c r="X431" s="241"/>
      <c r="Y431" s="242"/>
      <c r="Z431" s="241"/>
      <c r="AA431" s="241"/>
      <c r="AB431" s="275"/>
      <c r="AC431" s="524"/>
      <c r="AD431" s="241"/>
      <c r="AE431" s="241"/>
      <c r="AF431" s="241"/>
      <c r="AG431" s="241"/>
      <c r="AH431" s="241"/>
      <c r="AI431" s="241"/>
      <c r="AJ431" s="529"/>
      <c r="AK431" s="258"/>
      <c r="AL431" s="241"/>
      <c r="AM431" s="242"/>
      <c r="AN431" s="241"/>
      <c r="AO431" s="242"/>
      <c r="AP431" s="241"/>
      <c r="AQ431" s="242"/>
      <c r="AR431" s="241"/>
      <c r="AS431" s="242"/>
      <c r="AT431" s="241"/>
      <c r="AU431" s="241"/>
      <c r="AV431" s="256"/>
      <c r="AW431" s="241"/>
      <c r="AX431" s="256"/>
      <c r="AY431" s="241"/>
      <c r="AZ431" s="256"/>
      <c r="BA431" s="239"/>
      <c r="BB431" s="242"/>
      <c r="BC431" s="239"/>
      <c r="BD431" s="242"/>
      <c r="BE431" s="239"/>
      <c r="BF431" s="241"/>
      <c r="BG431" s="239"/>
      <c r="BH431" s="241"/>
      <c r="BI431" s="260"/>
      <c r="BJ431" s="241"/>
      <c r="BK431" s="260"/>
      <c r="BL431" s="239"/>
      <c r="BM431" s="256"/>
      <c r="BN431" s="241"/>
      <c r="BO431" s="243"/>
      <c r="BP431" s="241"/>
      <c r="BQ431" s="239"/>
      <c r="BR431" s="276"/>
      <c r="BS431" s="256"/>
      <c r="BT431" s="260"/>
      <c r="BU431" s="261"/>
      <c r="BV431" s="260"/>
      <c r="BW431" s="239"/>
      <c r="BX431" s="260"/>
      <c r="BY431" s="260"/>
      <c r="BZ431" s="239"/>
      <c r="CA431" s="260"/>
      <c r="CB431" s="239"/>
      <c r="CC431" s="260"/>
      <c r="CD431" s="539"/>
      <c r="CE431" s="239"/>
      <c r="CF431" s="276"/>
      <c r="CG431" s="256"/>
      <c r="CH431" s="259"/>
      <c r="CI431" s="347"/>
      <c r="CJ431" s="540"/>
      <c r="CK431" s="256"/>
      <c r="CL431" s="244">
        <v>1</v>
      </c>
      <c r="CM431" s="274">
        <f t="shared" si="6"/>
        <v>2015</v>
      </c>
      <c r="CN431" s="244">
        <f>IF('Grille de saisie'!CM431&lt;18,0,IF('Grille de saisie'!CM431&lt;40,1,IF('Grille de saisie'!CM431&lt;65,2,IF('Grille de saisie'!CM431&lt;100,3,4))))</f>
        <v>4</v>
      </c>
      <c r="CO431" s="236">
        <f>IF(AND('Grille de saisie'!C431=1,'Grille de saisie'!BZ431=0),1,IF(AND('Grille de saisie'!C431="",'Grille de saisie'!BZ431=""),3,IF(AND('Grille de saisie'!C431=5),3,2)))</f>
        <v>3</v>
      </c>
      <c r="CP431" s="236">
        <f>IF(AND('Grille de saisie'!C431=1,'Grille de saisie'!BZ431=0),1,IF(AND('Grille de saisie'!C431=1,'Grille de saisie'!BZ431=1),2,IF(AND('Grille de saisie'!C431=2,'Grille de saisie'!BZ431=0),2,IF(AND('Grille de saisie'!C431=3,'Grille de saisie'!BZ431=0),3,IF(AND('Grille de saisie'!C431=2,'Grille de saisie'!BZ431=1),3,IF(AND('Grille de saisie'!C431=1,'Grille de saisie'!BZ431=2),3,IF(AND('Grille de saisie'!C431="",'Grille de saisie'!BZ431=""),5,IF(AND('Grille de saisie'!C431=5),5,4))))))))</f>
        <v>5</v>
      </c>
      <c r="CQ431" s="237">
        <f>IF('Grille de saisie'!BZ431="",3,IF('Grille de saisie'!C431=5,3,IF('Grille de saisie'!BZ431=0,1,2)))</f>
        <v>3</v>
      </c>
    </row>
    <row r="432" spans="1:95" ht="15">
      <c r="A432" s="511">
        <v>430</v>
      </c>
      <c r="B432" s="240"/>
      <c r="C432" s="513"/>
      <c r="D432" s="240"/>
      <c r="E432" s="517"/>
      <c r="F432" s="265"/>
      <c r="G432" s="513"/>
      <c r="H432" s="265"/>
      <c r="I432" s="520"/>
      <c r="J432" s="241"/>
      <c r="K432" s="520"/>
      <c r="L432" s="241"/>
      <c r="M432" s="521"/>
      <c r="N432" s="241"/>
      <c r="O432" s="521"/>
      <c r="P432" s="241"/>
      <c r="Q432" s="520"/>
      <c r="R432" s="241"/>
      <c r="S432" s="520"/>
      <c r="T432" s="241"/>
      <c r="U432" s="520"/>
      <c r="V432" s="241"/>
      <c r="W432" s="242"/>
      <c r="X432" s="241"/>
      <c r="Y432" s="242"/>
      <c r="Z432" s="241"/>
      <c r="AA432" s="241"/>
      <c r="AB432" s="275"/>
      <c r="AC432" s="524"/>
      <c r="AD432" s="241"/>
      <c r="AE432" s="241"/>
      <c r="AF432" s="241"/>
      <c r="AG432" s="241"/>
      <c r="AH432" s="241"/>
      <c r="AI432" s="241"/>
      <c r="AJ432" s="529"/>
      <c r="AK432" s="258"/>
      <c r="AL432" s="241"/>
      <c r="AM432" s="242"/>
      <c r="AN432" s="241"/>
      <c r="AO432" s="242"/>
      <c r="AP432" s="241"/>
      <c r="AQ432" s="242"/>
      <c r="AR432" s="241"/>
      <c r="AS432" s="242"/>
      <c r="AT432" s="241"/>
      <c r="AU432" s="241"/>
      <c r="AV432" s="256"/>
      <c r="AW432" s="241"/>
      <c r="AX432" s="256"/>
      <c r="AY432" s="241"/>
      <c r="AZ432" s="256"/>
      <c r="BA432" s="239"/>
      <c r="BB432" s="242"/>
      <c r="BC432" s="239"/>
      <c r="BD432" s="242"/>
      <c r="BE432" s="239"/>
      <c r="BF432" s="241"/>
      <c r="BG432" s="239"/>
      <c r="BH432" s="241"/>
      <c r="BI432" s="260"/>
      <c r="BJ432" s="241"/>
      <c r="BK432" s="260"/>
      <c r="BL432" s="239"/>
      <c r="BM432" s="256"/>
      <c r="BN432" s="241"/>
      <c r="BO432" s="243"/>
      <c r="BP432" s="241"/>
      <c r="BQ432" s="239"/>
      <c r="BR432" s="276"/>
      <c r="BS432" s="256"/>
      <c r="BT432" s="260"/>
      <c r="BU432" s="261"/>
      <c r="BV432" s="260"/>
      <c r="BW432" s="239"/>
      <c r="BX432" s="260"/>
      <c r="BY432" s="260"/>
      <c r="BZ432" s="239"/>
      <c r="CA432" s="260"/>
      <c r="CB432" s="239"/>
      <c r="CC432" s="260"/>
      <c r="CD432" s="539"/>
      <c r="CE432" s="239"/>
      <c r="CF432" s="276"/>
      <c r="CG432" s="256"/>
      <c r="CH432" s="259"/>
      <c r="CI432" s="347"/>
      <c r="CJ432" s="540"/>
      <c r="CK432" s="256"/>
      <c r="CL432" s="244">
        <v>1</v>
      </c>
      <c r="CM432" s="274">
        <f t="shared" si="6"/>
        <v>2015</v>
      </c>
      <c r="CN432" s="244">
        <f>IF('Grille de saisie'!CM432&lt;18,0,IF('Grille de saisie'!CM432&lt;40,1,IF('Grille de saisie'!CM432&lt;65,2,IF('Grille de saisie'!CM432&lt;100,3,4))))</f>
        <v>4</v>
      </c>
      <c r="CO432" s="236">
        <f>IF(AND('Grille de saisie'!C432=1,'Grille de saisie'!BZ432=0),1,IF(AND('Grille de saisie'!C432="",'Grille de saisie'!BZ432=""),3,IF(AND('Grille de saisie'!C432=5),3,2)))</f>
        <v>3</v>
      </c>
      <c r="CP432" s="236">
        <f>IF(AND('Grille de saisie'!C432=1,'Grille de saisie'!BZ432=0),1,IF(AND('Grille de saisie'!C432=1,'Grille de saisie'!BZ432=1),2,IF(AND('Grille de saisie'!C432=2,'Grille de saisie'!BZ432=0),2,IF(AND('Grille de saisie'!C432=3,'Grille de saisie'!BZ432=0),3,IF(AND('Grille de saisie'!C432=2,'Grille de saisie'!BZ432=1),3,IF(AND('Grille de saisie'!C432=1,'Grille de saisie'!BZ432=2),3,IF(AND('Grille de saisie'!C432="",'Grille de saisie'!BZ432=""),5,IF(AND('Grille de saisie'!C432=5),5,4))))))))</f>
        <v>5</v>
      </c>
      <c r="CQ432" s="237">
        <f>IF('Grille de saisie'!BZ432="",3,IF('Grille de saisie'!C432=5,3,IF('Grille de saisie'!BZ432=0,1,2)))</f>
        <v>3</v>
      </c>
    </row>
    <row r="433" spans="1:95" ht="15">
      <c r="A433" s="510">
        <v>431</v>
      </c>
      <c r="B433" s="240"/>
      <c r="C433" s="513"/>
      <c r="D433" s="240"/>
      <c r="E433" s="517"/>
      <c r="F433" s="265"/>
      <c r="G433" s="513"/>
      <c r="H433" s="265"/>
      <c r="I433" s="520"/>
      <c r="J433" s="241"/>
      <c r="K433" s="520"/>
      <c r="L433" s="241"/>
      <c r="M433" s="521"/>
      <c r="N433" s="241"/>
      <c r="O433" s="521"/>
      <c r="P433" s="241"/>
      <c r="Q433" s="520"/>
      <c r="R433" s="241"/>
      <c r="S433" s="520"/>
      <c r="T433" s="241"/>
      <c r="U433" s="520"/>
      <c r="V433" s="241"/>
      <c r="W433" s="242"/>
      <c r="X433" s="241"/>
      <c r="Y433" s="242"/>
      <c r="Z433" s="241"/>
      <c r="AA433" s="241"/>
      <c r="AB433" s="275"/>
      <c r="AC433" s="524"/>
      <c r="AD433" s="241"/>
      <c r="AE433" s="241"/>
      <c r="AF433" s="241"/>
      <c r="AG433" s="241"/>
      <c r="AH433" s="241"/>
      <c r="AI433" s="241"/>
      <c r="AJ433" s="529"/>
      <c r="AK433" s="258"/>
      <c r="AL433" s="241"/>
      <c r="AM433" s="242"/>
      <c r="AN433" s="241"/>
      <c r="AO433" s="242"/>
      <c r="AP433" s="241"/>
      <c r="AQ433" s="242"/>
      <c r="AR433" s="241"/>
      <c r="AS433" s="242"/>
      <c r="AT433" s="241"/>
      <c r="AU433" s="241"/>
      <c r="AV433" s="256"/>
      <c r="AW433" s="241"/>
      <c r="AX433" s="256"/>
      <c r="AY433" s="241"/>
      <c r="AZ433" s="256"/>
      <c r="BA433" s="239"/>
      <c r="BB433" s="242"/>
      <c r="BC433" s="239"/>
      <c r="BD433" s="242"/>
      <c r="BE433" s="239"/>
      <c r="BF433" s="241"/>
      <c r="BG433" s="239"/>
      <c r="BH433" s="241"/>
      <c r="BI433" s="260"/>
      <c r="BJ433" s="241"/>
      <c r="BK433" s="260"/>
      <c r="BL433" s="239"/>
      <c r="BM433" s="256"/>
      <c r="BN433" s="241"/>
      <c r="BO433" s="243"/>
      <c r="BP433" s="241"/>
      <c r="BQ433" s="239"/>
      <c r="BR433" s="276"/>
      <c r="BS433" s="256"/>
      <c r="BT433" s="260"/>
      <c r="BU433" s="261"/>
      <c r="BV433" s="260"/>
      <c r="BW433" s="239"/>
      <c r="BX433" s="260"/>
      <c r="BY433" s="260"/>
      <c r="BZ433" s="239"/>
      <c r="CA433" s="260"/>
      <c r="CB433" s="239"/>
      <c r="CC433" s="260"/>
      <c r="CD433" s="539"/>
      <c r="CE433" s="239"/>
      <c r="CF433" s="276"/>
      <c r="CG433" s="256"/>
      <c r="CH433" s="259"/>
      <c r="CI433" s="347"/>
      <c r="CJ433" s="540"/>
      <c r="CK433" s="256"/>
      <c r="CL433" s="244">
        <v>1</v>
      </c>
      <c r="CM433" s="274">
        <f t="shared" si="6"/>
        <v>2015</v>
      </c>
      <c r="CN433" s="244">
        <f>IF('Grille de saisie'!CM433&lt;18,0,IF('Grille de saisie'!CM433&lt;40,1,IF('Grille de saisie'!CM433&lt;65,2,IF('Grille de saisie'!CM433&lt;100,3,4))))</f>
        <v>4</v>
      </c>
      <c r="CO433" s="236">
        <f>IF(AND('Grille de saisie'!C433=1,'Grille de saisie'!BZ433=0),1,IF(AND('Grille de saisie'!C433="",'Grille de saisie'!BZ433=""),3,IF(AND('Grille de saisie'!C433=5),3,2)))</f>
        <v>3</v>
      </c>
      <c r="CP433" s="236">
        <f>IF(AND('Grille de saisie'!C433=1,'Grille de saisie'!BZ433=0),1,IF(AND('Grille de saisie'!C433=1,'Grille de saisie'!BZ433=1),2,IF(AND('Grille de saisie'!C433=2,'Grille de saisie'!BZ433=0),2,IF(AND('Grille de saisie'!C433=3,'Grille de saisie'!BZ433=0),3,IF(AND('Grille de saisie'!C433=2,'Grille de saisie'!BZ433=1),3,IF(AND('Grille de saisie'!C433=1,'Grille de saisie'!BZ433=2),3,IF(AND('Grille de saisie'!C433="",'Grille de saisie'!BZ433=""),5,IF(AND('Grille de saisie'!C433=5),5,4))))))))</f>
        <v>5</v>
      </c>
      <c r="CQ433" s="237">
        <f>IF('Grille de saisie'!BZ433="",3,IF('Grille de saisie'!C433=5,3,IF('Grille de saisie'!BZ433=0,1,2)))</f>
        <v>3</v>
      </c>
    </row>
    <row r="434" spans="1:95" ht="15">
      <c r="A434" s="510">
        <v>432</v>
      </c>
      <c r="B434" s="240"/>
      <c r="C434" s="513"/>
      <c r="D434" s="240"/>
      <c r="E434" s="517"/>
      <c r="F434" s="265"/>
      <c r="G434" s="513"/>
      <c r="H434" s="265"/>
      <c r="I434" s="520"/>
      <c r="J434" s="241"/>
      <c r="K434" s="520"/>
      <c r="L434" s="241"/>
      <c r="M434" s="521"/>
      <c r="N434" s="241"/>
      <c r="O434" s="521"/>
      <c r="P434" s="241"/>
      <c r="Q434" s="520"/>
      <c r="R434" s="241"/>
      <c r="S434" s="520"/>
      <c r="T434" s="241"/>
      <c r="U434" s="520"/>
      <c r="V434" s="241"/>
      <c r="W434" s="242"/>
      <c r="X434" s="241"/>
      <c r="Y434" s="242"/>
      <c r="Z434" s="241"/>
      <c r="AA434" s="241"/>
      <c r="AB434" s="275"/>
      <c r="AC434" s="524"/>
      <c r="AD434" s="241"/>
      <c r="AE434" s="241"/>
      <c r="AF434" s="241"/>
      <c r="AG434" s="241"/>
      <c r="AH434" s="241"/>
      <c r="AI434" s="241"/>
      <c r="AJ434" s="529"/>
      <c r="AK434" s="258"/>
      <c r="AL434" s="241"/>
      <c r="AM434" s="242"/>
      <c r="AN434" s="241"/>
      <c r="AO434" s="242"/>
      <c r="AP434" s="241"/>
      <c r="AQ434" s="242"/>
      <c r="AR434" s="241"/>
      <c r="AS434" s="242"/>
      <c r="AT434" s="241"/>
      <c r="AU434" s="241"/>
      <c r="AV434" s="256"/>
      <c r="AW434" s="241"/>
      <c r="AX434" s="256"/>
      <c r="AY434" s="241"/>
      <c r="AZ434" s="256"/>
      <c r="BA434" s="239"/>
      <c r="BB434" s="242"/>
      <c r="BC434" s="239"/>
      <c r="BD434" s="242"/>
      <c r="BE434" s="239"/>
      <c r="BF434" s="241"/>
      <c r="BG434" s="239"/>
      <c r="BH434" s="241"/>
      <c r="BI434" s="260"/>
      <c r="BJ434" s="241"/>
      <c r="BK434" s="260"/>
      <c r="BL434" s="239"/>
      <c r="BM434" s="256"/>
      <c r="BN434" s="241"/>
      <c r="BO434" s="243"/>
      <c r="BP434" s="241"/>
      <c r="BQ434" s="239"/>
      <c r="BR434" s="276"/>
      <c r="BS434" s="256"/>
      <c r="BT434" s="260"/>
      <c r="BU434" s="261"/>
      <c r="BV434" s="260"/>
      <c r="BW434" s="239"/>
      <c r="BX434" s="260"/>
      <c r="BY434" s="260"/>
      <c r="BZ434" s="239"/>
      <c r="CA434" s="260"/>
      <c r="CB434" s="239"/>
      <c r="CC434" s="260"/>
      <c r="CD434" s="539"/>
      <c r="CE434" s="239"/>
      <c r="CF434" s="276"/>
      <c r="CG434" s="256"/>
      <c r="CH434" s="259"/>
      <c r="CI434" s="347"/>
      <c r="CJ434" s="540"/>
      <c r="CK434" s="256"/>
      <c r="CL434" s="244">
        <v>1</v>
      </c>
      <c r="CM434" s="274">
        <f t="shared" si="6"/>
        <v>2015</v>
      </c>
      <c r="CN434" s="244">
        <f>IF('Grille de saisie'!CM434&lt;18,0,IF('Grille de saisie'!CM434&lt;40,1,IF('Grille de saisie'!CM434&lt;65,2,IF('Grille de saisie'!CM434&lt;100,3,4))))</f>
        <v>4</v>
      </c>
      <c r="CO434" s="236">
        <f>IF(AND('Grille de saisie'!C434=1,'Grille de saisie'!BZ434=0),1,IF(AND('Grille de saisie'!C434="",'Grille de saisie'!BZ434=""),3,IF(AND('Grille de saisie'!C434=5),3,2)))</f>
        <v>3</v>
      </c>
      <c r="CP434" s="236">
        <f>IF(AND('Grille de saisie'!C434=1,'Grille de saisie'!BZ434=0),1,IF(AND('Grille de saisie'!C434=1,'Grille de saisie'!BZ434=1),2,IF(AND('Grille de saisie'!C434=2,'Grille de saisie'!BZ434=0),2,IF(AND('Grille de saisie'!C434=3,'Grille de saisie'!BZ434=0),3,IF(AND('Grille de saisie'!C434=2,'Grille de saisie'!BZ434=1),3,IF(AND('Grille de saisie'!C434=1,'Grille de saisie'!BZ434=2),3,IF(AND('Grille de saisie'!C434="",'Grille de saisie'!BZ434=""),5,IF(AND('Grille de saisie'!C434=5),5,4))))))))</f>
        <v>5</v>
      </c>
      <c r="CQ434" s="237">
        <f>IF('Grille de saisie'!BZ434="",3,IF('Grille de saisie'!C434=5,3,IF('Grille de saisie'!BZ434=0,1,2)))</f>
        <v>3</v>
      </c>
    </row>
    <row r="435" spans="1:95" ht="15">
      <c r="A435" s="511">
        <v>433</v>
      </c>
      <c r="B435" s="240"/>
      <c r="C435" s="513"/>
      <c r="D435" s="240"/>
      <c r="E435" s="517"/>
      <c r="F435" s="265"/>
      <c r="G435" s="513"/>
      <c r="H435" s="265"/>
      <c r="I435" s="520"/>
      <c r="J435" s="241"/>
      <c r="K435" s="520"/>
      <c r="L435" s="241"/>
      <c r="M435" s="521"/>
      <c r="N435" s="241"/>
      <c r="O435" s="521"/>
      <c r="P435" s="241"/>
      <c r="Q435" s="520"/>
      <c r="R435" s="241"/>
      <c r="S435" s="520"/>
      <c r="T435" s="241"/>
      <c r="U435" s="520"/>
      <c r="V435" s="241"/>
      <c r="W435" s="242"/>
      <c r="X435" s="241"/>
      <c r="Y435" s="242"/>
      <c r="Z435" s="241"/>
      <c r="AA435" s="241"/>
      <c r="AB435" s="275"/>
      <c r="AC435" s="524"/>
      <c r="AD435" s="241"/>
      <c r="AE435" s="241"/>
      <c r="AF435" s="241"/>
      <c r="AG435" s="241"/>
      <c r="AH435" s="241"/>
      <c r="AI435" s="241"/>
      <c r="AJ435" s="529"/>
      <c r="AK435" s="258"/>
      <c r="AL435" s="241"/>
      <c r="AM435" s="242"/>
      <c r="AN435" s="241"/>
      <c r="AO435" s="242"/>
      <c r="AP435" s="241"/>
      <c r="AQ435" s="242"/>
      <c r="AR435" s="241"/>
      <c r="AS435" s="242"/>
      <c r="AT435" s="241"/>
      <c r="AU435" s="241"/>
      <c r="AV435" s="256"/>
      <c r="AW435" s="241"/>
      <c r="AX435" s="256"/>
      <c r="AY435" s="241"/>
      <c r="AZ435" s="256"/>
      <c r="BA435" s="239"/>
      <c r="BB435" s="242"/>
      <c r="BC435" s="239"/>
      <c r="BD435" s="242"/>
      <c r="BE435" s="239"/>
      <c r="BF435" s="241"/>
      <c r="BG435" s="239"/>
      <c r="BH435" s="241"/>
      <c r="BI435" s="260"/>
      <c r="BJ435" s="241"/>
      <c r="BK435" s="260"/>
      <c r="BL435" s="239"/>
      <c r="BM435" s="256"/>
      <c r="BN435" s="241"/>
      <c r="BO435" s="243"/>
      <c r="BP435" s="241"/>
      <c r="BQ435" s="239"/>
      <c r="BR435" s="276"/>
      <c r="BS435" s="256"/>
      <c r="BT435" s="260"/>
      <c r="BU435" s="261"/>
      <c r="BV435" s="260"/>
      <c r="BW435" s="239"/>
      <c r="BX435" s="260"/>
      <c r="BY435" s="260"/>
      <c r="BZ435" s="239"/>
      <c r="CA435" s="260"/>
      <c r="CB435" s="239"/>
      <c r="CC435" s="260"/>
      <c r="CD435" s="539"/>
      <c r="CE435" s="239"/>
      <c r="CF435" s="276"/>
      <c r="CG435" s="256"/>
      <c r="CH435" s="259"/>
      <c r="CI435" s="347"/>
      <c r="CJ435" s="540"/>
      <c r="CK435" s="256"/>
      <c r="CL435" s="244">
        <v>1</v>
      </c>
      <c r="CM435" s="274">
        <f t="shared" si="6"/>
        <v>2015</v>
      </c>
      <c r="CN435" s="244">
        <f>IF('Grille de saisie'!CM435&lt;18,0,IF('Grille de saisie'!CM435&lt;40,1,IF('Grille de saisie'!CM435&lt;65,2,IF('Grille de saisie'!CM435&lt;100,3,4))))</f>
        <v>4</v>
      </c>
      <c r="CO435" s="236">
        <f>IF(AND('Grille de saisie'!C435=1,'Grille de saisie'!BZ435=0),1,IF(AND('Grille de saisie'!C435="",'Grille de saisie'!BZ435=""),3,IF(AND('Grille de saisie'!C435=5),3,2)))</f>
        <v>3</v>
      </c>
      <c r="CP435" s="236">
        <f>IF(AND('Grille de saisie'!C435=1,'Grille de saisie'!BZ435=0),1,IF(AND('Grille de saisie'!C435=1,'Grille de saisie'!BZ435=1),2,IF(AND('Grille de saisie'!C435=2,'Grille de saisie'!BZ435=0),2,IF(AND('Grille de saisie'!C435=3,'Grille de saisie'!BZ435=0),3,IF(AND('Grille de saisie'!C435=2,'Grille de saisie'!BZ435=1),3,IF(AND('Grille de saisie'!C435=1,'Grille de saisie'!BZ435=2),3,IF(AND('Grille de saisie'!C435="",'Grille de saisie'!BZ435=""),5,IF(AND('Grille de saisie'!C435=5),5,4))))))))</f>
        <v>5</v>
      </c>
      <c r="CQ435" s="237">
        <f>IF('Grille de saisie'!BZ435="",3,IF('Grille de saisie'!C435=5,3,IF('Grille de saisie'!BZ435=0,1,2)))</f>
        <v>3</v>
      </c>
    </row>
    <row r="436" spans="1:95" ht="15">
      <c r="A436" s="510">
        <v>434</v>
      </c>
      <c r="B436" s="240"/>
      <c r="C436" s="513"/>
      <c r="D436" s="240"/>
      <c r="E436" s="517"/>
      <c r="F436" s="265"/>
      <c r="G436" s="513"/>
      <c r="H436" s="265"/>
      <c r="I436" s="520"/>
      <c r="J436" s="241"/>
      <c r="K436" s="520"/>
      <c r="L436" s="241"/>
      <c r="M436" s="521"/>
      <c r="N436" s="241"/>
      <c r="O436" s="521"/>
      <c r="P436" s="241"/>
      <c r="Q436" s="520"/>
      <c r="R436" s="241"/>
      <c r="S436" s="520"/>
      <c r="T436" s="241"/>
      <c r="U436" s="520"/>
      <c r="V436" s="241"/>
      <c r="W436" s="242"/>
      <c r="X436" s="241"/>
      <c r="Y436" s="242"/>
      <c r="Z436" s="241"/>
      <c r="AA436" s="241"/>
      <c r="AB436" s="275"/>
      <c r="AC436" s="524"/>
      <c r="AD436" s="241"/>
      <c r="AE436" s="241"/>
      <c r="AF436" s="241"/>
      <c r="AG436" s="241"/>
      <c r="AH436" s="241"/>
      <c r="AI436" s="241"/>
      <c r="AJ436" s="529"/>
      <c r="AK436" s="258"/>
      <c r="AL436" s="241"/>
      <c r="AM436" s="242"/>
      <c r="AN436" s="241"/>
      <c r="AO436" s="242"/>
      <c r="AP436" s="241"/>
      <c r="AQ436" s="242"/>
      <c r="AR436" s="241"/>
      <c r="AS436" s="242"/>
      <c r="AT436" s="241"/>
      <c r="AU436" s="241"/>
      <c r="AV436" s="256"/>
      <c r="AW436" s="241"/>
      <c r="AX436" s="256"/>
      <c r="AY436" s="241"/>
      <c r="AZ436" s="256"/>
      <c r="BA436" s="239"/>
      <c r="BB436" s="242"/>
      <c r="BC436" s="239"/>
      <c r="BD436" s="242"/>
      <c r="BE436" s="239"/>
      <c r="BF436" s="241"/>
      <c r="BG436" s="239"/>
      <c r="BH436" s="241"/>
      <c r="BI436" s="260"/>
      <c r="BJ436" s="241"/>
      <c r="BK436" s="260"/>
      <c r="BL436" s="239"/>
      <c r="BM436" s="256"/>
      <c r="BN436" s="241"/>
      <c r="BO436" s="243"/>
      <c r="BP436" s="241"/>
      <c r="BQ436" s="239"/>
      <c r="BR436" s="276"/>
      <c r="BS436" s="256"/>
      <c r="BT436" s="260"/>
      <c r="BU436" s="261"/>
      <c r="BV436" s="260"/>
      <c r="BW436" s="239"/>
      <c r="BX436" s="260"/>
      <c r="BY436" s="260"/>
      <c r="BZ436" s="239"/>
      <c r="CA436" s="260"/>
      <c r="CB436" s="239"/>
      <c r="CC436" s="260"/>
      <c r="CD436" s="539"/>
      <c r="CE436" s="239"/>
      <c r="CF436" s="276"/>
      <c r="CG436" s="256"/>
      <c r="CH436" s="259"/>
      <c r="CI436" s="347"/>
      <c r="CJ436" s="540"/>
      <c r="CK436" s="256"/>
      <c r="CL436" s="244">
        <v>1</v>
      </c>
      <c r="CM436" s="274">
        <f t="shared" si="6"/>
        <v>2015</v>
      </c>
      <c r="CN436" s="244">
        <f>IF('Grille de saisie'!CM436&lt;18,0,IF('Grille de saisie'!CM436&lt;40,1,IF('Grille de saisie'!CM436&lt;65,2,IF('Grille de saisie'!CM436&lt;100,3,4))))</f>
        <v>4</v>
      </c>
      <c r="CO436" s="236">
        <f>IF(AND('Grille de saisie'!C436=1,'Grille de saisie'!BZ436=0),1,IF(AND('Grille de saisie'!C436="",'Grille de saisie'!BZ436=""),3,IF(AND('Grille de saisie'!C436=5),3,2)))</f>
        <v>3</v>
      </c>
      <c r="CP436" s="236">
        <f>IF(AND('Grille de saisie'!C436=1,'Grille de saisie'!BZ436=0),1,IF(AND('Grille de saisie'!C436=1,'Grille de saisie'!BZ436=1),2,IF(AND('Grille de saisie'!C436=2,'Grille de saisie'!BZ436=0),2,IF(AND('Grille de saisie'!C436=3,'Grille de saisie'!BZ436=0),3,IF(AND('Grille de saisie'!C436=2,'Grille de saisie'!BZ436=1),3,IF(AND('Grille de saisie'!C436=1,'Grille de saisie'!BZ436=2),3,IF(AND('Grille de saisie'!C436="",'Grille de saisie'!BZ436=""),5,IF(AND('Grille de saisie'!C436=5),5,4))))))))</f>
        <v>5</v>
      </c>
      <c r="CQ436" s="237">
        <f>IF('Grille de saisie'!BZ436="",3,IF('Grille de saisie'!C436=5,3,IF('Grille de saisie'!BZ436=0,1,2)))</f>
        <v>3</v>
      </c>
    </row>
    <row r="437" spans="1:95" ht="15">
      <c r="A437" s="510">
        <v>435</v>
      </c>
      <c r="B437" s="240"/>
      <c r="C437" s="513"/>
      <c r="D437" s="240"/>
      <c r="E437" s="517"/>
      <c r="F437" s="265"/>
      <c r="G437" s="513"/>
      <c r="H437" s="265"/>
      <c r="I437" s="520"/>
      <c r="J437" s="241"/>
      <c r="K437" s="520"/>
      <c r="L437" s="241"/>
      <c r="M437" s="521"/>
      <c r="N437" s="241"/>
      <c r="O437" s="521"/>
      <c r="P437" s="241"/>
      <c r="Q437" s="520"/>
      <c r="R437" s="241"/>
      <c r="S437" s="520"/>
      <c r="T437" s="241"/>
      <c r="U437" s="520"/>
      <c r="V437" s="241"/>
      <c r="W437" s="242"/>
      <c r="X437" s="241"/>
      <c r="Y437" s="242"/>
      <c r="Z437" s="241"/>
      <c r="AA437" s="241"/>
      <c r="AB437" s="275"/>
      <c r="AC437" s="524"/>
      <c r="AD437" s="241"/>
      <c r="AE437" s="241"/>
      <c r="AF437" s="241"/>
      <c r="AG437" s="241"/>
      <c r="AH437" s="241"/>
      <c r="AI437" s="241"/>
      <c r="AJ437" s="529"/>
      <c r="AK437" s="258"/>
      <c r="AL437" s="241"/>
      <c r="AM437" s="242"/>
      <c r="AN437" s="241"/>
      <c r="AO437" s="242"/>
      <c r="AP437" s="241"/>
      <c r="AQ437" s="242"/>
      <c r="AR437" s="241"/>
      <c r="AS437" s="242"/>
      <c r="AT437" s="241"/>
      <c r="AU437" s="241"/>
      <c r="AV437" s="256"/>
      <c r="AW437" s="241"/>
      <c r="AX437" s="256"/>
      <c r="AY437" s="241"/>
      <c r="AZ437" s="256"/>
      <c r="BA437" s="239"/>
      <c r="BB437" s="242"/>
      <c r="BC437" s="239"/>
      <c r="BD437" s="242"/>
      <c r="BE437" s="239"/>
      <c r="BF437" s="241"/>
      <c r="BG437" s="239"/>
      <c r="BH437" s="241"/>
      <c r="BI437" s="260"/>
      <c r="BJ437" s="241"/>
      <c r="BK437" s="260"/>
      <c r="BL437" s="239"/>
      <c r="BM437" s="256"/>
      <c r="BN437" s="241"/>
      <c r="BO437" s="243"/>
      <c r="BP437" s="241"/>
      <c r="BQ437" s="239"/>
      <c r="BR437" s="276"/>
      <c r="BS437" s="256"/>
      <c r="BT437" s="260"/>
      <c r="BU437" s="261"/>
      <c r="BV437" s="260"/>
      <c r="BW437" s="239"/>
      <c r="BX437" s="260"/>
      <c r="BY437" s="260"/>
      <c r="BZ437" s="239"/>
      <c r="CA437" s="260"/>
      <c r="CB437" s="239"/>
      <c r="CC437" s="260"/>
      <c r="CD437" s="539"/>
      <c r="CE437" s="239"/>
      <c r="CF437" s="276"/>
      <c r="CG437" s="256"/>
      <c r="CH437" s="259"/>
      <c r="CI437" s="347"/>
      <c r="CJ437" s="540"/>
      <c r="CK437" s="256"/>
      <c r="CL437" s="244">
        <v>1</v>
      </c>
      <c r="CM437" s="274">
        <f t="shared" si="6"/>
        <v>2015</v>
      </c>
      <c r="CN437" s="244">
        <f>IF('Grille de saisie'!CM437&lt;18,0,IF('Grille de saisie'!CM437&lt;40,1,IF('Grille de saisie'!CM437&lt;65,2,IF('Grille de saisie'!CM437&lt;100,3,4))))</f>
        <v>4</v>
      </c>
      <c r="CO437" s="236">
        <f>IF(AND('Grille de saisie'!C437=1,'Grille de saisie'!BZ437=0),1,IF(AND('Grille de saisie'!C437="",'Grille de saisie'!BZ437=""),3,IF(AND('Grille de saisie'!C437=5),3,2)))</f>
        <v>3</v>
      </c>
      <c r="CP437" s="236">
        <f>IF(AND('Grille de saisie'!C437=1,'Grille de saisie'!BZ437=0),1,IF(AND('Grille de saisie'!C437=1,'Grille de saisie'!BZ437=1),2,IF(AND('Grille de saisie'!C437=2,'Grille de saisie'!BZ437=0),2,IF(AND('Grille de saisie'!C437=3,'Grille de saisie'!BZ437=0),3,IF(AND('Grille de saisie'!C437=2,'Grille de saisie'!BZ437=1),3,IF(AND('Grille de saisie'!C437=1,'Grille de saisie'!BZ437=2),3,IF(AND('Grille de saisie'!C437="",'Grille de saisie'!BZ437=""),5,IF(AND('Grille de saisie'!C437=5),5,4))))))))</f>
        <v>5</v>
      </c>
      <c r="CQ437" s="237">
        <f>IF('Grille de saisie'!BZ437="",3,IF('Grille de saisie'!C437=5,3,IF('Grille de saisie'!BZ437=0,1,2)))</f>
        <v>3</v>
      </c>
    </row>
    <row r="438" spans="1:95" ht="15">
      <c r="A438" s="511">
        <v>436</v>
      </c>
      <c r="B438" s="240"/>
      <c r="C438" s="513"/>
      <c r="D438" s="240"/>
      <c r="E438" s="517"/>
      <c r="F438" s="265"/>
      <c r="G438" s="513"/>
      <c r="H438" s="265"/>
      <c r="I438" s="520"/>
      <c r="J438" s="241"/>
      <c r="K438" s="520"/>
      <c r="L438" s="241"/>
      <c r="M438" s="521"/>
      <c r="N438" s="241"/>
      <c r="O438" s="521"/>
      <c r="P438" s="241"/>
      <c r="Q438" s="520"/>
      <c r="R438" s="241"/>
      <c r="S438" s="520"/>
      <c r="T438" s="241"/>
      <c r="U438" s="520"/>
      <c r="V438" s="241"/>
      <c r="W438" s="242"/>
      <c r="X438" s="241"/>
      <c r="Y438" s="242"/>
      <c r="Z438" s="241"/>
      <c r="AA438" s="241"/>
      <c r="AB438" s="275"/>
      <c r="AC438" s="524"/>
      <c r="AD438" s="241"/>
      <c r="AE438" s="241"/>
      <c r="AF438" s="241"/>
      <c r="AG438" s="241"/>
      <c r="AH438" s="241"/>
      <c r="AI438" s="241"/>
      <c r="AJ438" s="529"/>
      <c r="AK438" s="258"/>
      <c r="AL438" s="241"/>
      <c r="AM438" s="242"/>
      <c r="AN438" s="241"/>
      <c r="AO438" s="242"/>
      <c r="AP438" s="241"/>
      <c r="AQ438" s="242"/>
      <c r="AR438" s="241"/>
      <c r="AS438" s="242"/>
      <c r="AT438" s="241"/>
      <c r="AU438" s="241"/>
      <c r="AV438" s="256"/>
      <c r="AW438" s="241"/>
      <c r="AX438" s="256"/>
      <c r="AY438" s="241"/>
      <c r="AZ438" s="256"/>
      <c r="BA438" s="239"/>
      <c r="BB438" s="242"/>
      <c r="BC438" s="239"/>
      <c r="BD438" s="242"/>
      <c r="BE438" s="239"/>
      <c r="BF438" s="241"/>
      <c r="BG438" s="239"/>
      <c r="BH438" s="241"/>
      <c r="BI438" s="260"/>
      <c r="BJ438" s="241"/>
      <c r="BK438" s="260"/>
      <c r="BL438" s="239"/>
      <c r="BM438" s="256"/>
      <c r="BN438" s="241"/>
      <c r="BO438" s="243"/>
      <c r="BP438" s="241"/>
      <c r="BQ438" s="239"/>
      <c r="BR438" s="276"/>
      <c r="BS438" s="256"/>
      <c r="BT438" s="260"/>
      <c r="BU438" s="261"/>
      <c r="BV438" s="260"/>
      <c r="BW438" s="239"/>
      <c r="BX438" s="260"/>
      <c r="BY438" s="260"/>
      <c r="BZ438" s="239"/>
      <c r="CA438" s="260"/>
      <c r="CB438" s="239"/>
      <c r="CC438" s="260"/>
      <c r="CD438" s="539"/>
      <c r="CE438" s="239"/>
      <c r="CF438" s="276"/>
      <c r="CG438" s="256"/>
      <c r="CH438" s="259"/>
      <c r="CI438" s="347"/>
      <c r="CJ438" s="540"/>
      <c r="CK438" s="256"/>
      <c r="CL438" s="244">
        <v>1</v>
      </c>
      <c r="CM438" s="274">
        <f t="shared" si="6"/>
        <v>2015</v>
      </c>
      <c r="CN438" s="244">
        <f>IF('Grille de saisie'!CM438&lt;18,0,IF('Grille de saisie'!CM438&lt;40,1,IF('Grille de saisie'!CM438&lt;65,2,IF('Grille de saisie'!CM438&lt;100,3,4))))</f>
        <v>4</v>
      </c>
      <c r="CO438" s="236">
        <f>IF(AND('Grille de saisie'!C438=1,'Grille de saisie'!BZ438=0),1,IF(AND('Grille de saisie'!C438="",'Grille de saisie'!BZ438=""),3,IF(AND('Grille de saisie'!C438=5),3,2)))</f>
        <v>3</v>
      </c>
      <c r="CP438" s="236">
        <f>IF(AND('Grille de saisie'!C438=1,'Grille de saisie'!BZ438=0),1,IF(AND('Grille de saisie'!C438=1,'Grille de saisie'!BZ438=1),2,IF(AND('Grille de saisie'!C438=2,'Grille de saisie'!BZ438=0),2,IF(AND('Grille de saisie'!C438=3,'Grille de saisie'!BZ438=0),3,IF(AND('Grille de saisie'!C438=2,'Grille de saisie'!BZ438=1),3,IF(AND('Grille de saisie'!C438=1,'Grille de saisie'!BZ438=2),3,IF(AND('Grille de saisie'!C438="",'Grille de saisie'!BZ438=""),5,IF(AND('Grille de saisie'!C438=5),5,4))))))))</f>
        <v>5</v>
      </c>
      <c r="CQ438" s="237">
        <f>IF('Grille de saisie'!BZ438="",3,IF('Grille de saisie'!C438=5,3,IF('Grille de saisie'!BZ438=0,1,2)))</f>
        <v>3</v>
      </c>
    </row>
    <row r="439" spans="1:95" ht="15">
      <c r="A439" s="510">
        <v>437</v>
      </c>
      <c r="B439" s="240"/>
      <c r="C439" s="513"/>
      <c r="D439" s="240"/>
      <c r="E439" s="517"/>
      <c r="F439" s="265"/>
      <c r="G439" s="513"/>
      <c r="H439" s="265"/>
      <c r="I439" s="520"/>
      <c r="J439" s="241"/>
      <c r="K439" s="520"/>
      <c r="L439" s="241"/>
      <c r="M439" s="521"/>
      <c r="N439" s="241"/>
      <c r="O439" s="521"/>
      <c r="P439" s="241"/>
      <c r="Q439" s="520"/>
      <c r="R439" s="241"/>
      <c r="S439" s="520"/>
      <c r="T439" s="241"/>
      <c r="U439" s="520"/>
      <c r="V439" s="241"/>
      <c r="W439" s="242"/>
      <c r="X439" s="241"/>
      <c r="Y439" s="242"/>
      <c r="Z439" s="241"/>
      <c r="AA439" s="241"/>
      <c r="AB439" s="275"/>
      <c r="AC439" s="524"/>
      <c r="AD439" s="241"/>
      <c r="AE439" s="241"/>
      <c r="AF439" s="241"/>
      <c r="AG439" s="241"/>
      <c r="AH439" s="241"/>
      <c r="AI439" s="241"/>
      <c r="AJ439" s="529"/>
      <c r="AK439" s="258"/>
      <c r="AL439" s="241"/>
      <c r="AM439" s="242"/>
      <c r="AN439" s="241"/>
      <c r="AO439" s="242"/>
      <c r="AP439" s="241"/>
      <c r="AQ439" s="242"/>
      <c r="AR439" s="241"/>
      <c r="AS439" s="242"/>
      <c r="AT439" s="241"/>
      <c r="AU439" s="241"/>
      <c r="AV439" s="256"/>
      <c r="AW439" s="241"/>
      <c r="AX439" s="256"/>
      <c r="AY439" s="241"/>
      <c r="AZ439" s="256"/>
      <c r="BA439" s="239"/>
      <c r="BB439" s="242"/>
      <c r="BC439" s="239"/>
      <c r="BD439" s="242"/>
      <c r="BE439" s="239"/>
      <c r="BF439" s="241"/>
      <c r="BG439" s="239"/>
      <c r="BH439" s="241"/>
      <c r="BI439" s="260"/>
      <c r="BJ439" s="241"/>
      <c r="BK439" s="260"/>
      <c r="BL439" s="239"/>
      <c r="BM439" s="256"/>
      <c r="BN439" s="241"/>
      <c r="BO439" s="243"/>
      <c r="BP439" s="241"/>
      <c r="BQ439" s="239"/>
      <c r="BR439" s="276"/>
      <c r="BS439" s="256"/>
      <c r="BT439" s="260"/>
      <c r="BU439" s="261"/>
      <c r="BV439" s="260"/>
      <c r="BW439" s="239"/>
      <c r="BX439" s="260"/>
      <c r="BY439" s="260"/>
      <c r="BZ439" s="239"/>
      <c r="CA439" s="260"/>
      <c r="CB439" s="239"/>
      <c r="CC439" s="260"/>
      <c r="CD439" s="539"/>
      <c r="CE439" s="239"/>
      <c r="CF439" s="276"/>
      <c r="CG439" s="256"/>
      <c r="CH439" s="259"/>
      <c r="CI439" s="347"/>
      <c r="CJ439" s="540"/>
      <c r="CK439" s="256"/>
      <c r="CL439" s="244">
        <v>1</v>
      </c>
      <c r="CM439" s="274">
        <f t="shared" si="6"/>
        <v>2015</v>
      </c>
      <c r="CN439" s="244">
        <f>IF('Grille de saisie'!CM439&lt;18,0,IF('Grille de saisie'!CM439&lt;40,1,IF('Grille de saisie'!CM439&lt;65,2,IF('Grille de saisie'!CM439&lt;100,3,4))))</f>
        <v>4</v>
      </c>
      <c r="CO439" s="236">
        <f>IF(AND('Grille de saisie'!C439=1,'Grille de saisie'!BZ439=0),1,IF(AND('Grille de saisie'!C439="",'Grille de saisie'!BZ439=""),3,IF(AND('Grille de saisie'!C439=5),3,2)))</f>
        <v>3</v>
      </c>
      <c r="CP439" s="236">
        <f>IF(AND('Grille de saisie'!C439=1,'Grille de saisie'!BZ439=0),1,IF(AND('Grille de saisie'!C439=1,'Grille de saisie'!BZ439=1),2,IF(AND('Grille de saisie'!C439=2,'Grille de saisie'!BZ439=0),2,IF(AND('Grille de saisie'!C439=3,'Grille de saisie'!BZ439=0),3,IF(AND('Grille de saisie'!C439=2,'Grille de saisie'!BZ439=1),3,IF(AND('Grille de saisie'!C439=1,'Grille de saisie'!BZ439=2),3,IF(AND('Grille de saisie'!C439="",'Grille de saisie'!BZ439=""),5,IF(AND('Grille de saisie'!C439=5),5,4))))))))</f>
        <v>5</v>
      </c>
      <c r="CQ439" s="237">
        <f>IF('Grille de saisie'!BZ439="",3,IF('Grille de saisie'!C439=5,3,IF('Grille de saisie'!BZ439=0,1,2)))</f>
        <v>3</v>
      </c>
    </row>
    <row r="440" spans="1:95" ht="15">
      <c r="A440" s="510">
        <v>438</v>
      </c>
      <c r="B440" s="240"/>
      <c r="C440" s="513"/>
      <c r="D440" s="240"/>
      <c r="E440" s="517"/>
      <c r="F440" s="265"/>
      <c r="G440" s="513"/>
      <c r="H440" s="265"/>
      <c r="I440" s="520"/>
      <c r="J440" s="241"/>
      <c r="K440" s="520"/>
      <c r="L440" s="241"/>
      <c r="M440" s="521"/>
      <c r="N440" s="241"/>
      <c r="O440" s="521"/>
      <c r="P440" s="241"/>
      <c r="Q440" s="520"/>
      <c r="R440" s="241"/>
      <c r="S440" s="520"/>
      <c r="T440" s="241"/>
      <c r="U440" s="520"/>
      <c r="V440" s="241"/>
      <c r="W440" s="242"/>
      <c r="X440" s="241"/>
      <c r="Y440" s="242"/>
      <c r="Z440" s="241"/>
      <c r="AA440" s="241"/>
      <c r="AB440" s="275"/>
      <c r="AC440" s="524"/>
      <c r="AD440" s="241"/>
      <c r="AE440" s="241"/>
      <c r="AF440" s="241"/>
      <c r="AG440" s="241"/>
      <c r="AH440" s="241"/>
      <c r="AI440" s="241"/>
      <c r="AJ440" s="529"/>
      <c r="AK440" s="258"/>
      <c r="AL440" s="241"/>
      <c r="AM440" s="242"/>
      <c r="AN440" s="241"/>
      <c r="AO440" s="242"/>
      <c r="AP440" s="241"/>
      <c r="AQ440" s="242"/>
      <c r="AR440" s="241"/>
      <c r="AS440" s="242"/>
      <c r="AT440" s="241"/>
      <c r="AU440" s="241"/>
      <c r="AV440" s="256"/>
      <c r="AW440" s="241"/>
      <c r="AX440" s="256"/>
      <c r="AY440" s="241"/>
      <c r="AZ440" s="256"/>
      <c r="BA440" s="239"/>
      <c r="BB440" s="242"/>
      <c r="BC440" s="239"/>
      <c r="BD440" s="242"/>
      <c r="BE440" s="239"/>
      <c r="BF440" s="241"/>
      <c r="BG440" s="239"/>
      <c r="BH440" s="241"/>
      <c r="BI440" s="260"/>
      <c r="BJ440" s="241"/>
      <c r="BK440" s="260"/>
      <c r="BL440" s="239"/>
      <c r="BM440" s="256"/>
      <c r="BN440" s="241"/>
      <c r="BO440" s="243"/>
      <c r="BP440" s="241"/>
      <c r="BQ440" s="239"/>
      <c r="BR440" s="276"/>
      <c r="BS440" s="256"/>
      <c r="BT440" s="260"/>
      <c r="BU440" s="261"/>
      <c r="BV440" s="260"/>
      <c r="BW440" s="239"/>
      <c r="BX440" s="260"/>
      <c r="BY440" s="260"/>
      <c r="BZ440" s="239"/>
      <c r="CA440" s="260"/>
      <c r="CB440" s="239"/>
      <c r="CC440" s="260"/>
      <c r="CD440" s="539"/>
      <c r="CE440" s="239"/>
      <c r="CF440" s="276"/>
      <c r="CG440" s="256"/>
      <c r="CH440" s="259"/>
      <c r="CI440" s="347"/>
      <c r="CJ440" s="540"/>
      <c r="CK440" s="256"/>
      <c r="CL440" s="244">
        <v>1</v>
      </c>
      <c r="CM440" s="274">
        <f t="shared" si="6"/>
        <v>2015</v>
      </c>
      <c r="CN440" s="244">
        <f>IF('Grille de saisie'!CM440&lt;18,0,IF('Grille de saisie'!CM440&lt;40,1,IF('Grille de saisie'!CM440&lt;65,2,IF('Grille de saisie'!CM440&lt;100,3,4))))</f>
        <v>4</v>
      </c>
      <c r="CO440" s="236">
        <f>IF(AND('Grille de saisie'!C440=1,'Grille de saisie'!BZ440=0),1,IF(AND('Grille de saisie'!C440="",'Grille de saisie'!BZ440=""),3,IF(AND('Grille de saisie'!C440=5),3,2)))</f>
        <v>3</v>
      </c>
      <c r="CP440" s="236">
        <f>IF(AND('Grille de saisie'!C440=1,'Grille de saisie'!BZ440=0),1,IF(AND('Grille de saisie'!C440=1,'Grille de saisie'!BZ440=1),2,IF(AND('Grille de saisie'!C440=2,'Grille de saisie'!BZ440=0),2,IF(AND('Grille de saisie'!C440=3,'Grille de saisie'!BZ440=0),3,IF(AND('Grille de saisie'!C440=2,'Grille de saisie'!BZ440=1),3,IF(AND('Grille de saisie'!C440=1,'Grille de saisie'!BZ440=2),3,IF(AND('Grille de saisie'!C440="",'Grille de saisie'!BZ440=""),5,IF(AND('Grille de saisie'!C440=5),5,4))))))))</f>
        <v>5</v>
      </c>
      <c r="CQ440" s="237">
        <f>IF('Grille de saisie'!BZ440="",3,IF('Grille de saisie'!C440=5,3,IF('Grille de saisie'!BZ440=0,1,2)))</f>
        <v>3</v>
      </c>
    </row>
    <row r="441" spans="1:95" ht="15">
      <c r="A441" s="511">
        <v>439</v>
      </c>
      <c r="B441" s="240"/>
      <c r="C441" s="513"/>
      <c r="D441" s="240"/>
      <c r="E441" s="517"/>
      <c r="F441" s="265"/>
      <c r="G441" s="513"/>
      <c r="H441" s="265"/>
      <c r="I441" s="520"/>
      <c r="J441" s="241"/>
      <c r="K441" s="520"/>
      <c r="L441" s="241"/>
      <c r="M441" s="521"/>
      <c r="N441" s="241"/>
      <c r="O441" s="521"/>
      <c r="P441" s="241"/>
      <c r="Q441" s="520"/>
      <c r="R441" s="241"/>
      <c r="S441" s="520"/>
      <c r="T441" s="241"/>
      <c r="U441" s="520"/>
      <c r="V441" s="241"/>
      <c r="W441" s="242"/>
      <c r="X441" s="241"/>
      <c r="Y441" s="242"/>
      <c r="Z441" s="241"/>
      <c r="AA441" s="241"/>
      <c r="AB441" s="275"/>
      <c r="AC441" s="524"/>
      <c r="AD441" s="241"/>
      <c r="AE441" s="241"/>
      <c r="AF441" s="241"/>
      <c r="AG441" s="241"/>
      <c r="AH441" s="241"/>
      <c r="AI441" s="241"/>
      <c r="AJ441" s="529"/>
      <c r="AK441" s="258"/>
      <c r="AL441" s="241"/>
      <c r="AM441" s="242"/>
      <c r="AN441" s="241"/>
      <c r="AO441" s="242"/>
      <c r="AP441" s="241"/>
      <c r="AQ441" s="242"/>
      <c r="AR441" s="241"/>
      <c r="AS441" s="242"/>
      <c r="AT441" s="241"/>
      <c r="AU441" s="241"/>
      <c r="AV441" s="256"/>
      <c r="AW441" s="241"/>
      <c r="AX441" s="256"/>
      <c r="AY441" s="241"/>
      <c r="AZ441" s="256"/>
      <c r="BA441" s="239"/>
      <c r="BB441" s="242"/>
      <c r="BC441" s="239"/>
      <c r="BD441" s="242"/>
      <c r="BE441" s="239"/>
      <c r="BF441" s="241"/>
      <c r="BG441" s="239"/>
      <c r="BH441" s="241"/>
      <c r="BI441" s="260"/>
      <c r="BJ441" s="241"/>
      <c r="BK441" s="260"/>
      <c r="BL441" s="239"/>
      <c r="BM441" s="256"/>
      <c r="BN441" s="241"/>
      <c r="BO441" s="243"/>
      <c r="BP441" s="241"/>
      <c r="BQ441" s="239"/>
      <c r="BR441" s="276"/>
      <c r="BS441" s="256"/>
      <c r="BT441" s="260"/>
      <c r="BU441" s="261"/>
      <c r="BV441" s="260"/>
      <c r="BW441" s="239"/>
      <c r="BX441" s="260"/>
      <c r="BY441" s="260"/>
      <c r="BZ441" s="239"/>
      <c r="CA441" s="260"/>
      <c r="CB441" s="239"/>
      <c r="CC441" s="260"/>
      <c r="CD441" s="539"/>
      <c r="CE441" s="239"/>
      <c r="CF441" s="276"/>
      <c r="CG441" s="256"/>
      <c r="CH441" s="259"/>
      <c r="CI441" s="347"/>
      <c r="CJ441" s="540"/>
      <c r="CK441" s="256"/>
      <c r="CL441" s="244">
        <v>1</v>
      </c>
      <c r="CM441" s="274">
        <f t="shared" si="6"/>
        <v>2015</v>
      </c>
      <c r="CN441" s="244">
        <f>IF('Grille de saisie'!CM441&lt;18,0,IF('Grille de saisie'!CM441&lt;40,1,IF('Grille de saisie'!CM441&lt;65,2,IF('Grille de saisie'!CM441&lt;100,3,4))))</f>
        <v>4</v>
      </c>
      <c r="CO441" s="236">
        <f>IF(AND('Grille de saisie'!C441=1,'Grille de saisie'!BZ441=0),1,IF(AND('Grille de saisie'!C441="",'Grille de saisie'!BZ441=""),3,IF(AND('Grille de saisie'!C441=5),3,2)))</f>
        <v>3</v>
      </c>
      <c r="CP441" s="236">
        <f>IF(AND('Grille de saisie'!C441=1,'Grille de saisie'!BZ441=0),1,IF(AND('Grille de saisie'!C441=1,'Grille de saisie'!BZ441=1),2,IF(AND('Grille de saisie'!C441=2,'Grille de saisie'!BZ441=0),2,IF(AND('Grille de saisie'!C441=3,'Grille de saisie'!BZ441=0),3,IF(AND('Grille de saisie'!C441=2,'Grille de saisie'!BZ441=1),3,IF(AND('Grille de saisie'!C441=1,'Grille de saisie'!BZ441=2),3,IF(AND('Grille de saisie'!C441="",'Grille de saisie'!BZ441=""),5,IF(AND('Grille de saisie'!C441=5),5,4))))))))</f>
        <v>5</v>
      </c>
      <c r="CQ441" s="237">
        <f>IF('Grille de saisie'!BZ441="",3,IF('Grille de saisie'!C441=5,3,IF('Grille de saisie'!BZ441=0,1,2)))</f>
        <v>3</v>
      </c>
    </row>
    <row r="442" spans="1:95" ht="15">
      <c r="A442" s="510">
        <v>440</v>
      </c>
      <c r="B442" s="240"/>
      <c r="C442" s="513"/>
      <c r="D442" s="240"/>
      <c r="E442" s="517"/>
      <c r="F442" s="265"/>
      <c r="G442" s="513"/>
      <c r="H442" s="265"/>
      <c r="I442" s="520"/>
      <c r="J442" s="241"/>
      <c r="K442" s="520"/>
      <c r="L442" s="241"/>
      <c r="M442" s="521"/>
      <c r="N442" s="241"/>
      <c r="O442" s="521"/>
      <c r="P442" s="241"/>
      <c r="Q442" s="520"/>
      <c r="R442" s="241"/>
      <c r="S442" s="520"/>
      <c r="T442" s="241"/>
      <c r="U442" s="520"/>
      <c r="V442" s="241"/>
      <c r="W442" s="242"/>
      <c r="X442" s="241"/>
      <c r="Y442" s="242"/>
      <c r="Z442" s="241"/>
      <c r="AA442" s="241"/>
      <c r="AB442" s="275"/>
      <c r="AC442" s="524"/>
      <c r="AD442" s="241"/>
      <c r="AE442" s="241"/>
      <c r="AF442" s="241"/>
      <c r="AG442" s="241"/>
      <c r="AH442" s="241"/>
      <c r="AI442" s="241"/>
      <c r="AJ442" s="529"/>
      <c r="AK442" s="258"/>
      <c r="AL442" s="241"/>
      <c r="AM442" s="242"/>
      <c r="AN442" s="241"/>
      <c r="AO442" s="242"/>
      <c r="AP442" s="241"/>
      <c r="AQ442" s="242"/>
      <c r="AR442" s="241"/>
      <c r="AS442" s="242"/>
      <c r="AT442" s="241"/>
      <c r="AU442" s="241"/>
      <c r="AV442" s="256"/>
      <c r="AW442" s="241"/>
      <c r="AX442" s="256"/>
      <c r="AY442" s="241"/>
      <c r="AZ442" s="256"/>
      <c r="BA442" s="239"/>
      <c r="BB442" s="242"/>
      <c r="BC442" s="239"/>
      <c r="BD442" s="242"/>
      <c r="BE442" s="239"/>
      <c r="BF442" s="241"/>
      <c r="BG442" s="239"/>
      <c r="BH442" s="241"/>
      <c r="BI442" s="260"/>
      <c r="BJ442" s="241"/>
      <c r="BK442" s="260"/>
      <c r="BL442" s="239"/>
      <c r="BM442" s="256"/>
      <c r="BN442" s="241"/>
      <c r="BO442" s="243"/>
      <c r="BP442" s="241"/>
      <c r="BQ442" s="239"/>
      <c r="BR442" s="276"/>
      <c r="BS442" s="256"/>
      <c r="BT442" s="260"/>
      <c r="BU442" s="261"/>
      <c r="BV442" s="260"/>
      <c r="BW442" s="239"/>
      <c r="BX442" s="260"/>
      <c r="BY442" s="260"/>
      <c r="BZ442" s="239"/>
      <c r="CA442" s="260"/>
      <c r="CB442" s="239"/>
      <c r="CC442" s="260"/>
      <c r="CD442" s="539"/>
      <c r="CE442" s="239"/>
      <c r="CF442" s="276"/>
      <c r="CG442" s="256"/>
      <c r="CH442" s="259"/>
      <c r="CI442" s="347"/>
      <c r="CJ442" s="540"/>
      <c r="CK442" s="256"/>
      <c r="CL442" s="244">
        <v>1</v>
      </c>
      <c r="CM442" s="274">
        <f t="shared" si="6"/>
        <v>2015</v>
      </c>
      <c r="CN442" s="244">
        <f>IF('Grille de saisie'!CM442&lt;18,0,IF('Grille de saisie'!CM442&lt;40,1,IF('Grille de saisie'!CM442&lt;65,2,IF('Grille de saisie'!CM442&lt;100,3,4))))</f>
        <v>4</v>
      </c>
      <c r="CO442" s="236">
        <f>IF(AND('Grille de saisie'!C442=1,'Grille de saisie'!BZ442=0),1,IF(AND('Grille de saisie'!C442="",'Grille de saisie'!BZ442=""),3,IF(AND('Grille de saisie'!C442=5),3,2)))</f>
        <v>3</v>
      </c>
      <c r="CP442" s="236">
        <f>IF(AND('Grille de saisie'!C442=1,'Grille de saisie'!BZ442=0),1,IF(AND('Grille de saisie'!C442=1,'Grille de saisie'!BZ442=1),2,IF(AND('Grille de saisie'!C442=2,'Grille de saisie'!BZ442=0),2,IF(AND('Grille de saisie'!C442=3,'Grille de saisie'!BZ442=0),3,IF(AND('Grille de saisie'!C442=2,'Grille de saisie'!BZ442=1),3,IF(AND('Grille de saisie'!C442=1,'Grille de saisie'!BZ442=2),3,IF(AND('Grille de saisie'!C442="",'Grille de saisie'!BZ442=""),5,IF(AND('Grille de saisie'!C442=5),5,4))))))))</f>
        <v>5</v>
      </c>
      <c r="CQ442" s="237">
        <f>IF('Grille de saisie'!BZ442="",3,IF('Grille de saisie'!C442=5,3,IF('Grille de saisie'!BZ442=0,1,2)))</f>
        <v>3</v>
      </c>
    </row>
    <row r="443" spans="1:95" ht="15">
      <c r="A443" s="510">
        <v>441</v>
      </c>
      <c r="B443" s="240"/>
      <c r="C443" s="513"/>
      <c r="D443" s="240"/>
      <c r="E443" s="517"/>
      <c r="F443" s="265"/>
      <c r="G443" s="513"/>
      <c r="H443" s="265"/>
      <c r="I443" s="520"/>
      <c r="J443" s="241"/>
      <c r="K443" s="520"/>
      <c r="L443" s="241"/>
      <c r="M443" s="521"/>
      <c r="N443" s="241"/>
      <c r="O443" s="521"/>
      <c r="P443" s="241"/>
      <c r="Q443" s="520"/>
      <c r="R443" s="241"/>
      <c r="S443" s="520"/>
      <c r="T443" s="241"/>
      <c r="U443" s="520"/>
      <c r="V443" s="241"/>
      <c r="W443" s="242"/>
      <c r="X443" s="241"/>
      <c r="Y443" s="242"/>
      <c r="Z443" s="241"/>
      <c r="AA443" s="241"/>
      <c r="AB443" s="275"/>
      <c r="AC443" s="524"/>
      <c r="AD443" s="241"/>
      <c r="AE443" s="241"/>
      <c r="AF443" s="241"/>
      <c r="AG443" s="241"/>
      <c r="AH443" s="241"/>
      <c r="AI443" s="241"/>
      <c r="AJ443" s="529"/>
      <c r="AK443" s="258"/>
      <c r="AL443" s="241"/>
      <c r="AM443" s="242"/>
      <c r="AN443" s="241"/>
      <c r="AO443" s="242"/>
      <c r="AP443" s="241"/>
      <c r="AQ443" s="242"/>
      <c r="AR443" s="241"/>
      <c r="AS443" s="242"/>
      <c r="AT443" s="241"/>
      <c r="AU443" s="241"/>
      <c r="AV443" s="256"/>
      <c r="AW443" s="241"/>
      <c r="AX443" s="256"/>
      <c r="AY443" s="241"/>
      <c r="AZ443" s="256"/>
      <c r="BA443" s="239"/>
      <c r="BB443" s="242"/>
      <c r="BC443" s="239"/>
      <c r="BD443" s="242"/>
      <c r="BE443" s="239"/>
      <c r="BF443" s="241"/>
      <c r="BG443" s="239"/>
      <c r="BH443" s="241"/>
      <c r="BI443" s="260"/>
      <c r="BJ443" s="241"/>
      <c r="BK443" s="260"/>
      <c r="BL443" s="239"/>
      <c r="BM443" s="256"/>
      <c r="BN443" s="241"/>
      <c r="BO443" s="243"/>
      <c r="BP443" s="241"/>
      <c r="BQ443" s="239"/>
      <c r="BR443" s="276"/>
      <c r="BS443" s="256"/>
      <c r="BT443" s="260"/>
      <c r="BU443" s="261"/>
      <c r="BV443" s="260"/>
      <c r="BW443" s="239"/>
      <c r="BX443" s="260"/>
      <c r="BY443" s="260"/>
      <c r="BZ443" s="239"/>
      <c r="CA443" s="260"/>
      <c r="CB443" s="239"/>
      <c r="CC443" s="260"/>
      <c r="CD443" s="539"/>
      <c r="CE443" s="239"/>
      <c r="CF443" s="276"/>
      <c r="CG443" s="256"/>
      <c r="CH443" s="259"/>
      <c r="CI443" s="347"/>
      <c r="CJ443" s="540"/>
      <c r="CK443" s="256"/>
      <c r="CL443" s="244">
        <v>1</v>
      </c>
      <c r="CM443" s="274">
        <f t="shared" si="6"/>
        <v>2015</v>
      </c>
      <c r="CN443" s="244">
        <f>IF('Grille de saisie'!CM443&lt;18,0,IF('Grille de saisie'!CM443&lt;40,1,IF('Grille de saisie'!CM443&lt;65,2,IF('Grille de saisie'!CM443&lt;100,3,4))))</f>
        <v>4</v>
      </c>
      <c r="CO443" s="236">
        <f>IF(AND('Grille de saisie'!C443=1,'Grille de saisie'!BZ443=0),1,IF(AND('Grille de saisie'!C443="",'Grille de saisie'!BZ443=""),3,IF(AND('Grille de saisie'!C443=5),3,2)))</f>
        <v>3</v>
      </c>
      <c r="CP443" s="236">
        <f>IF(AND('Grille de saisie'!C443=1,'Grille de saisie'!BZ443=0),1,IF(AND('Grille de saisie'!C443=1,'Grille de saisie'!BZ443=1),2,IF(AND('Grille de saisie'!C443=2,'Grille de saisie'!BZ443=0),2,IF(AND('Grille de saisie'!C443=3,'Grille de saisie'!BZ443=0),3,IF(AND('Grille de saisie'!C443=2,'Grille de saisie'!BZ443=1),3,IF(AND('Grille de saisie'!C443=1,'Grille de saisie'!BZ443=2),3,IF(AND('Grille de saisie'!C443="",'Grille de saisie'!BZ443=""),5,IF(AND('Grille de saisie'!C443=5),5,4))))))))</f>
        <v>5</v>
      </c>
      <c r="CQ443" s="237">
        <f>IF('Grille de saisie'!BZ443="",3,IF('Grille de saisie'!C443=5,3,IF('Grille de saisie'!BZ443=0,1,2)))</f>
        <v>3</v>
      </c>
    </row>
    <row r="444" spans="1:95" ht="15">
      <c r="A444" s="511">
        <v>442</v>
      </c>
      <c r="B444" s="240"/>
      <c r="C444" s="513"/>
      <c r="D444" s="240"/>
      <c r="E444" s="517"/>
      <c r="F444" s="265"/>
      <c r="G444" s="513"/>
      <c r="H444" s="265"/>
      <c r="I444" s="520"/>
      <c r="J444" s="241"/>
      <c r="K444" s="520"/>
      <c r="L444" s="241"/>
      <c r="M444" s="521"/>
      <c r="N444" s="241"/>
      <c r="O444" s="521"/>
      <c r="P444" s="241"/>
      <c r="Q444" s="520"/>
      <c r="R444" s="241"/>
      <c r="S444" s="520"/>
      <c r="T444" s="241"/>
      <c r="U444" s="520"/>
      <c r="V444" s="241"/>
      <c r="W444" s="242"/>
      <c r="X444" s="241"/>
      <c r="Y444" s="242"/>
      <c r="Z444" s="241"/>
      <c r="AA444" s="241"/>
      <c r="AB444" s="275"/>
      <c r="AC444" s="524"/>
      <c r="AD444" s="241"/>
      <c r="AE444" s="241"/>
      <c r="AF444" s="241"/>
      <c r="AG444" s="241"/>
      <c r="AH444" s="241"/>
      <c r="AI444" s="241"/>
      <c r="AJ444" s="529"/>
      <c r="AK444" s="258"/>
      <c r="AL444" s="241"/>
      <c r="AM444" s="242"/>
      <c r="AN444" s="241"/>
      <c r="AO444" s="242"/>
      <c r="AP444" s="241"/>
      <c r="AQ444" s="242"/>
      <c r="AR444" s="241"/>
      <c r="AS444" s="242"/>
      <c r="AT444" s="241"/>
      <c r="AU444" s="241"/>
      <c r="AV444" s="256"/>
      <c r="AW444" s="241"/>
      <c r="AX444" s="256"/>
      <c r="AY444" s="241"/>
      <c r="AZ444" s="256"/>
      <c r="BA444" s="239"/>
      <c r="BB444" s="242"/>
      <c r="BC444" s="239"/>
      <c r="BD444" s="242"/>
      <c r="BE444" s="239"/>
      <c r="BF444" s="241"/>
      <c r="BG444" s="239"/>
      <c r="BH444" s="241"/>
      <c r="BI444" s="260"/>
      <c r="BJ444" s="241"/>
      <c r="BK444" s="260"/>
      <c r="BL444" s="239"/>
      <c r="BM444" s="256"/>
      <c r="BN444" s="241"/>
      <c r="BO444" s="243"/>
      <c r="BP444" s="241"/>
      <c r="BQ444" s="239"/>
      <c r="BR444" s="276"/>
      <c r="BS444" s="256"/>
      <c r="BT444" s="260"/>
      <c r="BU444" s="261"/>
      <c r="BV444" s="260"/>
      <c r="BW444" s="239"/>
      <c r="BX444" s="260"/>
      <c r="BY444" s="260"/>
      <c r="BZ444" s="239"/>
      <c r="CA444" s="260"/>
      <c r="CB444" s="239"/>
      <c r="CC444" s="260"/>
      <c r="CD444" s="539"/>
      <c r="CE444" s="239"/>
      <c r="CF444" s="276"/>
      <c r="CG444" s="256"/>
      <c r="CH444" s="259"/>
      <c r="CI444" s="347"/>
      <c r="CJ444" s="540"/>
      <c r="CK444" s="256"/>
      <c r="CL444" s="244">
        <v>1</v>
      </c>
      <c r="CM444" s="274">
        <f t="shared" si="6"/>
        <v>2015</v>
      </c>
      <c r="CN444" s="244">
        <f>IF('Grille de saisie'!CM444&lt;18,0,IF('Grille de saisie'!CM444&lt;40,1,IF('Grille de saisie'!CM444&lt;65,2,IF('Grille de saisie'!CM444&lt;100,3,4))))</f>
        <v>4</v>
      </c>
      <c r="CO444" s="236">
        <f>IF(AND('Grille de saisie'!C444=1,'Grille de saisie'!BZ444=0),1,IF(AND('Grille de saisie'!C444="",'Grille de saisie'!BZ444=""),3,IF(AND('Grille de saisie'!C444=5),3,2)))</f>
        <v>3</v>
      </c>
      <c r="CP444" s="236">
        <f>IF(AND('Grille de saisie'!C444=1,'Grille de saisie'!BZ444=0),1,IF(AND('Grille de saisie'!C444=1,'Grille de saisie'!BZ444=1),2,IF(AND('Grille de saisie'!C444=2,'Grille de saisie'!BZ444=0),2,IF(AND('Grille de saisie'!C444=3,'Grille de saisie'!BZ444=0),3,IF(AND('Grille de saisie'!C444=2,'Grille de saisie'!BZ444=1),3,IF(AND('Grille de saisie'!C444=1,'Grille de saisie'!BZ444=2),3,IF(AND('Grille de saisie'!C444="",'Grille de saisie'!BZ444=""),5,IF(AND('Grille de saisie'!C444=5),5,4))))))))</f>
        <v>5</v>
      </c>
      <c r="CQ444" s="237">
        <f>IF('Grille de saisie'!BZ444="",3,IF('Grille de saisie'!C444=5,3,IF('Grille de saisie'!BZ444=0,1,2)))</f>
        <v>3</v>
      </c>
    </row>
    <row r="445" spans="1:95" ht="15">
      <c r="A445" s="510">
        <v>443</v>
      </c>
      <c r="B445" s="240"/>
      <c r="C445" s="513"/>
      <c r="D445" s="240"/>
      <c r="E445" s="517"/>
      <c r="F445" s="265"/>
      <c r="G445" s="513"/>
      <c r="H445" s="265"/>
      <c r="I445" s="520"/>
      <c r="J445" s="241"/>
      <c r="K445" s="520"/>
      <c r="L445" s="241"/>
      <c r="M445" s="521"/>
      <c r="N445" s="241"/>
      <c r="O445" s="521"/>
      <c r="P445" s="241"/>
      <c r="Q445" s="520"/>
      <c r="R445" s="241"/>
      <c r="S445" s="520"/>
      <c r="T445" s="241"/>
      <c r="U445" s="520"/>
      <c r="V445" s="241"/>
      <c r="W445" s="242"/>
      <c r="X445" s="241"/>
      <c r="Y445" s="242"/>
      <c r="Z445" s="241"/>
      <c r="AA445" s="241"/>
      <c r="AB445" s="275"/>
      <c r="AC445" s="524"/>
      <c r="AD445" s="241"/>
      <c r="AE445" s="241"/>
      <c r="AF445" s="241"/>
      <c r="AG445" s="241"/>
      <c r="AH445" s="241"/>
      <c r="AI445" s="241"/>
      <c r="AJ445" s="529"/>
      <c r="AK445" s="258"/>
      <c r="AL445" s="241"/>
      <c r="AM445" s="242"/>
      <c r="AN445" s="241"/>
      <c r="AO445" s="242"/>
      <c r="AP445" s="241"/>
      <c r="AQ445" s="242"/>
      <c r="AR445" s="241"/>
      <c r="AS445" s="242"/>
      <c r="AT445" s="241"/>
      <c r="AU445" s="241"/>
      <c r="AV445" s="256"/>
      <c r="AW445" s="241"/>
      <c r="AX445" s="256"/>
      <c r="AY445" s="241"/>
      <c r="AZ445" s="256"/>
      <c r="BA445" s="239"/>
      <c r="BB445" s="242"/>
      <c r="BC445" s="239"/>
      <c r="BD445" s="242"/>
      <c r="BE445" s="239"/>
      <c r="BF445" s="241"/>
      <c r="BG445" s="239"/>
      <c r="BH445" s="241"/>
      <c r="BI445" s="260"/>
      <c r="BJ445" s="241"/>
      <c r="BK445" s="260"/>
      <c r="BL445" s="239"/>
      <c r="BM445" s="256"/>
      <c r="BN445" s="241"/>
      <c r="BO445" s="243"/>
      <c r="BP445" s="241"/>
      <c r="BQ445" s="239"/>
      <c r="BR445" s="276"/>
      <c r="BS445" s="256"/>
      <c r="BT445" s="260"/>
      <c r="BU445" s="261"/>
      <c r="BV445" s="260"/>
      <c r="BW445" s="239"/>
      <c r="BX445" s="260"/>
      <c r="BY445" s="260"/>
      <c r="BZ445" s="239"/>
      <c r="CA445" s="260"/>
      <c r="CB445" s="239"/>
      <c r="CC445" s="260"/>
      <c r="CD445" s="539"/>
      <c r="CE445" s="239"/>
      <c r="CF445" s="276"/>
      <c r="CG445" s="256"/>
      <c r="CH445" s="259"/>
      <c r="CI445" s="347"/>
      <c r="CJ445" s="540"/>
      <c r="CK445" s="256"/>
      <c r="CL445" s="244">
        <v>1</v>
      </c>
      <c r="CM445" s="274">
        <f t="shared" si="6"/>
        <v>2015</v>
      </c>
      <c r="CN445" s="244">
        <f>IF('Grille de saisie'!CM445&lt;18,0,IF('Grille de saisie'!CM445&lt;40,1,IF('Grille de saisie'!CM445&lt;65,2,IF('Grille de saisie'!CM445&lt;100,3,4))))</f>
        <v>4</v>
      </c>
      <c r="CO445" s="236">
        <f>IF(AND('Grille de saisie'!C445=1,'Grille de saisie'!BZ445=0),1,IF(AND('Grille de saisie'!C445="",'Grille de saisie'!BZ445=""),3,IF(AND('Grille de saisie'!C445=5),3,2)))</f>
        <v>3</v>
      </c>
      <c r="CP445" s="236">
        <f>IF(AND('Grille de saisie'!C445=1,'Grille de saisie'!BZ445=0),1,IF(AND('Grille de saisie'!C445=1,'Grille de saisie'!BZ445=1),2,IF(AND('Grille de saisie'!C445=2,'Grille de saisie'!BZ445=0),2,IF(AND('Grille de saisie'!C445=3,'Grille de saisie'!BZ445=0),3,IF(AND('Grille de saisie'!C445=2,'Grille de saisie'!BZ445=1),3,IF(AND('Grille de saisie'!C445=1,'Grille de saisie'!BZ445=2),3,IF(AND('Grille de saisie'!C445="",'Grille de saisie'!BZ445=""),5,IF(AND('Grille de saisie'!C445=5),5,4))))))))</f>
        <v>5</v>
      </c>
      <c r="CQ445" s="237">
        <f>IF('Grille de saisie'!BZ445="",3,IF('Grille de saisie'!C445=5,3,IF('Grille de saisie'!BZ445=0,1,2)))</f>
        <v>3</v>
      </c>
    </row>
    <row r="446" spans="1:95" ht="15">
      <c r="A446" s="510">
        <v>444</v>
      </c>
      <c r="B446" s="240"/>
      <c r="C446" s="513"/>
      <c r="D446" s="240"/>
      <c r="E446" s="517"/>
      <c r="F446" s="265"/>
      <c r="G446" s="513"/>
      <c r="H446" s="265"/>
      <c r="I446" s="520"/>
      <c r="J446" s="241"/>
      <c r="K446" s="520"/>
      <c r="L446" s="241"/>
      <c r="M446" s="521"/>
      <c r="N446" s="241"/>
      <c r="O446" s="521"/>
      <c r="P446" s="241"/>
      <c r="Q446" s="520"/>
      <c r="R446" s="241"/>
      <c r="S446" s="520"/>
      <c r="T446" s="241"/>
      <c r="U446" s="520"/>
      <c r="V446" s="241"/>
      <c r="W446" s="242"/>
      <c r="X446" s="241"/>
      <c r="Y446" s="242"/>
      <c r="Z446" s="241"/>
      <c r="AA446" s="241"/>
      <c r="AB446" s="275"/>
      <c r="AC446" s="524"/>
      <c r="AD446" s="241"/>
      <c r="AE446" s="241"/>
      <c r="AF446" s="241"/>
      <c r="AG446" s="241"/>
      <c r="AH446" s="241"/>
      <c r="AI446" s="241"/>
      <c r="AJ446" s="529"/>
      <c r="AK446" s="258"/>
      <c r="AL446" s="241"/>
      <c r="AM446" s="242"/>
      <c r="AN446" s="241"/>
      <c r="AO446" s="242"/>
      <c r="AP446" s="241"/>
      <c r="AQ446" s="242"/>
      <c r="AR446" s="241"/>
      <c r="AS446" s="242"/>
      <c r="AT446" s="241"/>
      <c r="AU446" s="241"/>
      <c r="AV446" s="256"/>
      <c r="AW446" s="241"/>
      <c r="AX446" s="256"/>
      <c r="AY446" s="241"/>
      <c r="AZ446" s="256"/>
      <c r="BA446" s="239"/>
      <c r="BB446" s="242"/>
      <c r="BC446" s="239"/>
      <c r="BD446" s="242"/>
      <c r="BE446" s="239"/>
      <c r="BF446" s="241"/>
      <c r="BG446" s="239"/>
      <c r="BH446" s="241"/>
      <c r="BI446" s="260"/>
      <c r="BJ446" s="241"/>
      <c r="BK446" s="260"/>
      <c r="BL446" s="239"/>
      <c r="BM446" s="256"/>
      <c r="BN446" s="241"/>
      <c r="BO446" s="243"/>
      <c r="BP446" s="241"/>
      <c r="BQ446" s="239"/>
      <c r="BR446" s="276"/>
      <c r="BS446" s="256"/>
      <c r="BT446" s="260"/>
      <c r="BU446" s="261"/>
      <c r="BV446" s="260"/>
      <c r="BW446" s="239"/>
      <c r="BX446" s="260"/>
      <c r="BY446" s="260"/>
      <c r="BZ446" s="239"/>
      <c r="CA446" s="260"/>
      <c r="CB446" s="239"/>
      <c r="CC446" s="260"/>
      <c r="CD446" s="539"/>
      <c r="CE446" s="239"/>
      <c r="CF446" s="276"/>
      <c r="CG446" s="256"/>
      <c r="CH446" s="259"/>
      <c r="CI446" s="347"/>
      <c r="CJ446" s="540"/>
      <c r="CK446" s="256"/>
      <c r="CL446" s="244">
        <v>1</v>
      </c>
      <c r="CM446" s="274">
        <f t="shared" si="6"/>
        <v>2015</v>
      </c>
      <c r="CN446" s="244">
        <f>IF('Grille de saisie'!CM446&lt;18,0,IF('Grille de saisie'!CM446&lt;40,1,IF('Grille de saisie'!CM446&lt;65,2,IF('Grille de saisie'!CM446&lt;100,3,4))))</f>
        <v>4</v>
      </c>
      <c r="CO446" s="236">
        <f>IF(AND('Grille de saisie'!C446=1,'Grille de saisie'!BZ446=0),1,IF(AND('Grille de saisie'!C446="",'Grille de saisie'!BZ446=""),3,IF(AND('Grille de saisie'!C446=5),3,2)))</f>
        <v>3</v>
      </c>
      <c r="CP446" s="236">
        <f>IF(AND('Grille de saisie'!C446=1,'Grille de saisie'!BZ446=0),1,IF(AND('Grille de saisie'!C446=1,'Grille de saisie'!BZ446=1),2,IF(AND('Grille de saisie'!C446=2,'Grille de saisie'!BZ446=0),2,IF(AND('Grille de saisie'!C446=3,'Grille de saisie'!BZ446=0),3,IF(AND('Grille de saisie'!C446=2,'Grille de saisie'!BZ446=1),3,IF(AND('Grille de saisie'!C446=1,'Grille de saisie'!BZ446=2),3,IF(AND('Grille de saisie'!C446="",'Grille de saisie'!BZ446=""),5,IF(AND('Grille de saisie'!C446=5),5,4))))))))</f>
        <v>5</v>
      </c>
      <c r="CQ446" s="237">
        <f>IF('Grille de saisie'!BZ446="",3,IF('Grille de saisie'!C446=5,3,IF('Grille de saisie'!BZ446=0,1,2)))</f>
        <v>3</v>
      </c>
    </row>
    <row r="447" spans="1:95" ht="15">
      <c r="A447" s="511">
        <v>445</v>
      </c>
      <c r="B447" s="240"/>
      <c r="C447" s="513"/>
      <c r="D447" s="240"/>
      <c r="E447" s="517"/>
      <c r="F447" s="265"/>
      <c r="G447" s="513"/>
      <c r="H447" s="265"/>
      <c r="I447" s="520"/>
      <c r="J447" s="241"/>
      <c r="K447" s="520"/>
      <c r="L447" s="241"/>
      <c r="M447" s="521"/>
      <c r="N447" s="241"/>
      <c r="O447" s="521"/>
      <c r="P447" s="241"/>
      <c r="Q447" s="520"/>
      <c r="R447" s="241"/>
      <c r="S447" s="520"/>
      <c r="T447" s="241"/>
      <c r="U447" s="520"/>
      <c r="V447" s="241"/>
      <c r="W447" s="242"/>
      <c r="X447" s="241"/>
      <c r="Y447" s="242"/>
      <c r="Z447" s="241"/>
      <c r="AA447" s="241"/>
      <c r="AB447" s="275"/>
      <c r="AC447" s="524"/>
      <c r="AD447" s="241"/>
      <c r="AE447" s="241"/>
      <c r="AF447" s="241"/>
      <c r="AG447" s="241"/>
      <c r="AH447" s="241"/>
      <c r="AI447" s="241"/>
      <c r="AJ447" s="529"/>
      <c r="AK447" s="258"/>
      <c r="AL447" s="241"/>
      <c r="AM447" s="242"/>
      <c r="AN447" s="241"/>
      <c r="AO447" s="242"/>
      <c r="AP447" s="241"/>
      <c r="AQ447" s="242"/>
      <c r="AR447" s="241"/>
      <c r="AS447" s="242"/>
      <c r="AT447" s="241"/>
      <c r="AU447" s="241"/>
      <c r="AV447" s="256"/>
      <c r="AW447" s="241"/>
      <c r="AX447" s="256"/>
      <c r="AY447" s="241"/>
      <c r="AZ447" s="256"/>
      <c r="BA447" s="239"/>
      <c r="BB447" s="242"/>
      <c r="BC447" s="239"/>
      <c r="BD447" s="242"/>
      <c r="BE447" s="239"/>
      <c r="BF447" s="241"/>
      <c r="BG447" s="239"/>
      <c r="BH447" s="241"/>
      <c r="BI447" s="260"/>
      <c r="BJ447" s="241"/>
      <c r="BK447" s="260"/>
      <c r="BL447" s="239"/>
      <c r="BM447" s="256"/>
      <c r="BN447" s="241"/>
      <c r="BO447" s="243"/>
      <c r="BP447" s="241"/>
      <c r="BQ447" s="239"/>
      <c r="BR447" s="276"/>
      <c r="BS447" s="256"/>
      <c r="BT447" s="260"/>
      <c r="BU447" s="261"/>
      <c r="BV447" s="260"/>
      <c r="BW447" s="239"/>
      <c r="BX447" s="260"/>
      <c r="BY447" s="260"/>
      <c r="BZ447" s="239"/>
      <c r="CA447" s="260"/>
      <c r="CB447" s="239"/>
      <c r="CC447" s="260"/>
      <c r="CD447" s="539"/>
      <c r="CE447" s="239"/>
      <c r="CF447" s="276"/>
      <c r="CG447" s="256"/>
      <c r="CH447" s="259"/>
      <c r="CI447" s="347"/>
      <c r="CJ447" s="540"/>
      <c r="CK447" s="256"/>
      <c r="CL447" s="244">
        <v>1</v>
      </c>
      <c r="CM447" s="274">
        <f t="shared" si="6"/>
        <v>2015</v>
      </c>
      <c r="CN447" s="244">
        <f>IF('Grille de saisie'!CM447&lt;18,0,IF('Grille de saisie'!CM447&lt;40,1,IF('Grille de saisie'!CM447&lt;65,2,IF('Grille de saisie'!CM447&lt;100,3,4))))</f>
        <v>4</v>
      </c>
      <c r="CO447" s="236">
        <f>IF(AND('Grille de saisie'!C447=1,'Grille de saisie'!BZ447=0),1,IF(AND('Grille de saisie'!C447="",'Grille de saisie'!BZ447=""),3,IF(AND('Grille de saisie'!C447=5),3,2)))</f>
        <v>3</v>
      </c>
      <c r="CP447" s="236">
        <f>IF(AND('Grille de saisie'!C447=1,'Grille de saisie'!BZ447=0),1,IF(AND('Grille de saisie'!C447=1,'Grille de saisie'!BZ447=1),2,IF(AND('Grille de saisie'!C447=2,'Grille de saisie'!BZ447=0),2,IF(AND('Grille de saisie'!C447=3,'Grille de saisie'!BZ447=0),3,IF(AND('Grille de saisie'!C447=2,'Grille de saisie'!BZ447=1),3,IF(AND('Grille de saisie'!C447=1,'Grille de saisie'!BZ447=2),3,IF(AND('Grille de saisie'!C447="",'Grille de saisie'!BZ447=""),5,IF(AND('Grille de saisie'!C447=5),5,4))))))))</f>
        <v>5</v>
      </c>
      <c r="CQ447" s="237">
        <f>IF('Grille de saisie'!BZ447="",3,IF('Grille de saisie'!C447=5,3,IF('Grille de saisie'!BZ447=0,1,2)))</f>
        <v>3</v>
      </c>
    </row>
    <row r="448" spans="1:95" ht="15">
      <c r="A448" s="510">
        <v>446</v>
      </c>
      <c r="B448" s="240"/>
      <c r="C448" s="513"/>
      <c r="D448" s="240"/>
      <c r="E448" s="517"/>
      <c r="F448" s="265"/>
      <c r="G448" s="513"/>
      <c r="H448" s="265"/>
      <c r="I448" s="520"/>
      <c r="J448" s="241"/>
      <c r="K448" s="520"/>
      <c r="L448" s="241"/>
      <c r="M448" s="521"/>
      <c r="N448" s="241"/>
      <c r="O448" s="521"/>
      <c r="P448" s="241"/>
      <c r="Q448" s="520"/>
      <c r="R448" s="241"/>
      <c r="S448" s="520"/>
      <c r="T448" s="241"/>
      <c r="U448" s="520"/>
      <c r="V448" s="241"/>
      <c r="W448" s="242"/>
      <c r="X448" s="241"/>
      <c r="Y448" s="242"/>
      <c r="Z448" s="241"/>
      <c r="AA448" s="241"/>
      <c r="AB448" s="275"/>
      <c r="AC448" s="524"/>
      <c r="AD448" s="241"/>
      <c r="AE448" s="241"/>
      <c r="AF448" s="241"/>
      <c r="AG448" s="241"/>
      <c r="AH448" s="241"/>
      <c r="AI448" s="241"/>
      <c r="AJ448" s="529"/>
      <c r="AK448" s="258"/>
      <c r="AL448" s="241"/>
      <c r="AM448" s="242"/>
      <c r="AN448" s="241"/>
      <c r="AO448" s="242"/>
      <c r="AP448" s="241"/>
      <c r="AQ448" s="242"/>
      <c r="AR448" s="241"/>
      <c r="AS448" s="242"/>
      <c r="AT448" s="241"/>
      <c r="AU448" s="241"/>
      <c r="AV448" s="256"/>
      <c r="AW448" s="241"/>
      <c r="AX448" s="256"/>
      <c r="AY448" s="241"/>
      <c r="AZ448" s="256"/>
      <c r="BA448" s="239"/>
      <c r="BB448" s="242"/>
      <c r="BC448" s="239"/>
      <c r="BD448" s="242"/>
      <c r="BE448" s="239"/>
      <c r="BF448" s="241"/>
      <c r="BG448" s="239"/>
      <c r="BH448" s="241"/>
      <c r="BI448" s="260"/>
      <c r="BJ448" s="241"/>
      <c r="BK448" s="260"/>
      <c r="BL448" s="239"/>
      <c r="BM448" s="256"/>
      <c r="BN448" s="241"/>
      <c r="BO448" s="243"/>
      <c r="BP448" s="241"/>
      <c r="BQ448" s="239"/>
      <c r="BR448" s="276"/>
      <c r="BS448" s="256"/>
      <c r="BT448" s="260"/>
      <c r="BU448" s="261"/>
      <c r="BV448" s="260"/>
      <c r="BW448" s="239"/>
      <c r="BX448" s="260"/>
      <c r="BY448" s="260"/>
      <c r="BZ448" s="239"/>
      <c r="CA448" s="260"/>
      <c r="CB448" s="239"/>
      <c r="CC448" s="260"/>
      <c r="CD448" s="539"/>
      <c r="CE448" s="239"/>
      <c r="CF448" s="276"/>
      <c r="CG448" s="256"/>
      <c r="CH448" s="259"/>
      <c r="CI448" s="347"/>
      <c r="CJ448" s="540"/>
      <c r="CK448" s="256"/>
      <c r="CL448" s="244">
        <v>1</v>
      </c>
      <c r="CM448" s="274">
        <f t="shared" si="6"/>
        <v>2015</v>
      </c>
      <c r="CN448" s="244">
        <f>IF('Grille de saisie'!CM448&lt;18,0,IF('Grille de saisie'!CM448&lt;40,1,IF('Grille de saisie'!CM448&lt;65,2,IF('Grille de saisie'!CM448&lt;100,3,4))))</f>
        <v>4</v>
      </c>
      <c r="CO448" s="236">
        <f>IF(AND('Grille de saisie'!C448=1,'Grille de saisie'!BZ448=0),1,IF(AND('Grille de saisie'!C448="",'Grille de saisie'!BZ448=""),3,IF(AND('Grille de saisie'!C448=5),3,2)))</f>
        <v>3</v>
      </c>
      <c r="CP448" s="236">
        <f>IF(AND('Grille de saisie'!C448=1,'Grille de saisie'!BZ448=0),1,IF(AND('Grille de saisie'!C448=1,'Grille de saisie'!BZ448=1),2,IF(AND('Grille de saisie'!C448=2,'Grille de saisie'!BZ448=0),2,IF(AND('Grille de saisie'!C448=3,'Grille de saisie'!BZ448=0),3,IF(AND('Grille de saisie'!C448=2,'Grille de saisie'!BZ448=1),3,IF(AND('Grille de saisie'!C448=1,'Grille de saisie'!BZ448=2),3,IF(AND('Grille de saisie'!C448="",'Grille de saisie'!BZ448=""),5,IF(AND('Grille de saisie'!C448=5),5,4))))))))</f>
        <v>5</v>
      </c>
      <c r="CQ448" s="237">
        <f>IF('Grille de saisie'!BZ448="",3,IF('Grille de saisie'!C448=5,3,IF('Grille de saisie'!BZ448=0,1,2)))</f>
        <v>3</v>
      </c>
    </row>
    <row r="449" spans="1:95" ht="15">
      <c r="A449" s="510">
        <v>447</v>
      </c>
      <c r="B449" s="240"/>
      <c r="C449" s="513"/>
      <c r="D449" s="240"/>
      <c r="E449" s="517"/>
      <c r="F449" s="265"/>
      <c r="G449" s="513"/>
      <c r="H449" s="265"/>
      <c r="I449" s="520"/>
      <c r="J449" s="241"/>
      <c r="K449" s="520"/>
      <c r="L449" s="241"/>
      <c r="M449" s="521"/>
      <c r="N449" s="241"/>
      <c r="O449" s="521"/>
      <c r="P449" s="241"/>
      <c r="Q449" s="520"/>
      <c r="R449" s="241"/>
      <c r="S449" s="520"/>
      <c r="T449" s="241"/>
      <c r="U449" s="520"/>
      <c r="V449" s="241"/>
      <c r="W449" s="242"/>
      <c r="X449" s="241"/>
      <c r="Y449" s="242"/>
      <c r="Z449" s="241"/>
      <c r="AA449" s="241"/>
      <c r="AB449" s="275"/>
      <c r="AC449" s="524"/>
      <c r="AD449" s="241"/>
      <c r="AE449" s="241"/>
      <c r="AF449" s="241"/>
      <c r="AG449" s="241"/>
      <c r="AH449" s="241"/>
      <c r="AI449" s="241"/>
      <c r="AJ449" s="529"/>
      <c r="AK449" s="258"/>
      <c r="AL449" s="241"/>
      <c r="AM449" s="242"/>
      <c r="AN449" s="241"/>
      <c r="AO449" s="242"/>
      <c r="AP449" s="241"/>
      <c r="AQ449" s="242"/>
      <c r="AR449" s="241"/>
      <c r="AS449" s="242"/>
      <c r="AT449" s="241"/>
      <c r="AU449" s="241"/>
      <c r="AV449" s="256"/>
      <c r="AW449" s="241"/>
      <c r="AX449" s="256"/>
      <c r="AY449" s="241"/>
      <c r="AZ449" s="256"/>
      <c r="BA449" s="239"/>
      <c r="BB449" s="242"/>
      <c r="BC449" s="239"/>
      <c r="BD449" s="242"/>
      <c r="BE449" s="239"/>
      <c r="BF449" s="241"/>
      <c r="BG449" s="239"/>
      <c r="BH449" s="241"/>
      <c r="BI449" s="260"/>
      <c r="BJ449" s="241"/>
      <c r="BK449" s="260"/>
      <c r="BL449" s="239"/>
      <c r="BM449" s="256"/>
      <c r="BN449" s="241"/>
      <c r="BO449" s="243"/>
      <c r="BP449" s="241"/>
      <c r="BQ449" s="239"/>
      <c r="BR449" s="276"/>
      <c r="BS449" s="256"/>
      <c r="BT449" s="260"/>
      <c r="BU449" s="261"/>
      <c r="BV449" s="260"/>
      <c r="BW449" s="239"/>
      <c r="BX449" s="260"/>
      <c r="BY449" s="260"/>
      <c r="BZ449" s="239"/>
      <c r="CA449" s="260"/>
      <c r="CB449" s="239"/>
      <c r="CC449" s="260"/>
      <c r="CD449" s="539"/>
      <c r="CE449" s="239"/>
      <c r="CF449" s="276"/>
      <c r="CG449" s="256"/>
      <c r="CH449" s="259"/>
      <c r="CI449" s="347"/>
      <c r="CJ449" s="540"/>
      <c r="CK449" s="256"/>
      <c r="CL449" s="244">
        <v>1</v>
      </c>
      <c r="CM449" s="274">
        <f t="shared" si="6"/>
        <v>2015</v>
      </c>
      <c r="CN449" s="244">
        <f>IF('Grille de saisie'!CM449&lt;18,0,IF('Grille de saisie'!CM449&lt;40,1,IF('Grille de saisie'!CM449&lt;65,2,IF('Grille de saisie'!CM449&lt;100,3,4))))</f>
        <v>4</v>
      </c>
      <c r="CO449" s="236">
        <f>IF(AND('Grille de saisie'!C449=1,'Grille de saisie'!BZ449=0),1,IF(AND('Grille de saisie'!C449="",'Grille de saisie'!BZ449=""),3,IF(AND('Grille de saisie'!C449=5),3,2)))</f>
        <v>3</v>
      </c>
      <c r="CP449" s="236">
        <f>IF(AND('Grille de saisie'!C449=1,'Grille de saisie'!BZ449=0),1,IF(AND('Grille de saisie'!C449=1,'Grille de saisie'!BZ449=1),2,IF(AND('Grille de saisie'!C449=2,'Grille de saisie'!BZ449=0),2,IF(AND('Grille de saisie'!C449=3,'Grille de saisie'!BZ449=0),3,IF(AND('Grille de saisie'!C449=2,'Grille de saisie'!BZ449=1),3,IF(AND('Grille de saisie'!C449=1,'Grille de saisie'!BZ449=2),3,IF(AND('Grille de saisie'!C449="",'Grille de saisie'!BZ449=""),5,IF(AND('Grille de saisie'!C449=5),5,4))))))))</f>
        <v>5</v>
      </c>
      <c r="CQ449" s="237">
        <f>IF('Grille de saisie'!BZ449="",3,IF('Grille de saisie'!C449=5,3,IF('Grille de saisie'!BZ449=0,1,2)))</f>
        <v>3</v>
      </c>
    </row>
    <row r="450" spans="1:95" ht="15">
      <c r="A450" s="511">
        <v>448</v>
      </c>
      <c r="B450" s="240"/>
      <c r="C450" s="513"/>
      <c r="D450" s="240"/>
      <c r="E450" s="517"/>
      <c r="F450" s="265"/>
      <c r="G450" s="513"/>
      <c r="H450" s="265"/>
      <c r="I450" s="520"/>
      <c r="J450" s="241"/>
      <c r="K450" s="520"/>
      <c r="L450" s="241"/>
      <c r="M450" s="521"/>
      <c r="N450" s="241"/>
      <c r="O450" s="521"/>
      <c r="P450" s="241"/>
      <c r="Q450" s="520"/>
      <c r="R450" s="241"/>
      <c r="S450" s="520"/>
      <c r="T450" s="241"/>
      <c r="U450" s="520"/>
      <c r="V450" s="241"/>
      <c r="W450" s="242"/>
      <c r="X450" s="241"/>
      <c r="Y450" s="242"/>
      <c r="Z450" s="241"/>
      <c r="AA450" s="241"/>
      <c r="AB450" s="275"/>
      <c r="AC450" s="524"/>
      <c r="AD450" s="241"/>
      <c r="AE450" s="241"/>
      <c r="AF450" s="241"/>
      <c r="AG450" s="241"/>
      <c r="AH450" s="241"/>
      <c r="AI450" s="241"/>
      <c r="AJ450" s="529"/>
      <c r="AK450" s="258"/>
      <c r="AL450" s="241"/>
      <c r="AM450" s="242"/>
      <c r="AN450" s="241"/>
      <c r="AO450" s="242"/>
      <c r="AP450" s="241"/>
      <c r="AQ450" s="242"/>
      <c r="AR450" s="241"/>
      <c r="AS450" s="242"/>
      <c r="AT450" s="241"/>
      <c r="AU450" s="241"/>
      <c r="AV450" s="256"/>
      <c r="AW450" s="241"/>
      <c r="AX450" s="256"/>
      <c r="AY450" s="241"/>
      <c r="AZ450" s="256"/>
      <c r="BA450" s="239"/>
      <c r="BB450" s="242"/>
      <c r="BC450" s="239"/>
      <c r="BD450" s="242"/>
      <c r="BE450" s="239"/>
      <c r="BF450" s="241"/>
      <c r="BG450" s="239"/>
      <c r="BH450" s="241"/>
      <c r="BI450" s="260"/>
      <c r="BJ450" s="241"/>
      <c r="BK450" s="260"/>
      <c r="BL450" s="239"/>
      <c r="BM450" s="256"/>
      <c r="BN450" s="241"/>
      <c r="BO450" s="243"/>
      <c r="BP450" s="241"/>
      <c r="BQ450" s="239"/>
      <c r="BR450" s="276"/>
      <c r="BS450" s="256"/>
      <c r="BT450" s="260"/>
      <c r="BU450" s="261"/>
      <c r="BV450" s="260"/>
      <c r="BW450" s="239"/>
      <c r="BX450" s="260"/>
      <c r="BY450" s="260"/>
      <c r="BZ450" s="239"/>
      <c r="CA450" s="260"/>
      <c r="CB450" s="239"/>
      <c r="CC450" s="260"/>
      <c r="CD450" s="539"/>
      <c r="CE450" s="239"/>
      <c r="CF450" s="276"/>
      <c r="CG450" s="256"/>
      <c r="CH450" s="259"/>
      <c r="CI450" s="347"/>
      <c r="CJ450" s="540"/>
      <c r="CK450" s="256"/>
      <c r="CL450" s="244">
        <v>1</v>
      </c>
      <c r="CM450" s="274">
        <f t="shared" si="6"/>
        <v>2015</v>
      </c>
      <c r="CN450" s="244">
        <f>IF('Grille de saisie'!CM450&lt;18,0,IF('Grille de saisie'!CM450&lt;40,1,IF('Grille de saisie'!CM450&lt;65,2,IF('Grille de saisie'!CM450&lt;100,3,4))))</f>
        <v>4</v>
      </c>
      <c r="CO450" s="236">
        <f>IF(AND('Grille de saisie'!C450=1,'Grille de saisie'!BZ450=0),1,IF(AND('Grille de saisie'!C450="",'Grille de saisie'!BZ450=""),3,IF(AND('Grille de saisie'!C450=5),3,2)))</f>
        <v>3</v>
      </c>
      <c r="CP450" s="236">
        <f>IF(AND('Grille de saisie'!C450=1,'Grille de saisie'!BZ450=0),1,IF(AND('Grille de saisie'!C450=1,'Grille de saisie'!BZ450=1),2,IF(AND('Grille de saisie'!C450=2,'Grille de saisie'!BZ450=0),2,IF(AND('Grille de saisie'!C450=3,'Grille de saisie'!BZ450=0),3,IF(AND('Grille de saisie'!C450=2,'Grille de saisie'!BZ450=1),3,IF(AND('Grille de saisie'!C450=1,'Grille de saisie'!BZ450=2),3,IF(AND('Grille de saisie'!C450="",'Grille de saisie'!BZ450=""),5,IF(AND('Grille de saisie'!C450=5),5,4))))))))</f>
        <v>5</v>
      </c>
      <c r="CQ450" s="237">
        <f>IF('Grille de saisie'!BZ450="",3,IF('Grille de saisie'!C450=5,3,IF('Grille de saisie'!BZ450=0,1,2)))</f>
        <v>3</v>
      </c>
    </row>
    <row r="451" spans="1:95" ht="15">
      <c r="A451" s="510">
        <v>449</v>
      </c>
      <c r="B451" s="240"/>
      <c r="C451" s="513"/>
      <c r="D451" s="240"/>
      <c r="E451" s="517"/>
      <c r="F451" s="265"/>
      <c r="G451" s="513"/>
      <c r="H451" s="265"/>
      <c r="I451" s="520"/>
      <c r="J451" s="241"/>
      <c r="K451" s="520"/>
      <c r="L451" s="241"/>
      <c r="M451" s="521"/>
      <c r="N451" s="241"/>
      <c r="O451" s="521"/>
      <c r="P451" s="241"/>
      <c r="Q451" s="520"/>
      <c r="R451" s="241"/>
      <c r="S451" s="520"/>
      <c r="T451" s="241"/>
      <c r="U451" s="520"/>
      <c r="V451" s="241"/>
      <c r="W451" s="242"/>
      <c r="X451" s="241"/>
      <c r="Y451" s="242"/>
      <c r="Z451" s="241"/>
      <c r="AA451" s="241"/>
      <c r="AB451" s="275"/>
      <c r="AC451" s="524"/>
      <c r="AD451" s="241"/>
      <c r="AE451" s="241"/>
      <c r="AF451" s="241"/>
      <c r="AG451" s="241"/>
      <c r="AH451" s="241"/>
      <c r="AI451" s="241"/>
      <c r="AJ451" s="529"/>
      <c r="AK451" s="258"/>
      <c r="AL451" s="241"/>
      <c r="AM451" s="242"/>
      <c r="AN451" s="241"/>
      <c r="AO451" s="242"/>
      <c r="AP451" s="241"/>
      <c r="AQ451" s="242"/>
      <c r="AR451" s="241"/>
      <c r="AS451" s="242"/>
      <c r="AT451" s="241"/>
      <c r="AU451" s="241"/>
      <c r="AV451" s="256"/>
      <c r="AW451" s="241"/>
      <c r="AX451" s="256"/>
      <c r="AY451" s="241"/>
      <c r="AZ451" s="256"/>
      <c r="BA451" s="239"/>
      <c r="BB451" s="242"/>
      <c r="BC451" s="239"/>
      <c r="BD451" s="242"/>
      <c r="BE451" s="239"/>
      <c r="BF451" s="241"/>
      <c r="BG451" s="239"/>
      <c r="BH451" s="241"/>
      <c r="BI451" s="260"/>
      <c r="BJ451" s="241"/>
      <c r="BK451" s="260"/>
      <c r="BL451" s="239"/>
      <c r="BM451" s="256"/>
      <c r="BN451" s="241"/>
      <c r="BO451" s="243"/>
      <c r="BP451" s="241"/>
      <c r="BQ451" s="239"/>
      <c r="BR451" s="276"/>
      <c r="BS451" s="256"/>
      <c r="BT451" s="260"/>
      <c r="BU451" s="261"/>
      <c r="BV451" s="260"/>
      <c r="BW451" s="239"/>
      <c r="BX451" s="260"/>
      <c r="BY451" s="260"/>
      <c r="BZ451" s="239"/>
      <c r="CA451" s="260"/>
      <c r="CB451" s="239"/>
      <c r="CC451" s="260"/>
      <c r="CD451" s="539"/>
      <c r="CE451" s="239"/>
      <c r="CF451" s="276"/>
      <c r="CG451" s="256"/>
      <c r="CH451" s="259"/>
      <c r="CI451" s="347"/>
      <c r="CJ451" s="540"/>
      <c r="CK451" s="256"/>
      <c r="CL451" s="244">
        <v>1</v>
      </c>
      <c r="CM451" s="274">
        <f t="shared" si="6"/>
        <v>2015</v>
      </c>
      <c r="CN451" s="244">
        <f>IF('Grille de saisie'!CM451&lt;18,0,IF('Grille de saisie'!CM451&lt;40,1,IF('Grille de saisie'!CM451&lt;65,2,IF('Grille de saisie'!CM451&lt;100,3,4))))</f>
        <v>4</v>
      </c>
      <c r="CO451" s="236">
        <f>IF(AND('Grille de saisie'!C451=1,'Grille de saisie'!BZ451=0),1,IF(AND('Grille de saisie'!C451="",'Grille de saisie'!BZ451=""),3,IF(AND('Grille de saisie'!C451=5),3,2)))</f>
        <v>3</v>
      </c>
      <c r="CP451" s="236">
        <f>IF(AND('Grille de saisie'!C451=1,'Grille de saisie'!BZ451=0),1,IF(AND('Grille de saisie'!C451=1,'Grille de saisie'!BZ451=1),2,IF(AND('Grille de saisie'!C451=2,'Grille de saisie'!BZ451=0),2,IF(AND('Grille de saisie'!C451=3,'Grille de saisie'!BZ451=0),3,IF(AND('Grille de saisie'!C451=2,'Grille de saisie'!BZ451=1),3,IF(AND('Grille de saisie'!C451=1,'Grille de saisie'!BZ451=2),3,IF(AND('Grille de saisie'!C451="",'Grille de saisie'!BZ451=""),5,IF(AND('Grille de saisie'!C451=5),5,4))))))))</f>
        <v>5</v>
      </c>
      <c r="CQ451" s="237">
        <f>IF('Grille de saisie'!BZ451="",3,IF('Grille de saisie'!C451=5,3,IF('Grille de saisie'!BZ451=0,1,2)))</f>
        <v>3</v>
      </c>
    </row>
    <row r="452" spans="1:95" ht="15">
      <c r="A452" s="510">
        <v>450</v>
      </c>
      <c r="B452" s="240"/>
      <c r="C452" s="513"/>
      <c r="D452" s="240"/>
      <c r="E452" s="517"/>
      <c r="F452" s="265"/>
      <c r="G452" s="513"/>
      <c r="H452" s="265"/>
      <c r="I452" s="520"/>
      <c r="J452" s="241"/>
      <c r="K452" s="520"/>
      <c r="L452" s="241"/>
      <c r="M452" s="521"/>
      <c r="N452" s="241"/>
      <c r="O452" s="521"/>
      <c r="P452" s="241"/>
      <c r="Q452" s="520"/>
      <c r="R452" s="241"/>
      <c r="S452" s="520"/>
      <c r="T452" s="241"/>
      <c r="U452" s="520"/>
      <c r="V452" s="241"/>
      <c r="W452" s="242"/>
      <c r="X452" s="241"/>
      <c r="Y452" s="242"/>
      <c r="Z452" s="241"/>
      <c r="AA452" s="241"/>
      <c r="AB452" s="275"/>
      <c r="AC452" s="524"/>
      <c r="AD452" s="241"/>
      <c r="AE452" s="241"/>
      <c r="AF452" s="241"/>
      <c r="AG452" s="241"/>
      <c r="AH452" s="241"/>
      <c r="AI452" s="241"/>
      <c r="AJ452" s="529"/>
      <c r="AK452" s="258"/>
      <c r="AL452" s="241"/>
      <c r="AM452" s="242"/>
      <c r="AN452" s="241"/>
      <c r="AO452" s="242"/>
      <c r="AP452" s="241"/>
      <c r="AQ452" s="242"/>
      <c r="AR452" s="241"/>
      <c r="AS452" s="242"/>
      <c r="AT452" s="241"/>
      <c r="AU452" s="241"/>
      <c r="AV452" s="256"/>
      <c r="AW452" s="241"/>
      <c r="AX452" s="256"/>
      <c r="AY452" s="241"/>
      <c r="AZ452" s="256"/>
      <c r="BA452" s="239"/>
      <c r="BB452" s="242"/>
      <c r="BC452" s="239"/>
      <c r="BD452" s="242"/>
      <c r="BE452" s="239"/>
      <c r="BF452" s="241"/>
      <c r="BG452" s="239"/>
      <c r="BH452" s="241"/>
      <c r="BI452" s="260"/>
      <c r="BJ452" s="241"/>
      <c r="BK452" s="260"/>
      <c r="BL452" s="239"/>
      <c r="BM452" s="256"/>
      <c r="BN452" s="241"/>
      <c r="BO452" s="243"/>
      <c r="BP452" s="241"/>
      <c r="BQ452" s="239"/>
      <c r="BR452" s="276"/>
      <c r="BS452" s="256"/>
      <c r="BT452" s="260"/>
      <c r="BU452" s="261"/>
      <c r="BV452" s="260"/>
      <c r="BW452" s="239"/>
      <c r="BX452" s="260"/>
      <c r="BY452" s="260"/>
      <c r="BZ452" s="239"/>
      <c r="CA452" s="260"/>
      <c r="CB452" s="239"/>
      <c r="CC452" s="260"/>
      <c r="CD452" s="539"/>
      <c r="CE452" s="239"/>
      <c r="CF452" s="276"/>
      <c r="CG452" s="256"/>
      <c r="CH452" s="259"/>
      <c r="CI452" s="347"/>
      <c r="CJ452" s="540"/>
      <c r="CK452" s="256"/>
      <c r="CL452" s="244">
        <v>1</v>
      </c>
      <c r="CM452" s="274">
        <f t="shared" ref="CM452:CM515" si="7">$A$1-CB452</f>
        <v>2015</v>
      </c>
      <c r="CN452" s="244">
        <f>IF('Grille de saisie'!CM452&lt;18,0,IF('Grille de saisie'!CM452&lt;40,1,IF('Grille de saisie'!CM452&lt;65,2,IF('Grille de saisie'!CM452&lt;100,3,4))))</f>
        <v>4</v>
      </c>
      <c r="CO452" s="236">
        <f>IF(AND('Grille de saisie'!C452=1,'Grille de saisie'!BZ452=0),1,IF(AND('Grille de saisie'!C452="",'Grille de saisie'!BZ452=""),3,IF(AND('Grille de saisie'!C452=5),3,2)))</f>
        <v>3</v>
      </c>
      <c r="CP452" s="236">
        <f>IF(AND('Grille de saisie'!C452=1,'Grille de saisie'!BZ452=0),1,IF(AND('Grille de saisie'!C452=1,'Grille de saisie'!BZ452=1),2,IF(AND('Grille de saisie'!C452=2,'Grille de saisie'!BZ452=0),2,IF(AND('Grille de saisie'!C452=3,'Grille de saisie'!BZ452=0),3,IF(AND('Grille de saisie'!C452=2,'Grille de saisie'!BZ452=1),3,IF(AND('Grille de saisie'!C452=1,'Grille de saisie'!BZ452=2),3,IF(AND('Grille de saisie'!C452="",'Grille de saisie'!BZ452=""),5,IF(AND('Grille de saisie'!C452=5),5,4))))))))</f>
        <v>5</v>
      </c>
      <c r="CQ452" s="237">
        <f>IF('Grille de saisie'!BZ452="",3,IF('Grille de saisie'!C452=5,3,IF('Grille de saisie'!BZ452=0,1,2)))</f>
        <v>3</v>
      </c>
    </row>
    <row r="453" spans="1:95" ht="15">
      <c r="A453" s="511">
        <v>451</v>
      </c>
      <c r="B453" s="240"/>
      <c r="C453" s="513"/>
      <c r="D453" s="240"/>
      <c r="E453" s="517"/>
      <c r="F453" s="265"/>
      <c r="G453" s="513"/>
      <c r="H453" s="265"/>
      <c r="I453" s="520"/>
      <c r="J453" s="241"/>
      <c r="K453" s="520"/>
      <c r="L453" s="241"/>
      <c r="M453" s="521"/>
      <c r="N453" s="241"/>
      <c r="O453" s="521"/>
      <c r="P453" s="241"/>
      <c r="Q453" s="520"/>
      <c r="R453" s="241"/>
      <c r="S453" s="520"/>
      <c r="T453" s="241"/>
      <c r="U453" s="520"/>
      <c r="V453" s="241"/>
      <c r="W453" s="242"/>
      <c r="X453" s="241"/>
      <c r="Y453" s="242"/>
      <c r="Z453" s="241"/>
      <c r="AA453" s="241"/>
      <c r="AB453" s="275"/>
      <c r="AC453" s="524"/>
      <c r="AD453" s="241"/>
      <c r="AE453" s="241"/>
      <c r="AF453" s="241"/>
      <c r="AG453" s="241"/>
      <c r="AH453" s="241"/>
      <c r="AI453" s="241"/>
      <c r="AJ453" s="529"/>
      <c r="AK453" s="258"/>
      <c r="AL453" s="241"/>
      <c r="AM453" s="242"/>
      <c r="AN453" s="241"/>
      <c r="AO453" s="242"/>
      <c r="AP453" s="241"/>
      <c r="AQ453" s="242"/>
      <c r="AR453" s="241"/>
      <c r="AS453" s="242"/>
      <c r="AT453" s="241"/>
      <c r="AU453" s="241"/>
      <c r="AV453" s="256"/>
      <c r="AW453" s="241"/>
      <c r="AX453" s="256"/>
      <c r="AY453" s="241"/>
      <c r="AZ453" s="256"/>
      <c r="BA453" s="239"/>
      <c r="BB453" s="242"/>
      <c r="BC453" s="239"/>
      <c r="BD453" s="242"/>
      <c r="BE453" s="239"/>
      <c r="BF453" s="241"/>
      <c r="BG453" s="239"/>
      <c r="BH453" s="241"/>
      <c r="BI453" s="260"/>
      <c r="BJ453" s="241"/>
      <c r="BK453" s="260"/>
      <c r="BL453" s="239"/>
      <c r="BM453" s="256"/>
      <c r="BN453" s="241"/>
      <c r="BO453" s="243"/>
      <c r="BP453" s="241"/>
      <c r="BQ453" s="239"/>
      <c r="BR453" s="276"/>
      <c r="BS453" s="256"/>
      <c r="BT453" s="260"/>
      <c r="BU453" s="261"/>
      <c r="BV453" s="260"/>
      <c r="BW453" s="239"/>
      <c r="BX453" s="260"/>
      <c r="BY453" s="260"/>
      <c r="BZ453" s="239"/>
      <c r="CA453" s="260"/>
      <c r="CB453" s="239"/>
      <c r="CC453" s="260"/>
      <c r="CD453" s="539"/>
      <c r="CE453" s="239"/>
      <c r="CF453" s="276"/>
      <c r="CG453" s="256"/>
      <c r="CH453" s="259"/>
      <c r="CI453" s="347"/>
      <c r="CJ453" s="540"/>
      <c r="CK453" s="256"/>
      <c r="CL453" s="244">
        <v>1</v>
      </c>
      <c r="CM453" s="274">
        <f t="shared" si="7"/>
        <v>2015</v>
      </c>
      <c r="CN453" s="244">
        <f>IF('Grille de saisie'!CM453&lt;18,0,IF('Grille de saisie'!CM453&lt;40,1,IF('Grille de saisie'!CM453&lt;65,2,IF('Grille de saisie'!CM453&lt;100,3,4))))</f>
        <v>4</v>
      </c>
      <c r="CO453" s="236">
        <f>IF(AND('Grille de saisie'!C453=1,'Grille de saisie'!BZ453=0),1,IF(AND('Grille de saisie'!C453="",'Grille de saisie'!BZ453=""),3,IF(AND('Grille de saisie'!C453=5),3,2)))</f>
        <v>3</v>
      </c>
      <c r="CP453" s="236">
        <f>IF(AND('Grille de saisie'!C453=1,'Grille de saisie'!BZ453=0),1,IF(AND('Grille de saisie'!C453=1,'Grille de saisie'!BZ453=1),2,IF(AND('Grille de saisie'!C453=2,'Grille de saisie'!BZ453=0),2,IF(AND('Grille de saisie'!C453=3,'Grille de saisie'!BZ453=0),3,IF(AND('Grille de saisie'!C453=2,'Grille de saisie'!BZ453=1),3,IF(AND('Grille de saisie'!C453=1,'Grille de saisie'!BZ453=2),3,IF(AND('Grille de saisie'!C453="",'Grille de saisie'!BZ453=""),5,IF(AND('Grille de saisie'!C453=5),5,4))))))))</f>
        <v>5</v>
      </c>
      <c r="CQ453" s="237">
        <f>IF('Grille de saisie'!BZ453="",3,IF('Grille de saisie'!C453=5,3,IF('Grille de saisie'!BZ453=0,1,2)))</f>
        <v>3</v>
      </c>
    </row>
    <row r="454" spans="1:95" ht="15">
      <c r="A454" s="510">
        <v>452</v>
      </c>
      <c r="B454" s="240"/>
      <c r="C454" s="513"/>
      <c r="D454" s="240"/>
      <c r="E454" s="517"/>
      <c r="F454" s="265"/>
      <c r="G454" s="513"/>
      <c r="H454" s="265"/>
      <c r="I454" s="520"/>
      <c r="J454" s="241"/>
      <c r="K454" s="520"/>
      <c r="L454" s="241"/>
      <c r="M454" s="521"/>
      <c r="N454" s="241"/>
      <c r="O454" s="521"/>
      <c r="P454" s="241"/>
      <c r="Q454" s="520"/>
      <c r="R454" s="241"/>
      <c r="S454" s="520"/>
      <c r="T454" s="241"/>
      <c r="U454" s="520"/>
      <c r="V454" s="241"/>
      <c r="W454" s="242"/>
      <c r="X454" s="241"/>
      <c r="Y454" s="242"/>
      <c r="Z454" s="241"/>
      <c r="AA454" s="241"/>
      <c r="AB454" s="275"/>
      <c r="AC454" s="524"/>
      <c r="AD454" s="241"/>
      <c r="AE454" s="241"/>
      <c r="AF454" s="241"/>
      <c r="AG454" s="241"/>
      <c r="AH454" s="241"/>
      <c r="AI454" s="241"/>
      <c r="AJ454" s="529"/>
      <c r="AK454" s="258"/>
      <c r="AL454" s="241"/>
      <c r="AM454" s="242"/>
      <c r="AN454" s="241"/>
      <c r="AO454" s="242"/>
      <c r="AP454" s="241"/>
      <c r="AQ454" s="242"/>
      <c r="AR454" s="241"/>
      <c r="AS454" s="242"/>
      <c r="AT454" s="241"/>
      <c r="AU454" s="241"/>
      <c r="AV454" s="256"/>
      <c r="AW454" s="241"/>
      <c r="AX454" s="256"/>
      <c r="AY454" s="241"/>
      <c r="AZ454" s="256"/>
      <c r="BA454" s="239"/>
      <c r="BB454" s="242"/>
      <c r="BC454" s="239"/>
      <c r="BD454" s="242"/>
      <c r="BE454" s="239"/>
      <c r="BF454" s="241"/>
      <c r="BG454" s="239"/>
      <c r="BH454" s="241"/>
      <c r="BI454" s="260"/>
      <c r="BJ454" s="241"/>
      <c r="BK454" s="260"/>
      <c r="BL454" s="239"/>
      <c r="BM454" s="256"/>
      <c r="BN454" s="241"/>
      <c r="BO454" s="243"/>
      <c r="BP454" s="241"/>
      <c r="BQ454" s="239"/>
      <c r="BR454" s="276"/>
      <c r="BS454" s="256"/>
      <c r="BT454" s="260"/>
      <c r="BU454" s="261"/>
      <c r="BV454" s="260"/>
      <c r="BW454" s="239"/>
      <c r="BX454" s="260"/>
      <c r="BY454" s="260"/>
      <c r="BZ454" s="239"/>
      <c r="CA454" s="260"/>
      <c r="CB454" s="239"/>
      <c r="CC454" s="260"/>
      <c r="CD454" s="539"/>
      <c r="CE454" s="239"/>
      <c r="CF454" s="276"/>
      <c r="CG454" s="256"/>
      <c r="CH454" s="259"/>
      <c r="CI454" s="347"/>
      <c r="CJ454" s="540"/>
      <c r="CK454" s="256"/>
      <c r="CL454" s="244">
        <v>1</v>
      </c>
      <c r="CM454" s="274">
        <f t="shared" si="7"/>
        <v>2015</v>
      </c>
      <c r="CN454" s="244">
        <f>IF('Grille de saisie'!CM454&lt;18,0,IF('Grille de saisie'!CM454&lt;40,1,IF('Grille de saisie'!CM454&lt;65,2,IF('Grille de saisie'!CM454&lt;100,3,4))))</f>
        <v>4</v>
      </c>
      <c r="CO454" s="236">
        <f>IF(AND('Grille de saisie'!C454=1,'Grille de saisie'!BZ454=0),1,IF(AND('Grille de saisie'!C454="",'Grille de saisie'!BZ454=""),3,IF(AND('Grille de saisie'!C454=5),3,2)))</f>
        <v>3</v>
      </c>
      <c r="CP454" s="236">
        <f>IF(AND('Grille de saisie'!C454=1,'Grille de saisie'!BZ454=0),1,IF(AND('Grille de saisie'!C454=1,'Grille de saisie'!BZ454=1),2,IF(AND('Grille de saisie'!C454=2,'Grille de saisie'!BZ454=0),2,IF(AND('Grille de saisie'!C454=3,'Grille de saisie'!BZ454=0),3,IF(AND('Grille de saisie'!C454=2,'Grille de saisie'!BZ454=1),3,IF(AND('Grille de saisie'!C454=1,'Grille de saisie'!BZ454=2),3,IF(AND('Grille de saisie'!C454="",'Grille de saisie'!BZ454=""),5,IF(AND('Grille de saisie'!C454=5),5,4))))))))</f>
        <v>5</v>
      </c>
      <c r="CQ454" s="237">
        <f>IF('Grille de saisie'!BZ454="",3,IF('Grille de saisie'!C454=5,3,IF('Grille de saisie'!BZ454=0,1,2)))</f>
        <v>3</v>
      </c>
    </row>
    <row r="455" spans="1:95" ht="15">
      <c r="A455" s="510">
        <v>453</v>
      </c>
      <c r="B455" s="240"/>
      <c r="C455" s="513"/>
      <c r="D455" s="240"/>
      <c r="E455" s="517"/>
      <c r="F455" s="265"/>
      <c r="G455" s="513"/>
      <c r="H455" s="265"/>
      <c r="I455" s="520"/>
      <c r="J455" s="241"/>
      <c r="K455" s="520"/>
      <c r="L455" s="241"/>
      <c r="M455" s="521"/>
      <c r="N455" s="241"/>
      <c r="O455" s="521"/>
      <c r="P455" s="241"/>
      <c r="Q455" s="520"/>
      <c r="R455" s="241"/>
      <c r="S455" s="520"/>
      <c r="T455" s="241"/>
      <c r="U455" s="520"/>
      <c r="V455" s="241"/>
      <c r="W455" s="242"/>
      <c r="X455" s="241"/>
      <c r="Y455" s="242"/>
      <c r="Z455" s="241"/>
      <c r="AA455" s="241"/>
      <c r="AB455" s="275"/>
      <c r="AC455" s="524"/>
      <c r="AD455" s="241"/>
      <c r="AE455" s="241"/>
      <c r="AF455" s="241"/>
      <c r="AG455" s="241"/>
      <c r="AH455" s="241"/>
      <c r="AI455" s="241"/>
      <c r="AJ455" s="529"/>
      <c r="AK455" s="258"/>
      <c r="AL455" s="241"/>
      <c r="AM455" s="242"/>
      <c r="AN455" s="241"/>
      <c r="AO455" s="242"/>
      <c r="AP455" s="241"/>
      <c r="AQ455" s="242"/>
      <c r="AR455" s="241"/>
      <c r="AS455" s="242"/>
      <c r="AT455" s="241"/>
      <c r="AU455" s="241"/>
      <c r="AV455" s="256"/>
      <c r="AW455" s="241"/>
      <c r="AX455" s="256"/>
      <c r="AY455" s="241"/>
      <c r="AZ455" s="256"/>
      <c r="BA455" s="239"/>
      <c r="BB455" s="242"/>
      <c r="BC455" s="239"/>
      <c r="BD455" s="242"/>
      <c r="BE455" s="239"/>
      <c r="BF455" s="241"/>
      <c r="BG455" s="239"/>
      <c r="BH455" s="241"/>
      <c r="BI455" s="260"/>
      <c r="BJ455" s="241"/>
      <c r="BK455" s="260"/>
      <c r="BL455" s="239"/>
      <c r="BM455" s="256"/>
      <c r="BN455" s="241"/>
      <c r="BO455" s="243"/>
      <c r="BP455" s="241"/>
      <c r="BQ455" s="239"/>
      <c r="BR455" s="276"/>
      <c r="BS455" s="256"/>
      <c r="BT455" s="260"/>
      <c r="BU455" s="261"/>
      <c r="BV455" s="260"/>
      <c r="BW455" s="239"/>
      <c r="BX455" s="260"/>
      <c r="BY455" s="260"/>
      <c r="BZ455" s="239"/>
      <c r="CA455" s="260"/>
      <c r="CB455" s="239"/>
      <c r="CC455" s="260"/>
      <c r="CD455" s="539"/>
      <c r="CE455" s="239"/>
      <c r="CF455" s="276"/>
      <c r="CG455" s="256"/>
      <c r="CH455" s="259"/>
      <c r="CI455" s="347"/>
      <c r="CJ455" s="540"/>
      <c r="CK455" s="256"/>
      <c r="CL455" s="244">
        <v>1</v>
      </c>
      <c r="CM455" s="274">
        <f t="shared" si="7"/>
        <v>2015</v>
      </c>
      <c r="CN455" s="244">
        <f>IF('Grille de saisie'!CM455&lt;18,0,IF('Grille de saisie'!CM455&lt;40,1,IF('Grille de saisie'!CM455&lt;65,2,IF('Grille de saisie'!CM455&lt;100,3,4))))</f>
        <v>4</v>
      </c>
      <c r="CO455" s="236">
        <f>IF(AND('Grille de saisie'!C455=1,'Grille de saisie'!BZ455=0),1,IF(AND('Grille de saisie'!C455="",'Grille de saisie'!BZ455=""),3,IF(AND('Grille de saisie'!C455=5),3,2)))</f>
        <v>3</v>
      </c>
      <c r="CP455" s="236">
        <f>IF(AND('Grille de saisie'!C455=1,'Grille de saisie'!BZ455=0),1,IF(AND('Grille de saisie'!C455=1,'Grille de saisie'!BZ455=1),2,IF(AND('Grille de saisie'!C455=2,'Grille de saisie'!BZ455=0),2,IF(AND('Grille de saisie'!C455=3,'Grille de saisie'!BZ455=0),3,IF(AND('Grille de saisie'!C455=2,'Grille de saisie'!BZ455=1),3,IF(AND('Grille de saisie'!C455=1,'Grille de saisie'!BZ455=2),3,IF(AND('Grille de saisie'!C455="",'Grille de saisie'!BZ455=""),5,IF(AND('Grille de saisie'!C455=5),5,4))))))))</f>
        <v>5</v>
      </c>
      <c r="CQ455" s="237">
        <f>IF('Grille de saisie'!BZ455="",3,IF('Grille de saisie'!C455=5,3,IF('Grille de saisie'!BZ455=0,1,2)))</f>
        <v>3</v>
      </c>
    </row>
    <row r="456" spans="1:95" ht="15">
      <c r="A456" s="511">
        <v>454</v>
      </c>
      <c r="B456" s="240"/>
      <c r="C456" s="513"/>
      <c r="D456" s="240"/>
      <c r="E456" s="517"/>
      <c r="F456" s="265"/>
      <c r="G456" s="513"/>
      <c r="H456" s="265"/>
      <c r="I456" s="520"/>
      <c r="J456" s="241"/>
      <c r="K456" s="520"/>
      <c r="L456" s="241"/>
      <c r="M456" s="521"/>
      <c r="N456" s="241"/>
      <c r="O456" s="521"/>
      <c r="P456" s="241"/>
      <c r="Q456" s="520"/>
      <c r="R456" s="241"/>
      <c r="S456" s="520"/>
      <c r="T456" s="241"/>
      <c r="U456" s="520"/>
      <c r="V456" s="241"/>
      <c r="W456" s="242"/>
      <c r="X456" s="241"/>
      <c r="Y456" s="242"/>
      <c r="Z456" s="241"/>
      <c r="AA456" s="241"/>
      <c r="AB456" s="275"/>
      <c r="AC456" s="524"/>
      <c r="AD456" s="241"/>
      <c r="AE456" s="241"/>
      <c r="AF456" s="241"/>
      <c r="AG456" s="241"/>
      <c r="AH456" s="241"/>
      <c r="AI456" s="241"/>
      <c r="AJ456" s="529"/>
      <c r="AK456" s="258"/>
      <c r="AL456" s="241"/>
      <c r="AM456" s="242"/>
      <c r="AN456" s="241"/>
      <c r="AO456" s="242"/>
      <c r="AP456" s="241"/>
      <c r="AQ456" s="242"/>
      <c r="AR456" s="241"/>
      <c r="AS456" s="242"/>
      <c r="AT456" s="241"/>
      <c r="AU456" s="241"/>
      <c r="AV456" s="256"/>
      <c r="AW456" s="241"/>
      <c r="AX456" s="256"/>
      <c r="AY456" s="241"/>
      <c r="AZ456" s="256"/>
      <c r="BA456" s="239"/>
      <c r="BB456" s="242"/>
      <c r="BC456" s="239"/>
      <c r="BD456" s="242"/>
      <c r="BE456" s="239"/>
      <c r="BF456" s="241"/>
      <c r="BG456" s="239"/>
      <c r="BH456" s="241"/>
      <c r="BI456" s="260"/>
      <c r="BJ456" s="241"/>
      <c r="BK456" s="260"/>
      <c r="BL456" s="239"/>
      <c r="BM456" s="256"/>
      <c r="BN456" s="241"/>
      <c r="BO456" s="243"/>
      <c r="BP456" s="241"/>
      <c r="BQ456" s="239"/>
      <c r="BR456" s="276"/>
      <c r="BS456" s="256"/>
      <c r="BT456" s="260"/>
      <c r="BU456" s="261"/>
      <c r="BV456" s="260"/>
      <c r="BW456" s="239"/>
      <c r="BX456" s="260"/>
      <c r="BY456" s="260"/>
      <c r="BZ456" s="239"/>
      <c r="CA456" s="260"/>
      <c r="CB456" s="239"/>
      <c r="CC456" s="260"/>
      <c r="CD456" s="539"/>
      <c r="CE456" s="239"/>
      <c r="CF456" s="276"/>
      <c r="CG456" s="256"/>
      <c r="CH456" s="259"/>
      <c r="CI456" s="347"/>
      <c r="CJ456" s="540"/>
      <c r="CK456" s="256"/>
      <c r="CL456" s="244">
        <v>1</v>
      </c>
      <c r="CM456" s="274">
        <f t="shared" si="7"/>
        <v>2015</v>
      </c>
      <c r="CN456" s="244">
        <f>IF('Grille de saisie'!CM456&lt;18,0,IF('Grille de saisie'!CM456&lt;40,1,IF('Grille de saisie'!CM456&lt;65,2,IF('Grille de saisie'!CM456&lt;100,3,4))))</f>
        <v>4</v>
      </c>
      <c r="CO456" s="236">
        <f>IF(AND('Grille de saisie'!C456=1,'Grille de saisie'!BZ456=0),1,IF(AND('Grille de saisie'!C456="",'Grille de saisie'!BZ456=""),3,IF(AND('Grille de saisie'!C456=5),3,2)))</f>
        <v>3</v>
      </c>
      <c r="CP456" s="236">
        <f>IF(AND('Grille de saisie'!C456=1,'Grille de saisie'!BZ456=0),1,IF(AND('Grille de saisie'!C456=1,'Grille de saisie'!BZ456=1),2,IF(AND('Grille de saisie'!C456=2,'Grille de saisie'!BZ456=0),2,IF(AND('Grille de saisie'!C456=3,'Grille de saisie'!BZ456=0),3,IF(AND('Grille de saisie'!C456=2,'Grille de saisie'!BZ456=1),3,IF(AND('Grille de saisie'!C456=1,'Grille de saisie'!BZ456=2),3,IF(AND('Grille de saisie'!C456="",'Grille de saisie'!BZ456=""),5,IF(AND('Grille de saisie'!C456=5),5,4))))))))</f>
        <v>5</v>
      </c>
      <c r="CQ456" s="237">
        <f>IF('Grille de saisie'!BZ456="",3,IF('Grille de saisie'!C456=5,3,IF('Grille de saisie'!BZ456=0,1,2)))</f>
        <v>3</v>
      </c>
    </row>
    <row r="457" spans="1:95" ht="15">
      <c r="A457" s="510">
        <v>455</v>
      </c>
      <c r="B457" s="240"/>
      <c r="C457" s="513"/>
      <c r="D457" s="240"/>
      <c r="E457" s="517"/>
      <c r="F457" s="265"/>
      <c r="G457" s="513"/>
      <c r="H457" s="265"/>
      <c r="I457" s="520"/>
      <c r="J457" s="241"/>
      <c r="K457" s="520"/>
      <c r="L457" s="241"/>
      <c r="M457" s="521"/>
      <c r="N457" s="241"/>
      <c r="O457" s="521"/>
      <c r="P457" s="241"/>
      <c r="Q457" s="520"/>
      <c r="R457" s="241"/>
      <c r="S457" s="520"/>
      <c r="T457" s="241"/>
      <c r="U457" s="520"/>
      <c r="V457" s="241"/>
      <c r="W457" s="242"/>
      <c r="X457" s="241"/>
      <c r="Y457" s="242"/>
      <c r="Z457" s="241"/>
      <c r="AA457" s="241"/>
      <c r="AB457" s="275"/>
      <c r="AC457" s="524"/>
      <c r="AD457" s="241"/>
      <c r="AE457" s="241"/>
      <c r="AF457" s="241"/>
      <c r="AG457" s="241"/>
      <c r="AH457" s="241"/>
      <c r="AI457" s="241"/>
      <c r="AJ457" s="529"/>
      <c r="AK457" s="258"/>
      <c r="AL457" s="241"/>
      <c r="AM457" s="242"/>
      <c r="AN457" s="241"/>
      <c r="AO457" s="242"/>
      <c r="AP457" s="241"/>
      <c r="AQ457" s="242"/>
      <c r="AR457" s="241"/>
      <c r="AS457" s="242"/>
      <c r="AT457" s="241"/>
      <c r="AU457" s="241"/>
      <c r="AV457" s="256"/>
      <c r="AW457" s="241"/>
      <c r="AX457" s="256"/>
      <c r="AY457" s="241"/>
      <c r="AZ457" s="256"/>
      <c r="BA457" s="239"/>
      <c r="BB457" s="242"/>
      <c r="BC457" s="239"/>
      <c r="BD457" s="242"/>
      <c r="BE457" s="239"/>
      <c r="BF457" s="241"/>
      <c r="BG457" s="239"/>
      <c r="BH457" s="241"/>
      <c r="BI457" s="260"/>
      <c r="BJ457" s="241"/>
      <c r="BK457" s="260"/>
      <c r="BL457" s="239"/>
      <c r="BM457" s="256"/>
      <c r="BN457" s="241"/>
      <c r="BO457" s="243"/>
      <c r="BP457" s="241"/>
      <c r="BQ457" s="239"/>
      <c r="BR457" s="276"/>
      <c r="BS457" s="256"/>
      <c r="BT457" s="260"/>
      <c r="BU457" s="261"/>
      <c r="BV457" s="260"/>
      <c r="BW457" s="239"/>
      <c r="BX457" s="260"/>
      <c r="BY457" s="260"/>
      <c r="BZ457" s="239"/>
      <c r="CA457" s="260"/>
      <c r="CB457" s="239"/>
      <c r="CC457" s="260"/>
      <c r="CD457" s="539"/>
      <c r="CE457" s="239"/>
      <c r="CF457" s="276"/>
      <c r="CG457" s="256"/>
      <c r="CH457" s="259"/>
      <c r="CI457" s="347"/>
      <c r="CJ457" s="540"/>
      <c r="CK457" s="256"/>
      <c r="CL457" s="244">
        <v>1</v>
      </c>
      <c r="CM457" s="274">
        <f t="shared" si="7"/>
        <v>2015</v>
      </c>
      <c r="CN457" s="244">
        <f>IF('Grille de saisie'!CM457&lt;18,0,IF('Grille de saisie'!CM457&lt;40,1,IF('Grille de saisie'!CM457&lt;65,2,IF('Grille de saisie'!CM457&lt;100,3,4))))</f>
        <v>4</v>
      </c>
      <c r="CO457" s="236">
        <f>IF(AND('Grille de saisie'!C457=1,'Grille de saisie'!BZ457=0),1,IF(AND('Grille de saisie'!C457="",'Grille de saisie'!BZ457=""),3,IF(AND('Grille de saisie'!C457=5),3,2)))</f>
        <v>3</v>
      </c>
      <c r="CP457" s="236">
        <f>IF(AND('Grille de saisie'!C457=1,'Grille de saisie'!BZ457=0),1,IF(AND('Grille de saisie'!C457=1,'Grille de saisie'!BZ457=1),2,IF(AND('Grille de saisie'!C457=2,'Grille de saisie'!BZ457=0),2,IF(AND('Grille de saisie'!C457=3,'Grille de saisie'!BZ457=0),3,IF(AND('Grille de saisie'!C457=2,'Grille de saisie'!BZ457=1),3,IF(AND('Grille de saisie'!C457=1,'Grille de saisie'!BZ457=2),3,IF(AND('Grille de saisie'!C457="",'Grille de saisie'!BZ457=""),5,IF(AND('Grille de saisie'!C457=5),5,4))))))))</f>
        <v>5</v>
      </c>
      <c r="CQ457" s="237">
        <f>IF('Grille de saisie'!BZ457="",3,IF('Grille de saisie'!C457=5,3,IF('Grille de saisie'!BZ457=0,1,2)))</f>
        <v>3</v>
      </c>
    </row>
    <row r="458" spans="1:95" ht="15">
      <c r="A458" s="510">
        <v>456</v>
      </c>
      <c r="B458" s="240"/>
      <c r="C458" s="513"/>
      <c r="D458" s="240"/>
      <c r="E458" s="517"/>
      <c r="F458" s="265"/>
      <c r="G458" s="513"/>
      <c r="H458" s="265"/>
      <c r="I458" s="520"/>
      <c r="J458" s="241"/>
      <c r="K458" s="520"/>
      <c r="L458" s="241"/>
      <c r="M458" s="521"/>
      <c r="N458" s="241"/>
      <c r="O458" s="521"/>
      <c r="P458" s="241"/>
      <c r="Q458" s="520"/>
      <c r="R458" s="241"/>
      <c r="S458" s="520"/>
      <c r="T458" s="241"/>
      <c r="U458" s="520"/>
      <c r="V458" s="241"/>
      <c r="W458" s="242"/>
      <c r="X458" s="241"/>
      <c r="Y458" s="242"/>
      <c r="Z458" s="241"/>
      <c r="AA458" s="241"/>
      <c r="AB458" s="275"/>
      <c r="AC458" s="524"/>
      <c r="AD458" s="241"/>
      <c r="AE458" s="241"/>
      <c r="AF458" s="241"/>
      <c r="AG458" s="241"/>
      <c r="AH458" s="241"/>
      <c r="AI458" s="241"/>
      <c r="AJ458" s="529"/>
      <c r="AK458" s="258"/>
      <c r="AL458" s="241"/>
      <c r="AM458" s="242"/>
      <c r="AN458" s="241"/>
      <c r="AO458" s="242"/>
      <c r="AP458" s="241"/>
      <c r="AQ458" s="242"/>
      <c r="AR458" s="241"/>
      <c r="AS458" s="242"/>
      <c r="AT458" s="241"/>
      <c r="AU458" s="241"/>
      <c r="AV458" s="256"/>
      <c r="AW458" s="241"/>
      <c r="AX458" s="256"/>
      <c r="AY458" s="241"/>
      <c r="AZ458" s="256"/>
      <c r="BA458" s="239"/>
      <c r="BB458" s="242"/>
      <c r="BC458" s="239"/>
      <c r="BD458" s="242"/>
      <c r="BE458" s="239"/>
      <c r="BF458" s="241"/>
      <c r="BG458" s="239"/>
      <c r="BH458" s="241"/>
      <c r="BI458" s="260"/>
      <c r="BJ458" s="241"/>
      <c r="BK458" s="260"/>
      <c r="BL458" s="239"/>
      <c r="BM458" s="256"/>
      <c r="BN458" s="241"/>
      <c r="BO458" s="243"/>
      <c r="BP458" s="241"/>
      <c r="BQ458" s="239"/>
      <c r="BR458" s="276"/>
      <c r="BS458" s="256"/>
      <c r="BT458" s="260"/>
      <c r="BU458" s="261"/>
      <c r="BV458" s="260"/>
      <c r="BW458" s="239"/>
      <c r="BX458" s="260"/>
      <c r="BY458" s="260"/>
      <c r="BZ458" s="239"/>
      <c r="CA458" s="260"/>
      <c r="CB458" s="239"/>
      <c r="CC458" s="260"/>
      <c r="CD458" s="539"/>
      <c r="CE458" s="239"/>
      <c r="CF458" s="276"/>
      <c r="CG458" s="256"/>
      <c r="CH458" s="259"/>
      <c r="CI458" s="347"/>
      <c r="CJ458" s="540"/>
      <c r="CK458" s="256"/>
      <c r="CL458" s="244">
        <v>1</v>
      </c>
      <c r="CM458" s="274">
        <f t="shared" si="7"/>
        <v>2015</v>
      </c>
      <c r="CN458" s="244">
        <f>IF('Grille de saisie'!CM458&lt;18,0,IF('Grille de saisie'!CM458&lt;40,1,IF('Grille de saisie'!CM458&lt;65,2,IF('Grille de saisie'!CM458&lt;100,3,4))))</f>
        <v>4</v>
      </c>
      <c r="CO458" s="236">
        <f>IF(AND('Grille de saisie'!C458=1,'Grille de saisie'!BZ458=0),1,IF(AND('Grille de saisie'!C458="",'Grille de saisie'!BZ458=""),3,IF(AND('Grille de saisie'!C458=5),3,2)))</f>
        <v>3</v>
      </c>
      <c r="CP458" s="236">
        <f>IF(AND('Grille de saisie'!C458=1,'Grille de saisie'!BZ458=0),1,IF(AND('Grille de saisie'!C458=1,'Grille de saisie'!BZ458=1),2,IF(AND('Grille de saisie'!C458=2,'Grille de saisie'!BZ458=0),2,IF(AND('Grille de saisie'!C458=3,'Grille de saisie'!BZ458=0),3,IF(AND('Grille de saisie'!C458=2,'Grille de saisie'!BZ458=1),3,IF(AND('Grille de saisie'!C458=1,'Grille de saisie'!BZ458=2),3,IF(AND('Grille de saisie'!C458="",'Grille de saisie'!BZ458=""),5,IF(AND('Grille de saisie'!C458=5),5,4))))))))</f>
        <v>5</v>
      </c>
      <c r="CQ458" s="237">
        <f>IF('Grille de saisie'!BZ458="",3,IF('Grille de saisie'!C458=5,3,IF('Grille de saisie'!BZ458=0,1,2)))</f>
        <v>3</v>
      </c>
    </row>
    <row r="459" spans="1:95" ht="15">
      <c r="A459" s="511">
        <v>457</v>
      </c>
      <c r="B459" s="240"/>
      <c r="C459" s="513"/>
      <c r="D459" s="240"/>
      <c r="E459" s="517"/>
      <c r="F459" s="265"/>
      <c r="G459" s="513"/>
      <c r="H459" s="265"/>
      <c r="I459" s="520"/>
      <c r="J459" s="241"/>
      <c r="K459" s="520"/>
      <c r="L459" s="241"/>
      <c r="M459" s="521"/>
      <c r="N459" s="241"/>
      <c r="O459" s="521"/>
      <c r="P459" s="241"/>
      <c r="Q459" s="520"/>
      <c r="R459" s="241"/>
      <c r="S459" s="520"/>
      <c r="T459" s="241"/>
      <c r="U459" s="520"/>
      <c r="V459" s="241"/>
      <c r="W459" s="242"/>
      <c r="X459" s="241"/>
      <c r="Y459" s="242"/>
      <c r="Z459" s="241"/>
      <c r="AA459" s="241"/>
      <c r="AB459" s="275"/>
      <c r="AC459" s="524"/>
      <c r="AD459" s="241"/>
      <c r="AE459" s="241"/>
      <c r="AF459" s="241"/>
      <c r="AG459" s="241"/>
      <c r="AH459" s="241"/>
      <c r="AI459" s="241"/>
      <c r="AJ459" s="529"/>
      <c r="AK459" s="258"/>
      <c r="AL459" s="241"/>
      <c r="AM459" s="242"/>
      <c r="AN459" s="241"/>
      <c r="AO459" s="242"/>
      <c r="AP459" s="241"/>
      <c r="AQ459" s="242"/>
      <c r="AR459" s="241"/>
      <c r="AS459" s="242"/>
      <c r="AT459" s="241"/>
      <c r="AU459" s="241"/>
      <c r="AV459" s="256"/>
      <c r="AW459" s="241"/>
      <c r="AX459" s="256"/>
      <c r="AY459" s="241"/>
      <c r="AZ459" s="256"/>
      <c r="BA459" s="239"/>
      <c r="BB459" s="242"/>
      <c r="BC459" s="239"/>
      <c r="BD459" s="242"/>
      <c r="BE459" s="239"/>
      <c r="BF459" s="241"/>
      <c r="BG459" s="239"/>
      <c r="BH459" s="241"/>
      <c r="BI459" s="260"/>
      <c r="BJ459" s="241"/>
      <c r="BK459" s="260"/>
      <c r="BL459" s="239"/>
      <c r="BM459" s="256"/>
      <c r="BN459" s="241"/>
      <c r="BO459" s="243"/>
      <c r="BP459" s="241"/>
      <c r="BQ459" s="239"/>
      <c r="BR459" s="276"/>
      <c r="BS459" s="256"/>
      <c r="BT459" s="260"/>
      <c r="BU459" s="261"/>
      <c r="BV459" s="260"/>
      <c r="BW459" s="239"/>
      <c r="BX459" s="260"/>
      <c r="BY459" s="260"/>
      <c r="BZ459" s="239"/>
      <c r="CA459" s="260"/>
      <c r="CB459" s="239"/>
      <c r="CC459" s="260"/>
      <c r="CD459" s="539"/>
      <c r="CE459" s="239"/>
      <c r="CF459" s="276"/>
      <c r="CG459" s="256"/>
      <c r="CH459" s="259"/>
      <c r="CI459" s="347"/>
      <c r="CJ459" s="540"/>
      <c r="CK459" s="256"/>
      <c r="CL459" s="244">
        <v>1</v>
      </c>
      <c r="CM459" s="274">
        <f t="shared" si="7"/>
        <v>2015</v>
      </c>
      <c r="CN459" s="244">
        <f>IF('Grille de saisie'!CM459&lt;18,0,IF('Grille de saisie'!CM459&lt;40,1,IF('Grille de saisie'!CM459&lt;65,2,IF('Grille de saisie'!CM459&lt;100,3,4))))</f>
        <v>4</v>
      </c>
      <c r="CO459" s="236">
        <f>IF(AND('Grille de saisie'!C459=1,'Grille de saisie'!BZ459=0),1,IF(AND('Grille de saisie'!C459="",'Grille de saisie'!BZ459=""),3,IF(AND('Grille de saisie'!C459=5),3,2)))</f>
        <v>3</v>
      </c>
      <c r="CP459" s="236">
        <f>IF(AND('Grille de saisie'!C459=1,'Grille de saisie'!BZ459=0),1,IF(AND('Grille de saisie'!C459=1,'Grille de saisie'!BZ459=1),2,IF(AND('Grille de saisie'!C459=2,'Grille de saisie'!BZ459=0),2,IF(AND('Grille de saisie'!C459=3,'Grille de saisie'!BZ459=0),3,IF(AND('Grille de saisie'!C459=2,'Grille de saisie'!BZ459=1),3,IF(AND('Grille de saisie'!C459=1,'Grille de saisie'!BZ459=2),3,IF(AND('Grille de saisie'!C459="",'Grille de saisie'!BZ459=""),5,IF(AND('Grille de saisie'!C459=5),5,4))))))))</f>
        <v>5</v>
      </c>
      <c r="CQ459" s="237">
        <f>IF('Grille de saisie'!BZ459="",3,IF('Grille de saisie'!C459=5,3,IF('Grille de saisie'!BZ459=0,1,2)))</f>
        <v>3</v>
      </c>
    </row>
    <row r="460" spans="1:95" ht="15">
      <c r="A460" s="510">
        <v>458</v>
      </c>
      <c r="B460" s="240"/>
      <c r="C460" s="513"/>
      <c r="D460" s="240"/>
      <c r="E460" s="517"/>
      <c r="F460" s="265"/>
      <c r="G460" s="513"/>
      <c r="H460" s="265"/>
      <c r="I460" s="520"/>
      <c r="J460" s="241"/>
      <c r="K460" s="520"/>
      <c r="L460" s="241"/>
      <c r="M460" s="521"/>
      <c r="N460" s="241"/>
      <c r="O460" s="521"/>
      <c r="P460" s="241"/>
      <c r="Q460" s="520"/>
      <c r="R460" s="241"/>
      <c r="S460" s="520"/>
      <c r="T460" s="241"/>
      <c r="U460" s="520"/>
      <c r="V460" s="241"/>
      <c r="W460" s="242"/>
      <c r="X460" s="241"/>
      <c r="Y460" s="242"/>
      <c r="Z460" s="241"/>
      <c r="AA460" s="241"/>
      <c r="AB460" s="275"/>
      <c r="AC460" s="524"/>
      <c r="AD460" s="241"/>
      <c r="AE460" s="241"/>
      <c r="AF460" s="241"/>
      <c r="AG460" s="241"/>
      <c r="AH460" s="241"/>
      <c r="AI460" s="241"/>
      <c r="AJ460" s="529"/>
      <c r="AK460" s="258"/>
      <c r="AL460" s="241"/>
      <c r="AM460" s="242"/>
      <c r="AN460" s="241"/>
      <c r="AO460" s="242"/>
      <c r="AP460" s="241"/>
      <c r="AQ460" s="242"/>
      <c r="AR460" s="241"/>
      <c r="AS460" s="242"/>
      <c r="AT460" s="241"/>
      <c r="AU460" s="241"/>
      <c r="AV460" s="256"/>
      <c r="AW460" s="241"/>
      <c r="AX460" s="256"/>
      <c r="AY460" s="241"/>
      <c r="AZ460" s="256"/>
      <c r="BA460" s="239"/>
      <c r="BB460" s="242"/>
      <c r="BC460" s="239"/>
      <c r="BD460" s="242"/>
      <c r="BE460" s="239"/>
      <c r="BF460" s="241"/>
      <c r="BG460" s="239"/>
      <c r="BH460" s="241"/>
      <c r="BI460" s="260"/>
      <c r="BJ460" s="241"/>
      <c r="BK460" s="260"/>
      <c r="BL460" s="239"/>
      <c r="BM460" s="256"/>
      <c r="BN460" s="241"/>
      <c r="BO460" s="243"/>
      <c r="BP460" s="241"/>
      <c r="BQ460" s="239"/>
      <c r="BR460" s="276"/>
      <c r="BS460" s="256"/>
      <c r="BT460" s="260"/>
      <c r="BU460" s="261"/>
      <c r="BV460" s="260"/>
      <c r="BW460" s="239"/>
      <c r="BX460" s="260"/>
      <c r="BY460" s="260"/>
      <c r="BZ460" s="239"/>
      <c r="CA460" s="260"/>
      <c r="CB460" s="239"/>
      <c r="CC460" s="260"/>
      <c r="CD460" s="539"/>
      <c r="CE460" s="239"/>
      <c r="CF460" s="276"/>
      <c r="CG460" s="256"/>
      <c r="CH460" s="259"/>
      <c r="CI460" s="347"/>
      <c r="CJ460" s="540"/>
      <c r="CK460" s="256"/>
      <c r="CL460" s="244">
        <v>1</v>
      </c>
      <c r="CM460" s="274">
        <f t="shared" si="7"/>
        <v>2015</v>
      </c>
      <c r="CN460" s="244">
        <f>IF('Grille de saisie'!CM460&lt;18,0,IF('Grille de saisie'!CM460&lt;40,1,IF('Grille de saisie'!CM460&lt;65,2,IF('Grille de saisie'!CM460&lt;100,3,4))))</f>
        <v>4</v>
      </c>
      <c r="CO460" s="236">
        <f>IF(AND('Grille de saisie'!C460=1,'Grille de saisie'!BZ460=0),1,IF(AND('Grille de saisie'!C460="",'Grille de saisie'!BZ460=""),3,IF(AND('Grille de saisie'!C460=5),3,2)))</f>
        <v>3</v>
      </c>
      <c r="CP460" s="236">
        <f>IF(AND('Grille de saisie'!C460=1,'Grille de saisie'!BZ460=0),1,IF(AND('Grille de saisie'!C460=1,'Grille de saisie'!BZ460=1),2,IF(AND('Grille de saisie'!C460=2,'Grille de saisie'!BZ460=0),2,IF(AND('Grille de saisie'!C460=3,'Grille de saisie'!BZ460=0),3,IF(AND('Grille de saisie'!C460=2,'Grille de saisie'!BZ460=1),3,IF(AND('Grille de saisie'!C460=1,'Grille de saisie'!BZ460=2),3,IF(AND('Grille de saisie'!C460="",'Grille de saisie'!BZ460=""),5,IF(AND('Grille de saisie'!C460=5),5,4))))))))</f>
        <v>5</v>
      </c>
      <c r="CQ460" s="237">
        <f>IF('Grille de saisie'!BZ460="",3,IF('Grille de saisie'!C460=5,3,IF('Grille de saisie'!BZ460=0,1,2)))</f>
        <v>3</v>
      </c>
    </row>
    <row r="461" spans="1:95" ht="15">
      <c r="A461" s="510">
        <v>459</v>
      </c>
      <c r="B461" s="240"/>
      <c r="C461" s="513"/>
      <c r="D461" s="240"/>
      <c r="E461" s="517"/>
      <c r="F461" s="265"/>
      <c r="G461" s="513"/>
      <c r="H461" s="265"/>
      <c r="I461" s="520"/>
      <c r="J461" s="241"/>
      <c r="K461" s="520"/>
      <c r="L461" s="241"/>
      <c r="M461" s="521"/>
      <c r="N461" s="241"/>
      <c r="O461" s="521"/>
      <c r="P461" s="241"/>
      <c r="Q461" s="520"/>
      <c r="R461" s="241"/>
      <c r="S461" s="520"/>
      <c r="T461" s="241"/>
      <c r="U461" s="520"/>
      <c r="V461" s="241"/>
      <c r="W461" s="242"/>
      <c r="X461" s="241"/>
      <c r="Y461" s="242"/>
      <c r="Z461" s="241"/>
      <c r="AA461" s="241"/>
      <c r="AB461" s="275"/>
      <c r="AC461" s="524"/>
      <c r="AD461" s="241"/>
      <c r="AE461" s="241"/>
      <c r="AF461" s="241"/>
      <c r="AG461" s="241"/>
      <c r="AH461" s="241"/>
      <c r="AI461" s="241"/>
      <c r="AJ461" s="529"/>
      <c r="AK461" s="258"/>
      <c r="AL461" s="241"/>
      <c r="AM461" s="242"/>
      <c r="AN461" s="241"/>
      <c r="AO461" s="242"/>
      <c r="AP461" s="241"/>
      <c r="AQ461" s="242"/>
      <c r="AR461" s="241"/>
      <c r="AS461" s="242"/>
      <c r="AT461" s="241"/>
      <c r="AU461" s="241"/>
      <c r="AV461" s="256"/>
      <c r="AW461" s="241"/>
      <c r="AX461" s="256"/>
      <c r="AY461" s="241"/>
      <c r="AZ461" s="256"/>
      <c r="BA461" s="239"/>
      <c r="BB461" s="242"/>
      <c r="BC461" s="239"/>
      <c r="BD461" s="242"/>
      <c r="BE461" s="239"/>
      <c r="BF461" s="241"/>
      <c r="BG461" s="239"/>
      <c r="BH461" s="241"/>
      <c r="BI461" s="260"/>
      <c r="BJ461" s="241"/>
      <c r="BK461" s="260"/>
      <c r="BL461" s="239"/>
      <c r="BM461" s="256"/>
      <c r="BN461" s="241"/>
      <c r="BO461" s="243"/>
      <c r="BP461" s="241"/>
      <c r="BQ461" s="239"/>
      <c r="BR461" s="276"/>
      <c r="BS461" s="256"/>
      <c r="BT461" s="260"/>
      <c r="BU461" s="261"/>
      <c r="BV461" s="260"/>
      <c r="BW461" s="239"/>
      <c r="BX461" s="260"/>
      <c r="BY461" s="260"/>
      <c r="BZ461" s="239"/>
      <c r="CA461" s="260"/>
      <c r="CB461" s="239"/>
      <c r="CC461" s="260"/>
      <c r="CD461" s="539"/>
      <c r="CE461" s="239"/>
      <c r="CF461" s="276"/>
      <c r="CG461" s="256"/>
      <c r="CH461" s="259"/>
      <c r="CI461" s="347"/>
      <c r="CJ461" s="540"/>
      <c r="CK461" s="256"/>
      <c r="CL461" s="244">
        <v>1</v>
      </c>
      <c r="CM461" s="274">
        <f t="shared" si="7"/>
        <v>2015</v>
      </c>
      <c r="CN461" s="244">
        <f>IF('Grille de saisie'!CM461&lt;18,0,IF('Grille de saisie'!CM461&lt;40,1,IF('Grille de saisie'!CM461&lt;65,2,IF('Grille de saisie'!CM461&lt;100,3,4))))</f>
        <v>4</v>
      </c>
      <c r="CO461" s="236">
        <f>IF(AND('Grille de saisie'!C461=1,'Grille de saisie'!BZ461=0),1,IF(AND('Grille de saisie'!C461="",'Grille de saisie'!BZ461=""),3,IF(AND('Grille de saisie'!C461=5),3,2)))</f>
        <v>3</v>
      </c>
      <c r="CP461" s="236">
        <f>IF(AND('Grille de saisie'!C461=1,'Grille de saisie'!BZ461=0),1,IF(AND('Grille de saisie'!C461=1,'Grille de saisie'!BZ461=1),2,IF(AND('Grille de saisie'!C461=2,'Grille de saisie'!BZ461=0),2,IF(AND('Grille de saisie'!C461=3,'Grille de saisie'!BZ461=0),3,IF(AND('Grille de saisie'!C461=2,'Grille de saisie'!BZ461=1),3,IF(AND('Grille de saisie'!C461=1,'Grille de saisie'!BZ461=2),3,IF(AND('Grille de saisie'!C461="",'Grille de saisie'!BZ461=""),5,IF(AND('Grille de saisie'!C461=5),5,4))))))))</f>
        <v>5</v>
      </c>
      <c r="CQ461" s="237">
        <f>IF('Grille de saisie'!BZ461="",3,IF('Grille de saisie'!C461=5,3,IF('Grille de saisie'!BZ461=0,1,2)))</f>
        <v>3</v>
      </c>
    </row>
    <row r="462" spans="1:95" ht="15">
      <c r="A462" s="511">
        <v>460</v>
      </c>
      <c r="B462" s="240"/>
      <c r="C462" s="513"/>
      <c r="D462" s="240"/>
      <c r="E462" s="517"/>
      <c r="F462" s="265"/>
      <c r="G462" s="513"/>
      <c r="H462" s="265"/>
      <c r="I462" s="520"/>
      <c r="J462" s="241"/>
      <c r="K462" s="520"/>
      <c r="L462" s="241"/>
      <c r="M462" s="521"/>
      <c r="N462" s="241"/>
      <c r="O462" s="521"/>
      <c r="P462" s="241"/>
      <c r="Q462" s="520"/>
      <c r="R462" s="241"/>
      <c r="S462" s="520"/>
      <c r="T462" s="241"/>
      <c r="U462" s="520"/>
      <c r="V462" s="241"/>
      <c r="W462" s="242"/>
      <c r="X462" s="241"/>
      <c r="Y462" s="242"/>
      <c r="Z462" s="241"/>
      <c r="AA462" s="241"/>
      <c r="AB462" s="275"/>
      <c r="AC462" s="524"/>
      <c r="AD462" s="241"/>
      <c r="AE462" s="241"/>
      <c r="AF462" s="241"/>
      <c r="AG462" s="241"/>
      <c r="AH462" s="241"/>
      <c r="AI462" s="241"/>
      <c r="AJ462" s="529"/>
      <c r="AK462" s="258"/>
      <c r="AL462" s="241"/>
      <c r="AM462" s="242"/>
      <c r="AN462" s="241"/>
      <c r="AO462" s="242"/>
      <c r="AP462" s="241"/>
      <c r="AQ462" s="242"/>
      <c r="AR462" s="241"/>
      <c r="AS462" s="242"/>
      <c r="AT462" s="241"/>
      <c r="AU462" s="241"/>
      <c r="AV462" s="256"/>
      <c r="AW462" s="241"/>
      <c r="AX462" s="256"/>
      <c r="AY462" s="241"/>
      <c r="AZ462" s="256"/>
      <c r="BA462" s="239"/>
      <c r="BB462" s="242"/>
      <c r="BC462" s="239"/>
      <c r="BD462" s="242"/>
      <c r="BE462" s="239"/>
      <c r="BF462" s="241"/>
      <c r="BG462" s="239"/>
      <c r="BH462" s="241"/>
      <c r="BI462" s="260"/>
      <c r="BJ462" s="241"/>
      <c r="BK462" s="260"/>
      <c r="BL462" s="239"/>
      <c r="BM462" s="256"/>
      <c r="BN462" s="241"/>
      <c r="BO462" s="243"/>
      <c r="BP462" s="241"/>
      <c r="BQ462" s="239"/>
      <c r="BR462" s="276"/>
      <c r="BS462" s="256"/>
      <c r="BT462" s="260"/>
      <c r="BU462" s="261"/>
      <c r="BV462" s="260"/>
      <c r="BW462" s="239"/>
      <c r="BX462" s="260"/>
      <c r="BY462" s="260"/>
      <c r="BZ462" s="239"/>
      <c r="CA462" s="260"/>
      <c r="CB462" s="239"/>
      <c r="CC462" s="260"/>
      <c r="CD462" s="539"/>
      <c r="CE462" s="239"/>
      <c r="CF462" s="276"/>
      <c r="CG462" s="256"/>
      <c r="CH462" s="259"/>
      <c r="CI462" s="347"/>
      <c r="CJ462" s="540"/>
      <c r="CK462" s="256"/>
      <c r="CL462" s="244">
        <v>1</v>
      </c>
      <c r="CM462" s="274">
        <f t="shared" si="7"/>
        <v>2015</v>
      </c>
      <c r="CN462" s="244">
        <f>IF('Grille de saisie'!CM462&lt;18,0,IF('Grille de saisie'!CM462&lt;40,1,IF('Grille de saisie'!CM462&lt;65,2,IF('Grille de saisie'!CM462&lt;100,3,4))))</f>
        <v>4</v>
      </c>
      <c r="CO462" s="236">
        <f>IF(AND('Grille de saisie'!C462=1,'Grille de saisie'!BZ462=0),1,IF(AND('Grille de saisie'!C462="",'Grille de saisie'!BZ462=""),3,IF(AND('Grille de saisie'!C462=5),3,2)))</f>
        <v>3</v>
      </c>
      <c r="CP462" s="236">
        <f>IF(AND('Grille de saisie'!C462=1,'Grille de saisie'!BZ462=0),1,IF(AND('Grille de saisie'!C462=1,'Grille de saisie'!BZ462=1),2,IF(AND('Grille de saisie'!C462=2,'Grille de saisie'!BZ462=0),2,IF(AND('Grille de saisie'!C462=3,'Grille de saisie'!BZ462=0),3,IF(AND('Grille de saisie'!C462=2,'Grille de saisie'!BZ462=1),3,IF(AND('Grille de saisie'!C462=1,'Grille de saisie'!BZ462=2),3,IF(AND('Grille de saisie'!C462="",'Grille de saisie'!BZ462=""),5,IF(AND('Grille de saisie'!C462=5),5,4))))))))</f>
        <v>5</v>
      </c>
      <c r="CQ462" s="237">
        <f>IF('Grille de saisie'!BZ462="",3,IF('Grille de saisie'!C462=5,3,IF('Grille de saisie'!BZ462=0,1,2)))</f>
        <v>3</v>
      </c>
    </row>
    <row r="463" spans="1:95" ht="15">
      <c r="A463" s="510">
        <v>461</v>
      </c>
      <c r="B463" s="240"/>
      <c r="C463" s="513"/>
      <c r="D463" s="240"/>
      <c r="E463" s="517"/>
      <c r="F463" s="265"/>
      <c r="G463" s="513"/>
      <c r="H463" s="265"/>
      <c r="I463" s="520"/>
      <c r="J463" s="241"/>
      <c r="K463" s="520"/>
      <c r="L463" s="241"/>
      <c r="M463" s="521"/>
      <c r="N463" s="241"/>
      <c r="O463" s="521"/>
      <c r="P463" s="241"/>
      <c r="Q463" s="520"/>
      <c r="R463" s="241"/>
      <c r="S463" s="520"/>
      <c r="T463" s="241"/>
      <c r="U463" s="520"/>
      <c r="V463" s="241"/>
      <c r="W463" s="242"/>
      <c r="X463" s="241"/>
      <c r="Y463" s="242"/>
      <c r="Z463" s="241"/>
      <c r="AA463" s="241"/>
      <c r="AB463" s="275"/>
      <c r="AC463" s="524"/>
      <c r="AD463" s="241"/>
      <c r="AE463" s="241"/>
      <c r="AF463" s="241"/>
      <c r="AG463" s="241"/>
      <c r="AH463" s="241"/>
      <c r="AI463" s="241"/>
      <c r="AJ463" s="529"/>
      <c r="AK463" s="258"/>
      <c r="AL463" s="241"/>
      <c r="AM463" s="242"/>
      <c r="AN463" s="241"/>
      <c r="AO463" s="242"/>
      <c r="AP463" s="241"/>
      <c r="AQ463" s="242"/>
      <c r="AR463" s="241"/>
      <c r="AS463" s="242"/>
      <c r="AT463" s="241"/>
      <c r="AU463" s="241"/>
      <c r="AV463" s="256"/>
      <c r="AW463" s="241"/>
      <c r="AX463" s="256"/>
      <c r="AY463" s="241"/>
      <c r="AZ463" s="256"/>
      <c r="BA463" s="239"/>
      <c r="BB463" s="242"/>
      <c r="BC463" s="239"/>
      <c r="BD463" s="242"/>
      <c r="BE463" s="239"/>
      <c r="BF463" s="241"/>
      <c r="BG463" s="239"/>
      <c r="BH463" s="241"/>
      <c r="BI463" s="260"/>
      <c r="BJ463" s="241"/>
      <c r="BK463" s="260"/>
      <c r="BL463" s="239"/>
      <c r="BM463" s="256"/>
      <c r="BN463" s="241"/>
      <c r="BO463" s="243"/>
      <c r="BP463" s="241"/>
      <c r="BQ463" s="239"/>
      <c r="BR463" s="276"/>
      <c r="BS463" s="256"/>
      <c r="BT463" s="260"/>
      <c r="BU463" s="261"/>
      <c r="BV463" s="260"/>
      <c r="BW463" s="239"/>
      <c r="BX463" s="260"/>
      <c r="BY463" s="260"/>
      <c r="BZ463" s="239"/>
      <c r="CA463" s="260"/>
      <c r="CB463" s="239"/>
      <c r="CC463" s="260"/>
      <c r="CD463" s="539"/>
      <c r="CE463" s="239"/>
      <c r="CF463" s="276"/>
      <c r="CG463" s="256"/>
      <c r="CH463" s="259"/>
      <c r="CI463" s="347"/>
      <c r="CJ463" s="540"/>
      <c r="CK463" s="256"/>
      <c r="CL463" s="244">
        <v>1</v>
      </c>
      <c r="CM463" s="274">
        <f t="shared" si="7"/>
        <v>2015</v>
      </c>
      <c r="CN463" s="244">
        <f>IF('Grille de saisie'!CM463&lt;18,0,IF('Grille de saisie'!CM463&lt;40,1,IF('Grille de saisie'!CM463&lt;65,2,IF('Grille de saisie'!CM463&lt;100,3,4))))</f>
        <v>4</v>
      </c>
      <c r="CO463" s="236">
        <f>IF(AND('Grille de saisie'!C463=1,'Grille de saisie'!BZ463=0),1,IF(AND('Grille de saisie'!C463="",'Grille de saisie'!BZ463=""),3,IF(AND('Grille de saisie'!C463=5),3,2)))</f>
        <v>3</v>
      </c>
      <c r="CP463" s="236">
        <f>IF(AND('Grille de saisie'!C463=1,'Grille de saisie'!BZ463=0),1,IF(AND('Grille de saisie'!C463=1,'Grille de saisie'!BZ463=1),2,IF(AND('Grille de saisie'!C463=2,'Grille de saisie'!BZ463=0),2,IF(AND('Grille de saisie'!C463=3,'Grille de saisie'!BZ463=0),3,IF(AND('Grille de saisie'!C463=2,'Grille de saisie'!BZ463=1),3,IF(AND('Grille de saisie'!C463=1,'Grille de saisie'!BZ463=2),3,IF(AND('Grille de saisie'!C463="",'Grille de saisie'!BZ463=""),5,IF(AND('Grille de saisie'!C463=5),5,4))))))))</f>
        <v>5</v>
      </c>
      <c r="CQ463" s="237">
        <f>IF('Grille de saisie'!BZ463="",3,IF('Grille de saisie'!C463=5,3,IF('Grille de saisie'!BZ463=0,1,2)))</f>
        <v>3</v>
      </c>
    </row>
    <row r="464" spans="1:95" ht="15">
      <c r="A464" s="510">
        <v>462</v>
      </c>
      <c r="B464" s="240"/>
      <c r="C464" s="513"/>
      <c r="D464" s="240"/>
      <c r="E464" s="517"/>
      <c r="F464" s="265"/>
      <c r="G464" s="513"/>
      <c r="H464" s="265"/>
      <c r="I464" s="520"/>
      <c r="J464" s="241"/>
      <c r="K464" s="520"/>
      <c r="L464" s="241"/>
      <c r="M464" s="521"/>
      <c r="N464" s="241"/>
      <c r="O464" s="521"/>
      <c r="P464" s="241"/>
      <c r="Q464" s="520"/>
      <c r="R464" s="241"/>
      <c r="S464" s="520"/>
      <c r="T464" s="241"/>
      <c r="U464" s="520"/>
      <c r="V464" s="241"/>
      <c r="W464" s="242"/>
      <c r="X464" s="241"/>
      <c r="Y464" s="242"/>
      <c r="Z464" s="241"/>
      <c r="AA464" s="241"/>
      <c r="AB464" s="275"/>
      <c r="AC464" s="524"/>
      <c r="AD464" s="241"/>
      <c r="AE464" s="241"/>
      <c r="AF464" s="241"/>
      <c r="AG464" s="241"/>
      <c r="AH464" s="241"/>
      <c r="AI464" s="241"/>
      <c r="AJ464" s="529"/>
      <c r="AK464" s="258"/>
      <c r="AL464" s="241"/>
      <c r="AM464" s="242"/>
      <c r="AN464" s="241"/>
      <c r="AO464" s="242"/>
      <c r="AP464" s="241"/>
      <c r="AQ464" s="242"/>
      <c r="AR464" s="241"/>
      <c r="AS464" s="242"/>
      <c r="AT464" s="241"/>
      <c r="AU464" s="241"/>
      <c r="AV464" s="256"/>
      <c r="AW464" s="241"/>
      <c r="AX464" s="256"/>
      <c r="AY464" s="241"/>
      <c r="AZ464" s="256"/>
      <c r="BA464" s="239"/>
      <c r="BB464" s="242"/>
      <c r="BC464" s="239"/>
      <c r="BD464" s="242"/>
      <c r="BE464" s="239"/>
      <c r="BF464" s="241"/>
      <c r="BG464" s="239"/>
      <c r="BH464" s="241"/>
      <c r="BI464" s="260"/>
      <c r="BJ464" s="241"/>
      <c r="BK464" s="260"/>
      <c r="BL464" s="239"/>
      <c r="BM464" s="256"/>
      <c r="BN464" s="241"/>
      <c r="BO464" s="243"/>
      <c r="BP464" s="241"/>
      <c r="BQ464" s="239"/>
      <c r="BR464" s="276"/>
      <c r="BS464" s="256"/>
      <c r="BT464" s="260"/>
      <c r="BU464" s="261"/>
      <c r="BV464" s="260"/>
      <c r="BW464" s="239"/>
      <c r="BX464" s="260"/>
      <c r="BY464" s="260"/>
      <c r="BZ464" s="239"/>
      <c r="CA464" s="260"/>
      <c r="CB464" s="239"/>
      <c r="CC464" s="260"/>
      <c r="CD464" s="539"/>
      <c r="CE464" s="239"/>
      <c r="CF464" s="276"/>
      <c r="CG464" s="256"/>
      <c r="CH464" s="259"/>
      <c r="CI464" s="347"/>
      <c r="CJ464" s="540"/>
      <c r="CK464" s="256"/>
      <c r="CL464" s="244">
        <v>1</v>
      </c>
      <c r="CM464" s="274">
        <f t="shared" si="7"/>
        <v>2015</v>
      </c>
      <c r="CN464" s="244">
        <f>IF('Grille de saisie'!CM464&lt;18,0,IF('Grille de saisie'!CM464&lt;40,1,IF('Grille de saisie'!CM464&lt;65,2,IF('Grille de saisie'!CM464&lt;100,3,4))))</f>
        <v>4</v>
      </c>
      <c r="CO464" s="236">
        <f>IF(AND('Grille de saisie'!C464=1,'Grille de saisie'!BZ464=0),1,IF(AND('Grille de saisie'!C464="",'Grille de saisie'!BZ464=""),3,IF(AND('Grille de saisie'!C464=5),3,2)))</f>
        <v>3</v>
      </c>
      <c r="CP464" s="236">
        <f>IF(AND('Grille de saisie'!C464=1,'Grille de saisie'!BZ464=0),1,IF(AND('Grille de saisie'!C464=1,'Grille de saisie'!BZ464=1),2,IF(AND('Grille de saisie'!C464=2,'Grille de saisie'!BZ464=0),2,IF(AND('Grille de saisie'!C464=3,'Grille de saisie'!BZ464=0),3,IF(AND('Grille de saisie'!C464=2,'Grille de saisie'!BZ464=1),3,IF(AND('Grille de saisie'!C464=1,'Grille de saisie'!BZ464=2),3,IF(AND('Grille de saisie'!C464="",'Grille de saisie'!BZ464=""),5,IF(AND('Grille de saisie'!C464=5),5,4))))))))</f>
        <v>5</v>
      </c>
      <c r="CQ464" s="237">
        <f>IF('Grille de saisie'!BZ464="",3,IF('Grille de saisie'!C464=5,3,IF('Grille de saisie'!BZ464=0,1,2)))</f>
        <v>3</v>
      </c>
    </row>
    <row r="465" spans="1:95" ht="15">
      <c r="A465" s="511">
        <v>463</v>
      </c>
      <c r="B465" s="240"/>
      <c r="C465" s="513"/>
      <c r="D465" s="240"/>
      <c r="E465" s="517"/>
      <c r="F465" s="265"/>
      <c r="G465" s="513"/>
      <c r="H465" s="265"/>
      <c r="I465" s="520"/>
      <c r="J465" s="241"/>
      <c r="K465" s="520"/>
      <c r="L465" s="241"/>
      <c r="M465" s="521"/>
      <c r="N465" s="241"/>
      <c r="O465" s="521"/>
      <c r="P465" s="241"/>
      <c r="Q465" s="520"/>
      <c r="R465" s="241"/>
      <c r="S465" s="520"/>
      <c r="T465" s="241"/>
      <c r="U465" s="520"/>
      <c r="V465" s="241"/>
      <c r="W465" s="242"/>
      <c r="X465" s="241"/>
      <c r="Y465" s="242"/>
      <c r="Z465" s="241"/>
      <c r="AA465" s="241"/>
      <c r="AB465" s="275"/>
      <c r="AC465" s="524"/>
      <c r="AD465" s="241"/>
      <c r="AE465" s="241"/>
      <c r="AF465" s="241"/>
      <c r="AG465" s="241"/>
      <c r="AH465" s="241"/>
      <c r="AI465" s="241"/>
      <c r="AJ465" s="529"/>
      <c r="AK465" s="258"/>
      <c r="AL465" s="241"/>
      <c r="AM465" s="242"/>
      <c r="AN465" s="241"/>
      <c r="AO465" s="242"/>
      <c r="AP465" s="241"/>
      <c r="AQ465" s="242"/>
      <c r="AR465" s="241"/>
      <c r="AS465" s="242"/>
      <c r="AT465" s="241"/>
      <c r="AU465" s="241"/>
      <c r="AV465" s="256"/>
      <c r="AW465" s="241"/>
      <c r="AX465" s="256"/>
      <c r="AY465" s="241"/>
      <c r="AZ465" s="256"/>
      <c r="BA465" s="239"/>
      <c r="BB465" s="242"/>
      <c r="BC465" s="239"/>
      <c r="BD465" s="242"/>
      <c r="BE465" s="239"/>
      <c r="BF465" s="241"/>
      <c r="BG465" s="239"/>
      <c r="BH465" s="241"/>
      <c r="BI465" s="260"/>
      <c r="BJ465" s="241"/>
      <c r="BK465" s="260"/>
      <c r="BL465" s="239"/>
      <c r="BM465" s="256"/>
      <c r="BN465" s="241"/>
      <c r="BO465" s="243"/>
      <c r="BP465" s="241"/>
      <c r="BQ465" s="239"/>
      <c r="BR465" s="276"/>
      <c r="BS465" s="256"/>
      <c r="BT465" s="260"/>
      <c r="BU465" s="261"/>
      <c r="BV465" s="260"/>
      <c r="BW465" s="239"/>
      <c r="BX465" s="260"/>
      <c r="BY465" s="260"/>
      <c r="BZ465" s="239"/>
      <c r="CA465" s="260"/>
      <c r="CB465" s="239"/>
      <c r="CC465" s="260"/>
      <c r="CD465" s="539"/>
      <c r="CE465" s="239"/>
      <c r="CF465" s="276"/>
      <c r="CG465" s="256"/>
      <c r="CH465" s="259"/>
      <c r="CI465" s="347"/>
      <c r="CJ465" s="540"/>
      <c r="CK465" s="256"/>
      <c r="CL465" s="244">
        <v>1</v>
      </c>
      <c r="CM465" s="274">
        <f t="shared" si="7"/>
        <v>2015</v>
      </c>
      <c r="CN465" s="244">
        <f>IF('Grille de saisie'!CM465&lt;18,0,IF('Grille de saisie'!CM465&lt;40,1,IF('Grille de saisie'!CM465&lt;65,2,IF('Grille de saisie'!CM465&lt;100,3,4))))</f>
        <v>4</v>
      </c>
      <c r="CO465" s="236">
        <f>IF(AND('Grille de saisie'!C465=1,'Grille de saisie'!BZ465=0),1,IF(AND('Grille de saisie'!C465="",'Grille de saisie'!BZ465=""),3,IF(AND('Grille de saisie'!C465=5),3,2)))</f>
        <v>3</v>
      </c>
      <c r="CP465" s="236">
        <f>IF(AND('Grille de saisie'!C465=1,'Grille de saisie'!BZ465=0),1,IF(AND('Grille de saisie'!C465=1,'Grille de saisie'!BZ465=1),2,IF(AND('Grille de saisie'!C465=2,'Grille de saisie'!BZ465=0),2,IF(AND('Grille de saisie'!C465=3,'Grille de saisie'!BZ465=0),3,IF(AND('Grille de saisie'!C465=2,'Grille de saisie'!BZ465=1),3,IF(AND('Grille de saisie'!C465=1,'Grille de saisie'!BZ465=2),3,IF(AND('Grille de saisie'!C465="",'Grille de saisie'!BZ465=""),5,IF(AND('Grille de saisie'!C465=5),5,4))))))))</f>
        <v>5</v>
      </c>
      <c r="CQ465" s="237">
        <f>IF('Grille de saisie'!BZ465="",3,IF('Grille de saisie'!C465=5,3,IF('Grille de saisie'!BZ465=0,1,2)))</f>
        <v>3</v>
      </c>
    </row>
    <row r="466" spans="1:95" ht="15">
      <c r="A466" s="510">
        <v>464</v>
      </c>
      <c r="B466" s="240"/>
      <c r="C466" s="513"/>
      <c r="D466" s="240"/>
      <c r="E466" s="517"/>
      <c r="F466" s="265"/>
      <c r="G466" s="513"/>
      <c r="H466" s="265"/>
      <c r="I466" s="520"/>
      <c r="J466" s="241"/>
      <c r="K466" s="520"/>
      <c r="L466" s="241"/>
      <c r="M466" s="521"/>
      <c r="N466" s="241"/>
      <c r="O466" s="521"/>
      <c r="P466" s="241"/>
      <c r="Q466" s="520"/>
      <c r="R466" s="241"/>
      <c r="S466" s="520"/>
      <c r="T466" s="241"/>
      <c r="U466" s="520"/>
      <c r="V466" s="241"/>
      <c r="W466" s="242"/>
      <c r="X466" s="241"/>
      <c r="Y466" s="242"/>
      <c r="Z466" s="241"/>
      <c r="AA466" s="241"/>
      <c r="AB466" s="275"/>
      <c r="AC466" s="524"/>
      <c r="AD466" s="241"/>
      <c r="AE466" s="241"/>
      <c r="AF466" s="241"/>
      <c r="AG466" s="241"/>
      <c r="AH466" s="241"/>
      <c r="AI466" s="241"/>
      <c r="AJ466" s="529"/>
      <c r="AK466" s="258"/>
      <c r="AL466" s="241"/>
      <c r="AM466" s="242"/>
      <c r="AN466" s="241"/>
      <c r="AO466" s="242"/>
      <c r="AP466" s="241"/>
      <c r="AQ466" s="242"/>
      <c r="AR466" s="241"/>
      <c r="AS466" s="242"/>
      <c r="AT466" s="241"/>
      <c r="AU466" s="241"/>
      <c r="AV466" s="256"/>
      <c r="AW466" s="241"/>
      <c r="AX466" s="256"/>
      <c r="AY466" s="241"/>
      <c r="AZ466" s="256"/>
      <c r="BA466" s="239"/>
      <c r="BB466" s="242"/>
      <c r="BC466" s="239"/>
      <c r="BD466" s="242"/>
      <c r="BE466" s="239"/>
      <c r="BF466" s="241"/>
      <c r="BG466" s="239"/>
      <c r="BH466" s="241"/>
      <c r="BI466" s="260"/>
      <c r="BJ466" s="241"/>
      <c r="BK466" s="260"/>
      <c r="BL466" s="239"/>
      <c r="BM466" s="256"/>
      <c r="BN466" s="241"/>
      <c r="BO466" s="243"/>
      <c r="BP466" s="241"/>
      <c r="BQ466" s="239"/>
      <c r="BR466" s="276"/>
      <c r="BS466" s="256"/>
      <c r="BT466" s="260"/>
      <c r="BU466" s="261"/>
      <c r="BV466" s="260"/>
      <c r="BW466" s="239"/>
      <c r="BX466" s="260"/>
      <c r="BY466" s="260"/>
      <c r="BZ466" s="239"/>
      <c r="CA466" s="260"/>
      <c r="CB466" s="239"/>
      <c r="CC466" s="260"/>
      <c r="CD466" s="539"/>
      <c r="CE466" s="239"/>
      <c r="CF466" s="276"/>
      <c r="CG466" s="256"/>
      <c r="CH466" s="259"/>
      <c r="CI466" s="347"/>
      <c r="CJ466" s="540"/>
      <c r="CK466" s="256"/>
      <c r="CL466" s="244">
        <v>1</v>
      </c>
      <c r="CM466" s="274">
        <f t="shared" si="7"/>
        <v>2015</v>
      </c>
      <c r="CN466" s="244">
        <f>IF('Grille de saisie'!CM466&lt;18,0,IF('Grille de saisie'!CM466&lt;40,1,IF('Grille de saisie'!CM466&lt;65,2,IF('Grille de saisie'!CM466&lt;100,3,4))))</f>
        <v>4</v>
      </c>
      <c r="CO466" s="236">
        <f>IF(AND('Grille de saisie'!C466=1,'Grille de saisie'!BZ466=0),1,IF(AND('Grille de saisie'!C466="",'Grille de saisie'!BZ466=""),3,IF(AND('Grille de saisie'!C466=5),3,2)))</f>
        <v>3</v>
      </c>
      <c r="CP466" s="236">
        <f>IF(AND('Grille de saisie'!C466=1,'Grille de saisie'!BZ466=0),1,IF(AND('Grille de saisie'!C466=1,'Grille de saisie'!BZ466=1),2,IF(AND('Grille de saisie'!C466=2,'Grille de saisie'!BZ466=0),2,IF(AND('Grille de saisie'!C466=3,'Grille de saisie'!BZ466=0),3,IF(AND('Grille de saisie'!C466=2,'Grille de saisie'!BZ466=1),3,IF(AND('Grille de saisie'!C466=1,'Grille de saisie'!BZ466=2),3,IF(AND('Grille de saisie'!C466="",'Grille de saisie'!BZ466=""),5,IF(AND('Grille de saisie'!C466=5),5,4))))))))</f>
        <v>5</v>
      </c>
      <c r="CQ466" s="237">
        <f>IF('Grille de saisie'!BZ466="",3,IF('Grille de saisie'!C466=5,3,IF('Grille de saisie'!BZ466=0,1,2)))</f>
        <v>3</v>
      </c>
    </row>
    <row r="467" spans="1:95" ht="15">
      <c r="A467" s="510">
        <v>465</v>
      </c>
      <c r="B467" s="240"/>
      <c r="C467" s="513"/>
      <c r="D467" s="240"/>
      <c r="E467" s="517"/>
      <c r="F467" s="265"/>
      <c r="G467" s="513"/>
      <c r="H467" s="265"/>
      <c r="I467" s="520"/>
      <c r="J467" s="241"/>
      <c r="K467" s="520"/>
      <c r="L467" s="241"/>
      <c r="M467" s="521"/>
      <c r="N467" s="241"/>
      <c r="O467" s="521"/>
      <c r="P467" s="241"/>
      <c r="Q467" s="520"/>
      <c r="R467" s="241"/>
      <c r="S467" s="520"/>
      <c r="T467" s="241"/>
      <c r="U467" s="520"/>
      <c r="V467" s="241"/>
      <c r="W467" s="242"/>
      <c r="X467" s="241"/>
      <c r="Y467" s="242"/>
      <c r="Z467" s="241"/>
      <c r="AA467" s="241"/>
      <c r="AB467" s="275"/>
      <c r="AC467" s="524"/>
      <c r="AD467" s="241"/>
      <c r="AE467" s="241"/>
      <c r="AF467" s="241"/>
      <c r="AG467" s="241"/>
      <c r="AH467" s="241"/>
      <c r="AI467" s="241"/>
      <c r="AJ467" s="529"/>
      <c r="AK467" s="258"/>
      <c r="AL467" s="241"/>
      <c r="AM467" s="242"/>
      <c r="AN467" s="241"/>
      <c r="AO467" s="242"/>
      <c r="AP467" s="241"/>
      <c r="AQ467" s="242"/>
      <c r="AR467" s="241"/>
      <c r="AS467" s="242"/>
      <c r="AT467" s="241"/>
      <c r="AU467" s="241"/>
      <c r="AV467" s="256"/>
      <c r="AW467" s="241"/>
      <c r="AX467" s="256"/>
      <c r="AY467" s="241"/>
      <c r="AZ467" s="256"/>
      <c r="BA467" s="239"/>
      <c r="BB467" s="242"/>
      <c r="BC467" s="239"/>
      <c r="BD467" s="242"/>
      <c r="BE467" s="239"/>
      <c r="BF467" s="241"/>
      <c r="BG467" s="239"/>
      <c r="BH467" s="241"/>
      <c r="BI467" s="260"/>
      <c r="BJ467" s="241"/>
      <c r="BK467" s="260"/>
      <c r="BL467" s="239"/>
      <c r="BM467" s="256"/>
      <c r="BN467" s="241"/>
      <c r="BO467" s="243"/>
      <c r="BP467" s="241"/>
      <c r="BQ467" s="239"/>
      <c r="BR467" s="276"/>
      <c r="BS467" s="256"/>
      <c r="BT467" s="260"/>
      <c r="BU467" s="261"/>
      <c r="BV467" s="260"/>
      <c r="BW467" s="239"/>
      <c r="BX467" s="260"/>
      <c r="BY467" s="260"/>
      <c r="BZ467" s="239"/>
      <c r="CA467" s="260"/>
      <c r="CB467" s="239"/>
      <c r="CC467" s="260"/>
      <c r="CD467" s="539"/>
      <c r="CE467" s="239"/>
      <c r="CF467" s="276"/>
      <c r="CG467" s="256"/>
      <c r="CH467" s="259"/>
      <c r="CI467" s="347"/>
      <c r="CJ467" s="540"/>
      <c r="CK467" s="256"/>
      <c r="CL467" s="244">
        <v>1</v>
      </c>
      <c r="CM467" s="274">
        <f t="shared" si="7"/>
        <v>2015</v>
      </c>
      <c r="CN467" s="244">
        <f>IF('Grille de saisie'!CM467&lt;18,0,IF('Grille de saisie'!CM467&lt;40,1,IF('Grille de saisie'!CM467&lt;65,2,IF('Grille de saisie'!CM467&lt;100,3,4))))</f>
        <v>4</v>
      </c>
      <c r="CO467" s="236">
        <f>IF(AND('Grille de saisie'!C467=1,'Grille de saisie'!BZ467=0),1,IF(AND('Grille de saisie'!C467="",'Grille de saisie'!BZ467=""),3,IF(AND('Grille de saisie'!C467=5),3,2)))</f>
        <v>3</v>
      </c>
      <c r="CP467" s="236">
        <f>IF(AND('Grille de saisie'!C467=1,'Grille de saisie'!BZ467=0),1,IF(AND('Grille de saisie'!C467=1,'Grille de saisie'!BZ467=1),2,IF(AND('Grille de saisie'!C467=2,'Grille de saisie'!BZ467=0),2,IF(AND('Grille de saisie'!C467=3,'Grille de saisie'!BZ467=0),3,IF(AND('Grille de saisie'!C467=2,'Grille de saisie'!BZ467=1),3,IF(AND('Grille de saisie'!C467=1,'Grille de saisie'!BZ467=2),3,IF(AND('Grille de saisie'!C467="",'Grille de saisie'!BZ467=""),5,IF(AND('Grille de saisie'!C467=5),5,4))))))))</f>
        <v>5</v>
      </c>
      <c r="CQ467" s="237">
        <f>IF('Grille de saisie'!BZ467="",3,IF('Grille de saisie'!C467=5,3,IF('Grille de saisie'!BZ467=0,1,2)))</f>
        <v>3</v>
      </c>
    </row>
    <row r="468" spans="1:95" ht="15">
      <c r="A468" s="511">
        <v>466</v>
      </c>
      <c r="B468" s="240"/>
      <c r="C468" s="513"/>
      <c r="D468" s="240"/>
      <c r="E468" s="517"/>
      <c r="F468" s="265"/>
      <c r="G468" s="513"/>
      <c r="H468" s="265"/>
      <c r="I468" s="520"/>
      <c r="J468" s="241"/>
      <c r="K468" s="520"/>
      <c r="L468" s="241"/>
      <c r="M468" s="521"/>
      <c r="N468" s="241"/>
      <c r="O468" s="521"/>
      <c r="P468" s="241"/>
      <c r="Q468" s="520"/>
      <c r="R468" s="241"/>
      <c r="S468" s="520"/>
      <c r="T468" s="241"/>
      <c r="U468" s="520"/>
      <c r="V468" s="241"/>
      <c r="W468" s="242"/>
      <c r="X468" s="241"/>
      <c r="Y468" s="242"/>
      <c r="Z468" s="241"/>
      <c r="AA468" s="241"/>
      <c r="AB468" s="275"/>
      <c r="AC468" s="524"/>
      <c r="AD468" s="241"/>
      <c r="AE468" s="241"/>
      <c r="AF468" s="241"/>
      <c r="AG468" s="241"/>
      <c r="AH468" s="241"/>
      <c r="AI468" s="241"/>
      <c r="AJ468" s="529"/>
      <c r="AK468" s="258"/>
      <c r="AL468" s="241"/>
      <c r="AM468" s="242"/>
      <c r="AN468" s="241"/>
      <c r="AO468" s="242"/>
      <c r="AP468" s="241"/>
      <c r="AQ468" s="242"/>
      <c r="AR468" s="241"/>
      <c r="AS468" s="242"/>
      <c r="AT468" s="241"/>
      <c r="AU468" s="241"/>
      <c r="AV468" s="256"/>
      <c r="AW468" s="241"/>
      <c r="AX468" s="256"/>
      <c r="AY468" s="241"/>
      <c r="AZ468" s="256"/>
      <c r="BA468" s="239"/>
      <c r="BB468" s="242"/>
      <c r="BC468" s="239"/>
      <c r="BD468" s="242"/>
      <c r="BE468" s="239"/>
      <c r="BF468" s="241"/>
      <c r="BG468" s="239"/>
      <c r="BH468" s="241"/>
      <c r="BI468" s="260"/>
      <c r="BJ468" s="241"/>
      <c r="BK468" s="260"/>
      <c r="BL468" s="239"/>
      <c r="BM468" s="256"/>
      <c r="BN468" s="241"/>
      <c r="BO468" s="243"/>
      <c r="BP468" s="241"/>
      <c r="BQ468" s="239"/>
      <c r="BR468" s="276"/>
      <c r="BS468" s="256"/>
      <c r="BT468" s="260"/>
      <c r="BU468" s="261"/>
      <c r="BV468" s="260"/>
      <c r="BW468" s="239"/>
      <c r="BX468" s="260"/>
      <c r="BY468" s="260"/>
      <c r="BZ468" s="239"/>
      <c r="CA468" s="260"/>
      <c r="CB468" s="239"/>
      <c r="CC468" s="260"/>
      <c r="CD468" s="539"/>
      <c r="CE468" s="239"/>
      <c r="CF468" s="276"/>
      <c r="CG468" s="256"/>
      <c r="CH468" s="259"/>
      <c r="CI468" s="347"/>
      <c r="CJ468" s="540"/>
      <c r="CK468" s="256"/>
      <c r="CL468" s="244">
        <v>1</v>
      </c>
      <c r="CM468" s="274">
        <f t="shared" si="7"/>
        <v>2015</v>
      </c>
      <c r="CN468" s="244">
        <f>IF('Grille de saisie'!CM468&lt;18,0,IF('Grille de saisie'!CM468&lt;40,1,IF('Grille de saisie'!CM468&lt;65,2,IF('Grille de saisie'!CM468&lt;100,3,4))))</f>
        <v>4</v>
      </c>
      <c r="CO468" s="236">
        <f>IF(AND('Grille de saisie'!C468=1,'Grille de saisie'!BZ468=0),1,IF(AND('Grille de saisie'!C468="",'Grille de saisie'!BZ468=""),3,IF(AND('Grille de saisie'!C468=5),3,2)))</f>
        <v>3</v>
      </c>
      <c r="CP468" s="236">
        <f>IF(AND('Grille de saisie'!C468=1,'Grille de saisie'!BZ468=0),1,IF(AND('Grille de saisie'!C468=1,'Grille de saisie'!BZ468=1),2,IF(AND('Grille de saisie'!C468=2,'Grille de saisie'!BZ468=0),2,IF(AND('Grille de saisie'!C468=3,'Grille de saisie'!BZ468=0),3,IF(AND('Grille de saisie'!C468=2,'Grille de saisie'!BZ468=1),3,IF(AND('Grille de saisie'!C468=1,'Grille de saisie'!BZ468=2),3,IF(AND('Grille de saisie'!C468="",'Grille de saisie'!BZ468=""),5,IF(AND('Grille de saisie'!C468=5),5,4))))))))</f>
        <v>5</v>
      </c>
      <c r="CQ468" s="237">
        <f>IF('Grille de saisie'!BZ468="",3,IF('Grille de saisie'!C468=5,3,IF('Grille de saisie'!BZ468=0,1,2)))</f>
        <v>3</v>
      </c>
    </row>
    <row r="469" spans="1:95" ht="15">
      <c r="A469" s="510">
        <v>467</v>
      </c>
      <c r="B469" s="240"/>
      <c r="C469" s="513"/>
      <c r="D469" s="240"/>
      <c r="E469" s="517"/>
      <c r="F469" s="265"/>
      <c r="G469" s="513"/>
      <c r="H469" s="265"/>
      <c r="I469" s="520"/>
      <c r="J469" s="241"/>
      <c r="K469" s="520"/>
      <c r="L469" s="241"/>
      <c r="M469" s="521"/>
      <c r="N469" s="241"/>
      <c r="O469" s="521"/>
      <c r="P469" s="241"/>
      <c r="Q469" s="520"/>
      <c r="R469" s="241"/>
      <c r="S469" s="520"/>
      <c r="T469" s="241"/>
      <c r="U469" s="520"/>
      <c r="V469" s="241"/>
      <c r="W469" s="242"/>
      <c r="X469" s="241"/>
      <c r="Y469" s="242"/>
      <c r="Z469" s="241"/>
      <c r="AA469" s="241"/>
      <c r="AB469" s="275"/>
      <c r="AC469" s="524"/>
      <c r="AD469" s="241"/>
      <c r="AE469" s="241"/>
      <c r="AF469" s="241"/>
      <c r="AG469" s="241"/>
      <c r="AH469" s="241"/>
      <c r="AI469" s="241"/>
      <c r="AJ469" s="529"/>
      <c r="AK469" s="258"/>
      <c r="AL469" s="241"/>
      <c r="AM469" s="242"/>
      <c r="AN469" s="241"/>
      <c r="AO469" s="242"/>
      <c r="AP469" s="241"/>
      <c r="AQ469" s="242"/>
      <c r="AR469" s="241"/>
      <c r="AS469" s="242"/>
      <c r="AT469" s="241"/>
      <c r="AU469" s="241"/>
      <c r="AV469" s="256"/>
      <c r="AW469" s="241"/>
      <c r="AX469" s="256"/>
      <c r="AY469" s="241"/>
      <c r="AZ469" s="256"/>
      <c r="BA469" s="239"/>
      <c r="BB469" s="242"/>
      <c r="BC469" s="239"/>
      <c r="BD469" s="242"/>
      <c r="BE469" s="239"/>
      <c r="BF469" s="241"/>
      <c r="BG469" s="239"/>
      <c r="BH469" s="241"/>
      <c r="BI469" s="260"/>
      <c r="BJ469" s="241"/>
      <c r="BK469" s="260"/>
      <c r="BL469" s="239"/>
      <c r="BM469" s="256"/>
      <c r="BN469" s="241"/>
      <c r="BO469" s="243"/>
      <c r="BP469" s="241"/>
      <c r="BQ469" s="239"/>
      <c r="BR469" s="276"/>
      <c r="BS469" s="256"/>
      <c r="BT469" s="260"/>
      <c r="BU469" s="261"/>
      <c r="BV469" s="260"/>
      <c r="BW469" s="239"/>
      <c r="BX469" s="260"/>
      <c r="BY469" s="260"/>
      <c r="BZ469" s="239"/>
      <c r="CA469" s="260"/>
      <c r="CB469" s="239"/>
      <c r="CC469" s="260"/>
      <c r="CD469" s="539"/>
      <c r="CE469" s="239"/>
      <c r="CF469" s="276"/>
      <c r="CG469" s="256"/>
      <c r="CH469" s="259"/>
      <c r="CI469" s="347"/>
      <c r="CJ469" s="540"/>
      <c r="CK469" s="256"/>
      <c r="CL469" s="244">
        <v>1</v>
      </c>
      <c r="CM469" s="274">
        <f t="shared" si="7"/>
        <v>2015</v>
      </c>
      <c r="CN469" s="244">
        <f>IF('Grille de saisie'!CM469&lt;18,0,IF('Grille de saisie'!CM469&lt;40,1,IF('Grille de saisie'!CM469&lt;65,2,IF('Grille de saisie'!CM469&lt;100,3,4))))</f>
        <v>4</v>
      </c>
      <c r="CO469" s="236">
        <f>IF(AND('Grille de saisie'!C469=1,'Grille de saisie'!BZ469=0),1,IF(AND('Grille de saisie'!C469="",'Grille de saisie'!BZ469=""),3,IF(AND('Grille de saisie'!C469=5),3,2)))</f>
        <v>3</v>
      </c>
      <c r="CP469" s="236">
        <f>IF(AND('Grille de saisie'!C469=1,'Grille de saisie'!BZ469=0),1,IF(AND('Grille de saisie'!C469=1,'Grille de saisie'!BZ469=1),2,IF(AND('Grille de saisie'!C469=2,'Grille de saisie'!BZ469=0),2,IF(AND('Grille de saisie'!C469=3,'Grille de saisie'!BZ469=0),3,IF(AND('Grille de saisie'!C469=2,'Grille de saisie'!BZ469=1),3,IF(AND('Grille de saisie'!C469=1,'Grille de saisie'!BZ469=2),3,IF(AND('Grille de saisie'!C469="",'Grille de saisie'!BZ469=""),5,IF(AND('Grille de saisie'!C469=5),5,4))))))))</f>
        <v>5</v>
      </c>
      <c r="CQ469" s="237">
        <f>IF('Grille de saisie'!BZ469="",3,IF('Grille de saisie'!C469=5,3,IF('Grille de saisie'!BZ469=0,1,2)))</f>
        <v>3</v>
      </c>
    </row>
    <row r="470" spans="1:95" ht="15">
      <c r="A470" s="510">
        <v>468</v>
      </c>
      <c r="B470" s="240"/>
      <c r="C470" s="513"/>
      <c r="D470" s="240"/>
      <c r="E470" s="517"/>
      <c r="F470" s="265"/>
      <c r="G470" s="513"/>
      <c r="H470" s="265"/>
      <c r="I470" s="520"/>
      <c r="J470" s="241"/>
      <c r="K470" s="520"/>
      <c r="L470" s="241"/>
      <c r="M470" s="521"/>
      <c r="N470" s="241"/>
      <c r="O470" s="521"/>
      <c r="P470" s="241"/>
      <c r="Q470" s="520"/>
      <c r="R470" s="241"/>
      <c r="S470" s="520"/>
      <c r="T470" s="241"/>
      <c r="U470" s="520"/>
      <c r="V470" s="241"/>
      <c r="W470" s="242"/>
      <c r="X470" s="241"/>
      <c r="Y470" s="242"/>
      <c r="Z470" s="241"/>
      <c r="AA470" s="241"/>
      <c r="AB470" s="275"/>
      <c r="AC470" s="524"/>
      <c r="AD470" s="241"/>
      <c r="AE470" s="241"/>
      <c r="AF470" s="241"/>
      <c r="AG470" s="241"/>
      <c r="AH470" s="241"/>
      <c r="AI470" s="241"/>
      <c r="AJ470" s="529"/>
      <c r="AK470" s="258"/>
      <c r="AL470" s="241"/>
      <c r="AM470" s="242"/>
      <c r="AN470" s="241"/>
      <c r="AO470" s="242"/>
      <c r="AP470" s="241"/>
      <c r="AQ470" s="242"/>
      <c r="AR470" s="241"/>
      <c r="AS470" s="242"/>
      <c r="AT470" s="241"/>
      <c r="AU470" s="241"/>
      <c r="AV470" s="256"/>
      <c r="AW470" s="241"/>
      <c r="AX470" s="256"/>
      <c r="AY470" s="241"/>
      <c r="AZ470" s="256"/>
      <c r="BA470" s="239"/>
      <c r="BB470" s="242"/>
      <c r="BC470" s="239"/>
      <c r="BD470" s="242"/>
      <c r="BE470" s="239"/>
      <c r="BF470" s="241"/>
      <c r="BG470" s="239"/>
      <c r="BH470" s="241"/>
      <c r="BI470" s="260"/>
      <c r="BJ470" s="241"/>
      <c r="BK470" s="260"/>
      <c r="BL470" s="239"/>
      <c r="BM470" s="256"/>
      <c r="BN470" s="241"/>
      <c r="BO470" s="243"/>
      <c r="BP470" s="241"/>
      <c r="BQ470" s="239"/>
      <c r="BR470" s="276"/>
      <c r="BS470" s="256"/>
      <c r="BT470" s="260"/>
      <c r="BU470" s="261"/>
      <c r="BV470" s="260"/>
      <c r="BW470" s="239"/>
      <c r="BX470" s="260"/>
      <c r="BY470" s="260"/>
      <c r="BZ470" s="239"/>
      <c r="CA470" s="260"/>
      <c r="CB470" s="239"/>
      <c r="CC470" s="260"/>
      <c r="CD470" s="539"/>
      <c r="CE470" s="239"/>
      <c r="CF470" s="276"/>
      <c r="CG470" s="256"/>
      <c r="CH470" s="259"/>
      <c r="CI470" s="347"/>
      <c r="CJ470" s="540"/>
      <c r="CK470" s="256"/>
      <c r="CL470" s="244">
        <v>1</v>
      </c>
      <c r="CM470" s="274">
        <f t="shared" si="7"/>
        <v>2015</v>
      </c>
      <c r="CN470" s="244">
        <f>IF('Grille de saisie'!CM470&lt;18,0,IF('Grille de saisie'!CM470&lt;40,1,IF('Grille de saisie'!CM470&lt;65,2,IF('Grille de saisie'!CM470&lt;100,3,4))))</f>
        <v>4</v>
      </c>
      <c r="CO470" s="236">
        <f>IF(AND('Grille de saisie'!C470=1,'Grille de saisie'!BZ470=0),1,IF(AND('Grille de saisie'!C470="",'Grille de saisie'!BZ470=""),3,IF(AND('Grille de saisie'!C470=5),3,2)))</f>
        <v>3</v>
      </c>
      <c r="CP470" s="236">
        <f>IF(AND('Grille de saisie'!C470=1,'Grille de saisie'!BZ470=0),1,IF(AND('Grille de saisie'!C470=1,'Grille de saisie'!BZ470=1),2,IF(AND('Grille de saisie'!C470=2,'Grille de saisie'!BZ470=0),2,IF(AND('Grille de saisie'!C470=3,'Grille de saisie'!BZ470=0),3,IF(AND('Grille de saisie'!C470=2,'Grille de saisie'!BZ470=1),3,IF(AND('Grille de saisie'!C470=1,'Grille de saisie'!BZ470=2),3,IF(AND('Grille de saisie'!C470="",'Grille de saisie'!BZ470=""),5,IF(AND('Grille de saisie'!C470=5),5,4))))))))</f>
        <v>5</v>
      </c>
      <c r="CQ470" s="237">
        <f>IF('Grille de saisie'!BZ470="",3,IF('Grille de saisie'!C470=5,3,IF('Grille de saisie'!BZ470=0,1,2)))</f>
        <v>3</v>
      </c>
    </row>
    <row r="471" spans="1:95" ht="15">
      <c r="A471" s="511">
        <v>469</v>
      </c>
      <c r="B471" s="240"/>
      <c r="C471" s="513"/>
      <c r="D471" s="240"/>
      <c r="E471" s="517"/>
      <c r="F471" s="265"/>
      <c r="G471" s="513"/>
      <c r="H471" s="265"/>
      <c r="I471" s="520"/>
      <c r="J471" s="241"/>
      <c r="K471" s="520"/>
      <c r="L471" s="241"/>
      <c r="M471" s="521"/>
      <c r="N471" s="241"/>
      <c r="O471" s="521"/>
      <c r="P471" s="241"/>
      <c r="Q471" s="520"/>
      <c r="R471" s="241"/>
      <c r="S471" s="520"/>
      <c r="T471" s="241"/>
      <c r="U471" s="520"/>
      <c r="V471" s="241"/>
      <c r="W471" s="242"/>
      <c r="X471" s="241"/>
      <c r="Y471" s="242"/>
      <c r="Z471" s="241"/>
      <c r="AA471" s="241"/>
      <c r="AB471" s="275"/>
      <c r="AC471" s="524"/>
      <c r="AD471" s="241"/>
      <c r="AE471" s="241"/>
      <c r="AF471" s="241"/>
      <c r="AG471" s="241"/>
      <c r="AH471" s="241"/>
      <c r="AI471" s="241"/>
      <c r="AJ471" s="529"/>
      <c r="AK471" s="258"/>
      <c r="AL471" s="241"/>
      <c r="AM471" s="242"/>
      <c r="AN471" s="241"/>
      <c r="AO471" s="242"/>
      <c r="AP471" s="241"/>
      <c r="AQ471" s="242"/>
      <c r="AR471" s="241"/>
      <c r="AS471" s="242"/>
      <c r="AT471" s="241"/>
      <c r="AU471" s="241"/>
      <c r="AV471" s="256"/>
      <c r="AW471" s="241"/>
      <c r="AX471" s="256"/>
      <c r="AY471" s="241"/>
      <c r="AZ471" s="256"/>
      <c r="BA471" s="239"/>
      <c r="BB471" s="242"/>
      <c r="BC471" s="239"/>
      <c r="BD471" s="242"/>
      <c r="BE471" s="239"/>
      <c r="BF471" s="241"/>
      <c r="BG471" s="239"/>
      <c r="BH471" s="241"/>
      <c r="BI471" s="260"/>
      <c r="BJ471" s="241"/>
      <c r="BK471" s="260"/>
      <c r="BL471" s="239"/>
      <c r="BM471" s="256"/>
      <c r="BN471" s="241"/>
      <c r="BO471" s="243"/>
      <c r="BP471" s="241"/>
      <c r="BQ471" s="239"/>
      <c r="BR471" s="276"/>
      <c r="BS471" s="256"/>
      <c r="BT471" s="260"/>
      <c r="BU471" s="261"/>
      <c r="BV471" s="260"/>
      <c r="BW471" s="239"/>
      <c r="BX471" s="260"/>
      <c r="BY471" s="260"/>
      <c r="BZ471" s="239"/>
      <c r="CA471" s="260"/>
      <c r="CB471" s="239"/>
      <c r="CC471" s="260"/>
      <c r="CD471" s="539"/>
      <c r="CE471" s="239"/>
      <c r="CF471" s="276"/>
      <c r="CG471" s="256"/>
      <c r="CH471" s="259"/>
      <c r="CI471" s="347"/>
      <c r="CJ471" s="540"/>
      <c r="CK471" s="256"/>
      <c r="CL471" s="244">
        <v>1</v>
      </c>
      <c r="CM471" s="274">
        <f t="shared" si="7"/>
        <v>2015</v>
      </c>
      <c r="CN471" s="244">
        <f>IF('Grille de saisie'!CM471&lt;18,0,IF('Grille de saisie'!CM471&lt;40,1,IF('Grille de saisie'!CM471&lt;65,2,IF('Grille de saisie'!CM471&lt;100,3,4))))</f>
        <v>4</v>
      </c>
      <c r="CO471" s="236">
        <f>IF(AND('Grille de saisie'!C471=1,'Grille de saisie'!BZ471=0),1,IF(AND('Grille de saisie'!C471="",'Grille de saisie'!BZ471=""),3,IF(AND('Grille de saisie'!C471=5),3,2)))</f>
        <v>3</v>
      </c>
      <c r="CP471" s="236">
        <f>IF(AND('Grille de saisie'!C471=1,'Grille de saisie'!BZ471=0),1,IF(AND('Grille de saisie'!C471=1,'Grille de saisie'!BZ471=1),2,IF(AND('Grille de saisie'!C471=2,'Grille de saisie'!BZ471=0),2,IF(AND('Grille de saisie'!C471=3,'Grille de saisie'!BZ471=0),3,IF(AND('Grille de saisie'!C471=2,'Grille de saisie'!BZ471=1),3,IF(AND('Grille de saisie'!C471=1,'Grille de saisie'!BZ471=2),3,IF(AND('Grille de saisie'!C471="",'Grille de saisie'!BZ471=""),5,IF(AND('Grille de saisie'!C471=5),5,4))))))))</f>
        <v>5</v>
      </c>
      <c r="CQ471" s="237">
        <f>IF('Grille de saisie'!BZ471="",3,IF('Grille de saisie'!C471=5,3,IF('Grille de saisie'!BZ471=0,1,2)))</f>
        <v>3</v>
      </c>
    </row>
    <row r="472" spans="1:95" ht="15">
      <c r="A472" s="510">
        <v>470</v>
      </c>
      <c r="B472" s="240"/>
      <c r="C472" s="513"/>
      <c r="D472" s="240"/>
      <c r="E472" s="517"/>
      <c r="F472" s="265"/>
      <c r="G472" s="513"/>
      <c r="H472" s="265"/>
      <c r="I472" s="520"/>
      <c r="J472" s="241"/>
      <c r="K472" s="520"/>
      <c r="L472" s="241"/>
      <c r="M472" s="521"/>
      <c r="N472" s="241"/>
      <c r="O472" s="521"/>
      <c r="P472" s="241"/>
      <c r="Q472" s="520"/>
      <c r="R472" s="241"/>
      <c r="S472" s="520"/>
      <c r="T472" s="241"/>
      <c r="U472" s="520"/>
      <c r="V472" s="241"/>
      <c r="W472" s="242"/>
      <c r="X472" s="241"/>
      <c r="Y472" s="242"/>
      <c r="Z472" s="241"/>
      <c r="AA472" s="241"/>
      <c r="AB472" s="275"/>
      <c r="AC472" s="524"/>
      <c r="AD472" s="241"/>
      <c r="AE472" s="241"/>
      <c r="AF472" s="241"/>
      <c r="AG472" s="241"/>
      <c r="AH472" s="241"/>
      <c r="AI472" s="241"/>
      <c r="AJ472" s="529"/>
      <c r="AK472" s="258"/>
      <c r="AL472" s="241"/>
      <c r="AM472" s="242"/>
      <c r="AN472" s="241"/>
      <c r="AO472" s="242"/>
      <c r="AP472" s="241"/>
      <c r="AQ472" s="242"/>
      <c r="AR472" s="241"/>
      <c r="AS472" s="242"/>
      <c r="AT472" s="241"/>
      <c r="AU472" s="241"/>
      <c r="AV472" s="256"/>
      <c r="AW472" s="241"/>
      <c r="AX472" s="256"/>
      <c r="AY472" s="241"/>
      <c r="AZ472" s="256"/>
      <c r="BA472" s="239"/>
      <c r="BB472" s="242"/>
      <c r="BC472" s="239"/>
      <c r="BD472" s="242"/>
      <c r="BE472" s="239"/>
      <c r="BF472" s="241"/>
      <c r="BG472" s="239"/>
      <c r="BH472" s="241"/>
      <c r="BI472" s="260"/>
      <c r="BJ472" s="241"/>
      <c r="BK472" s="260"/>
      <c r="BL472" s="239"/>
      <c r="BM472" s="256"/>
      <c r="BN472" s="241"/>
      <c r="BO472" s="243"/>
      <c r="BP472" s="241"/>
      <c r="BQ472" s="239"/>
      <c r="BR472" s="276"/>
      <c r="BS472" s="256"/>
      <c r="BT472" s="260"/>
      <c r="BU472" s="261"/>
      <c r="BV472" s="260"/>
      <c r="BW472" s="239"/>
      <c r="BX472" s="260"/>
      <c r="BY472" s="260"/>
      <c r="BZ472" s="239"/>
      <c r="CA472" s="260"/>
      <c r="CB472" s="239"/>
      <c r="CC472" s="260"/>
      <c r="CD472" s="539"/>
      <c r="CE472" s="239"/>
      <c r="CF472" s="276"/>
      <c r="CG472" s="256"/>
      <c r="CH472" s="259"/>
      <c r="CI472" s="347"/>
      <c r="CJ472" s="540"/>
      <c r="CK472" s="256"/>
      <c r="CL472" s="244">
        <v>1</v>
      </c>
      <c r="CM472" s="274">
        <f t="shared" si="7"/>
        <v>2015</v>
      </c>
      <c r="CN472" s="244">
        <f>IF('Grille de saisie'!CM472&lt;18,0,IF('Grille de saisie'!CM472&lt;40,1,IF('Grille de saisie'!CM472&lt;65,2,IF('Grille de saisie'!CM472&lt;100,3,4))))</f>
        <v>4</v>
      </c>
      <c r="CO472" s="236">
        <f>IF(AND('Grille de saisie'!C472=1,'Grille de saisie'!BZ472=0),1,IF(AND('Grille de saisie'!C472="",'Grille de saisie'!BZ472=""),3,IF(AND('Grille de saisie'!C472=5),3,2)))</f>
        <v>3</v>
      </c>
      <c r="CP472" s="236">
        <f>IF(AND('Grille de saisie'!C472=1,'Grille de saisie'!BZ472=0),1,IF(AND('Grille de saisie'!C472=1,'Grille de saisie'!BZ472=1),2,IF(AND('Grille de saisie'!C472=2,'Grille de saisie'!BZ472=0),2,IF(AND('Grille de saisie'!C472=3,'Grille de saisie'!BZ472=0),3,IF(AND('Grille de saisie'!C472=2,'Grille de saisie'!BZ472=1),3,IF(AND('Grille de saisie'!C472=1,'Grille de saisie'!BZ472=2),3,IF(AND('Grille de saisie'!C472="",'Grille de saisie'!BZ472=""),5,IF(AND('Grille de saisie'!C472=5),5,4))))))))</f>
        <v>5</v>
      </c>
      <c r="CQ472" s="237">
        <f>IF('Grille de saisie'!BZ472="",3,IF('Grille de saisie'!C472=5,3,IF('Grille de saisie'!BZ472=0,1,2)))</f>
        <v>3</v>
      </c>
    </row>
    <row r="473" spans="1:95" ht="15">
      <c r="A473" s="510">
        <v>471</v>
      </c>
      <c r="B473" s="240"/>
      <c r="C473" s="513"/>
      <c r="D473" s="240"/>
      <c r="E473" s="517"/>
      <c r="F473" s="265"/>
      <c r="G473" s="513"/>
      <c r="H473" s="265"/>
      <c r="I473" s="520"/>
      <c r="J473" s="241"/>
      <c r="K473" s="520"/>
      <c r="L473" s="241"/>
      <c r="M473" s="521"/>
      <c r="N473" s="241"/>
      <c r="O473" s="521"/>
      <c r="P473" s="241"/>
      <c r="Q473" s="520"/>
      <c r="R473" s="241"/>
      <c r="S473" s="520"/>
      <c r="T473" s="241"/>
      <c r="U473" s="520"/>
      <c r="V473" s="241"/>
      <c r="W473" s="242"/>
      <c r="X473" s="241"/>
      <c r="Y473" s="242"/>
      <c r="Z473" s="241"/>
      <c r="AA473" s="241"/>
      <c r="AB473" s="275"/>
      <c r="AC473" s="524"/>
      <c r="AD473" s="241"/>
      <c r="AE473" s="241"/>
      <c r="AF473" s="241"/>
      <c r="AG473" s="241"/>
      <c r="AH473" s="241"/>
      <c r="AI473" s="241"/>
      <c r="AJ473" s="529"/>
      <c r="AK473" s="258"/>
      <c r="AL473" s="241"/>
      <c r="AM473" s="242"/>
      <c r="AN473" s="241"/>
      <c r="AO473" s="242"/>
      <c r="AP473" s="241"/>
      <c r="AQ473" s="242"/>
      <c r="AR473" s="241"/>
      <c r="AS473" s="242"/>
      <c r="AT473" s="241"/>
      <c r="AU473" s="241"/>
      <c r="AV473" s="256"/>
      <c r="AW473" s="241"/>
      <c r="AX473" s="256"/>
      <c r="AY473" s="241"/>
      <c r="AZ473" s="256"/>
      <c r="BA473" s="239"/>
      <c r="BB473" s="242"/>
      <c r="BC473" s="239"/>
      <c r="BD473" s="242"/>
      <c r="BE473" s="239"/>
      <c r="BF473" s="241"/>
      <c r="BG473" s="239"/>
      <c r="BH473" s="241"/>
      <c r="BI473" s="260"/>
      <c r="BJ473" s="241"/>
      <c r="BK473" s="260"/>
      <c r="BL473" s="239"/>
      <c r="BM473" s="256"/>
      <c r="BN473" s="241"/>
      <c r="BO473" s="243"/>
      <c r="BP473" s="241"/>
      <c r="BQ473" s="239"/>
      <c r="BR473" s="276"/>
      <c r="BS473" s="256"/>
      <c r="BT473" s="260"/>
      <c r="BU473" s="261"/>
      <c r="BV473" s="260"/>
      <c r="BW473" s="239"/>
      <c r="BX473" s="260"/>
      <c r="BY473" s="260"/>
      <c r="BZ473" s="239"/>
      <c r="CA473" s="260"/>
      <c r="CB473" s="239"/>
      <c r="CC473" s="260"/>
      <c r="CD473" s="539"/>
      <c r="CE473" s="239"/>
      <c r="CF473" s="276"/>
      <c r="CG473" s="256"/>
      <c r="CH473" s="259"/>
      <c r="CI473" s="347"/>
      <c r="CJ473" s="540"/>
      <c r="CK473" s="256"/>
      <c r="CL473" s="244">
        <v>1</v>
      </c>
      <c r="CM473" s="274">
        <f t="shared" si="7"/>
        <v>2015</v>
      </c>
      <c r="CN473" s="244">
        <f>IF('Grille de saisie'!CM473&lt;18,0,IF('Grille de saisie'!CM473&lt;40,1,IF('Grille de saisie'!CM473&lt;65,2,IF('Grille de saisie'!CM473&lt;100,3,4))))</f>
        <v>4</v>
      </c>
      <c r="CO473" s="236">
        <f>IF(AND('Grille de saisie'!C473=1,'Grille de saisie'!BZ473=0),1,IF(AND('Grille de saisie'!C473="",'Grille de saisie'!BZ473=""),3,IF(AND('Grille de saisie'!C473=5),3,2)))</f>
        <v>3</v>
      </c>
      <c r="CP473" s="236">
        <f>IF(AND('Grille de saisie'!C473=1,'Grille de saisie'!BZ473=0),1,IF(AND('Grille de saisie'!C473=1,'Grille de saisie'!BZ473=1),2,IF(AND('Grille de saisie'!C473=2,'Grille de saisie'!BZ473=0),2,IF(AND('Grille de saisie'!C473=3,'Grille de saisie'!BZ473=0),3,IF(AND('Grille de saisie'!C473=2,'Grille de saisie'!BZ473=1),3,IF(AND('Grille de saisie'!C473=1,'Grille de saisie'!BZ473=2),3,IF(AND('Grille de saisie'!C473="",'Grille de saisie'!BZ473=""),5,IF(AND('Grille de saisie'!C473=5),5,4))))))))</f>
        <v>5</v>
      </c>
      <c r="CQ473" s="237">
        <f>IF('Grille de saisie'!BZ473="",3,IF('Grille de saisie'!C473=5,3,IF('Grille de saisie'!BZ473=0,1,2)))</f>
        <v>3</v>
      </c>
    </row>
    <row r="474" spans="1:95" ht="15">
      <c r="A474" s="511">
        <v>472</v>
      </c>
      <c r="B474" s="240"/>
      <c r="C474" s="513"/>
      <c r="D474" s="240"/>
      <c r="E474" s="517"/>
      <c r="F474" s="265"/>
      <c r="G474" s="513"/>
      <c r="H474" s="265"/>
      <c r="I474" s="520"/>
      <c r="J474" s="241"/>
      <c r="K474" s="520"/>
      <c r="L474" s="241"/>
      <c r="M474" s="521"/>
      <c r="N474" s="241"/>
      <c r="O474" s="521"/>
      <c r="P474" s="241"/>
      <c r="Q474" s="520"/>
      <c r="R474" s="241"/>
      <c r="S474" s="520"/>
      <c r="T474" s="241"/>
      <c r="U474" s="520"/>
      <c r="V474" s="241"/>
      <c r="W474" s="242"/>
      <c r="X474" s="241"/>
      <c r="Y474" s="242"/>
      <c r="Z474" s="241"/>
      <c r="AA474" s="241"/>
      <c r="AB474" s="275"/>
      <c r="AC474" s="524"/>
      <c r="AD474" s="241"/>
      <c r="AE474" s="241"/>
      <c r="AF474" s="241"/>
      <c r="AG474" s="241"/>
      <c r="AH474" s="241"/>
      <c r="AI474" s="241"/>
      <c r="AJ474" s="529"/>
      <c r="AK474" s="258"/>
      <c r="AL474" s="241"/>
      <c r="AM474" s="242"/>
      <c r="AN474" s="241"/>
      <c r="AO474" s="242"/>
      <c r="AP474" s="241"/>
      <c r="AQ474" s="242"/>
      <c r="AR474" s="241"/>
      <c r="AS474" s="242"/>
      <c r="AT474" s="241"/>
      <c r="AU474" s="241"/>
      <c r="AV474" s="256"/>
      <c r="AW474" s="241"/>
      <c r="AX474" s="256"/>
      <c r="AY474" s="241"/>
      <c r="AZ474" s="256"/>
      <c r="BA474" s="239"/>
      <c r="BB474" s="242"/>
      <c r="BC474" s="239"/>
      <c r="BD474" s="242"/>
      <c r="BE474" s="239"/>
      <c r="BF474" s="241"/>
      <c r="BG474" s="239"/>
      <c r="BH474" s="241"/>
      <c r="BI474" s="260"/>
      <c r="BJ474" s="241"/>
      <c r="BK474" s="260"/>
      <c r="BL474" s="239"/>
      <c r="BM474" s="256"/>
      <c r="BN474" s="241"/>
      <c r="BO474" s="243"/>
      <c r="BP474" s="241"/>
      <c r="BQ474" s="239"/>
      <c r="BR474" s="276"/>
      <c r="BS474" s="256"/>
      <c r="BT474" s="260"/>
      <c r="BU474" s="261"/>
      <c r="BV474" s="260"/>
      <c r="BW474" s="239"/>
      <c r="BX474" s="260"/>
      <c r="BY474" s="260"/>
      <c r="BZ474" s="239"/>
      <c r="CA474" s="260"/>
      <c r="CB474" s="239"/>
      <c r="CC474" s="260"/>
      <c r="CD474" s="539"/>
      <c r="CE474" s="239"/>
      <c r="CF474" s="276"/>
      <c r="CG474" s="256"/>
      <c r="CH474" s="259"/>
      <c r="CI474" s="347"/>
      <c r="CJ474" s="540"/>
      <c r="CK474" s="256"/>
      <c r="CL474" s="244">
        <v>1</v>
      </c>
      <c r="CM474" s="274">
        <f t="shared" si="7"/>
        <v>2015</v>
      </c>
      <c r="CN474" s="244">
        <f>IF('Grille de saisie'!CM474&lt;18,0,IF('Grille de saisie'!CM474&lt;40,1,IF('Grille de saisie'!CM474&lt;65,2,IF('Grille de saisie'!CM474&lt;100,3,4))))</f>
        <v>4</v>
      </c>
      <c r="CO474" s="236">
        <f>IF(AND('Grille de saisie'!C474=1,'Grille de saisie'!BZ474=0),1,IF(AND('Grille de saisie'!C474="",'Grille de saisie'!BZ474=""),3,IF(AND('Grille de saisie'!C474=5),3,2)))</f>
        <v>3</v>
      </c>
      <c r="CP474" s="236">
        <f>IF(AND('Grille de saisie'!C474=1,'Grille de saisie'!BZ474=0),1,IF(AND('Grille de saisie'!C474=1,'Grille de saisie'!BZ474=1),2,IF(AND('Grille de saisie'!C474=2,'Grille de saisie'!BZ474=0),2,IF(AND('Grille de saisie'!C474=3,'Grille de saisie'!BZ474=0),3,IF(AND('Grille de saisie'!C474=2,'Grille de saisie'!BZ474=1),3,IF(AND('Grille de saisie'!C474=1,'Grille de saisie'!BZ474=2),3,IF(AND('Grille de saisie'!C474="",'Grille de saisie'!BZ474=""),5,IF(AND('Grille de saisie'!C474=5),5,4))))))))</f>
        <v>5</v>
      </c>
      <c r="CQ474" s="237">
        <f>IF('Grille de saisie'!BZ474="",3,IF('Grille de saisie'!C474=5,3,IF('Grille de saisie'!BZ474=0,1,2)))</f>
        <v>3</v>
      </c>
    </row>
    <row r="475" spans="1:95" ht="15">
      <c r="A475" s="510">
        <v>473</v>
      </c>
      <c r="B475" s="240"/>
      <c r="C475" s="513"/>
      <c r="D475" s="240"/>
      <c r="E475" s="517"/>
      <c r="F475" s="265"/>
      <c r="G475" s="513"/>
      <c r="H475" s="265"/>
      <c r="I475" s="520"/>
      <c r="J475" s="241"/>
      <c r="K475" s="520"/>
      <c r="L475" s="241"/>
      <c r="M475" s="521"/>
      <c r="N475" s="241"/>
      <c r="O475" s="521"/>
      <c r="P475" s="241"/>
      <c r="Q475" s="520"/>
      <c r="R475" s="241"/>
      <c r="S475" s="520"/>
      <c r="T475" s="241"/>
      <c r="U475" s="520"/>
      <c r="V475" s="241"/>
      <c r="W475" s="242"/>
      <c r="X475" s="241"/>
      <c r="Y475" s="242"/>
      <c r="Z475" s="241"/>
      <c r="AA475" s="241"/>
      <c r="AB475" s="275"/>
      <c r="AC475" s="524"/>
      <c r="AD475" s="241"/>
      <c r="AE475" s="241"/>
      <c r="AF475" s="241"/>
      <c r="AG475" s="241"/>
      <c r="AH475" s="241"/>
      <c r="AI475" s="241"/>
      <c r="AJ475" s="529"/>
      <c r="AK475" s="258"/>
      <c r="AL475" s="241"/>
      <c r="AM475" s="242"/>
      <c r="AN475" s="241"/>
      <c r="AO475" s="242"/>
      <c r="AP475" s="241"/>
      <c r="AQ475" s="242"/>
      <c r="AR475" s="241"/>
      <c r="AS475" s="242"/>
      <c r="AT475" s="241"/>
      <c r="AU475" s="241"/>
      <c r="AV475" s="256"/>
      <c r="AW475" s="241"/>
      <c r="AX475" s="256"/>
      <c r="AY475" s="241"/>
      <c r="AZ475" s="256"/>
      <c r="BA475" s="239"/>
      <c r="BB475" s="242"/>
      <c r="BC475" s="239"/>
      <c r="BD475" s="242"/>
      <c r="BE475" s="239"/>
      <c r="BF475" s="241"/>
      <c r="BG475" s="239"/>
      <c r="BH475" s="241"/>
      <c r="BI475" s="260"/>
      <c r="BJ475" s="241"/>
      <c r="BK475" s="260"/>
      <c r="BL475" s="239"/>
      <c r="BM475" s="256"/>
      <c r="BN475" s="241"/>
      <c r="BO475" s="243"/>
      <c r="BP475" s="241"/>
      <c r="BQ475" s="239"/>
      <c r="BR475" s="276"/>
      <c r="BS475" s="256"/>
      <c r="BT475" s="260"/>
      <c r="BU475" s="261"/>
      <c r="BV475" s="260"/>
      <c r="BW475" s="239"/>
      <c r="BX475" s="260"/>
      <c r="BY475" s="260"/>
      <c r="BZ475" s="239"/>
      <c r="CA475" s="260"/>
      <c r="CB475" s="239"/>
      <c r="CC475" s="260"/>
      <c r="CD475" s="539"/>
      <c r="CE475" s="239"/>
      <c r="CF475" s="276"/>
      <c r="CG475" s="256"/>
      <c r="CH475" s="259"/>
      <c r="CI475" s="347"/>
      <c r="CJ475" s="540"/>
      <c r="CK475" s="256"/>
      <c r="CL475" s="244">
        <v>1</v>
      </c>
      <c r="CM475" s="274">
        <f t="shared" si="7"/>
        <v>2015</v>
      </c>
      <c r="CN475" s="244">
        <f>IF('Grille de saisie'!CM475&lt;18,0,IF('Grille de saisie'!CM475&lt;40,1,IF('Grille de saisie'!CM475&lt;65,2,IF('Grille de saisie'!CM475&lt;100,3,4))))</f>
        <v>4</v>
      </c>
      <c r="CO475" s="236">
        <f>IF(AND('Grille de saisie'!C475=1,'Grille de saisie'!BZ475=0),1,IF(AND('Grille de saisie'!C475="",'Grille de saisie'!BZ475=""),3,IF(AND('Grille de saisie'!C475=5),3,2)))</f>
        <v>3</v>
      </c>
      <c r="CP475" s="236">
        <f>IF(AND('Grille de saisie'!C475=1,'Grille de saisie'!BZ475=0),1,IF(AND('Grille de saisie'!C475=1,'Grille de saisie'!BZ475=1),2,IF(AND('Grille de saisie'!C475=2,'Grille de saisie'!BZ475=0),2,IF(AND('Grille de saisie'!C475=3,'Grille de saisie'!BZ475=0),3,IF(AND('Grille de saisie'!C475=2,'Grille de saisie'!BZ475=1),3,IF(AND('Grille de saisie'!C475=1,'Grille de saisie'!BZ475=2),3,IF(AND('Grille de saisie'!C475="",'Grille de saisie'!BZ475=""),5,IF(AND('Grille de saisie'!C475=5),5,4))))))))</f>
        <v>5</v>
      </c>
      <c r="CQ475" s="237">
        <f>IF('Grille de saisie'!BZ475="",3,IF('Grille de saisie'!C475=5,3,IF('Grille de saisie'!BZ475=0,1,2)))</f>
        <v>3</v>
      </c>
    </row>
    <row r="476" spans="1:95" ht="15">
      <c r="A476" s="510">
        <v>474</v>
      </c>
      <c r="B476" s="240"/>
      <c r="C476" s="513"/>
      <c r="D476" s="240"/>
      <c r="E476" s="517"/>
      <c r="F476" s="265"/>
      <c r="G476" s="513"/>
      <c r="H476" s="265"/>
      <c r="I476" s="520"/>
      <c r="J476" s="241"/>
      <c r="K476" s="520"/>
      <c r="L476" s="241"/>
      <c r="M476" s="521"/>
      <c r="N476" s="241"/>
      <c r="O476" s="521"/>
      <c r="P476" s="241"/>
      <c r="Q476" s="520"/>
      <c r="R476" s="241"/>
      <c r="S476" s="520"/>
      <c r="T476" s="241"/>
      <c r="U476" s="520"/>
      <c r="V476" s="241"/>
      <c r="W476" s="242"/>
      <c r="X476" s="241"/>
      <c r="Y476" s="242"/>
      <c r="Z476" s="241"/>
      <c r="AA476" s="241"/>
      <c r="AB476" s="275"/>
      <c r="AC476" s="524"/>
      <c r="AD476" s="241"/>
      <c r="AE476" s="241"/>
      <c r="AF476" s="241"/>
      <c r="AG476" s="241"/>
      <c r="AH476" s="241"/>
      <c r="AI476" s="241"/>
      <c r="AJ476" s="529"/>
      <c r="AK476" s="258"/>
      <c r="AL476" s="241"/>
      <c r="AM476" s="242"/>
      <c r="AN476" s="241"/>
      <c r="AO476" s="242"/>
      <c r="AP476" s="241"/>
      <c r="AQ476" s="242"/>
      <c r="AR476" s="241"/>
      <c r="AS476" s="242"/>
      <c r="AT476" s="241"/>
      <c r="AU476" s="241"/>
      <c r="AV476" s="256"/>
      <c r="AW476" s="241"/>
      <c r="AX476" s="256"/>
      <c r="AY476" s="241"/>
      <c r="AZ476" s="256"/>
      <c r="BA476" s="239"/>
      <c r="BB476" s="242"/>
      <c r="BC476" s="239"/>
      <c r="BD476" s="242"/>
      <c r="BE476" s="239"/>
      <c r="BF476" s="241"/>
      <c r="BG476" s="239"/>
      <c r="BH476" s="241"/>
      <c r="BI476" s="260"/>
      <c r="BJ476" s="241"/>
      <c r="BK476" s="260"/>
      <c r="BL476" s="239"/>
      <c r="BM476" s="256"/>
      <c r="BN476" s="241"/>
      <c r="BO476" s="243"/>
      <c r="BP476" s="241"/>
      <c r="BQ476" s="239"/>
      <c r="BR476" s="276"/>
      <c r="BS476" s="256"/>
      <c r="BT476" s="260"/>
      <c r="BU476" s="261"/>
      <c r="BV476" s="260"/>
      <c r="BW476" s="239"/>
      <c r="BX476" s="260"/>
      <c r="BY476" s="260"/>
      <c r="BZ476" s="239"/>
      <c r="CA476" s="260"/>
      <c r="CB476" s="239"/>
      <c r="CC476" s="260"/>
      <c r="CD476" s="539"/>
      <c r="CE476" s="239"/>
      <c r="CF476" s="276"/>
      <c r="CG476" s="256"/>
      <c r="CH476" s="259"/>
      <c r="CI476" s="347"/>
      <c r="CJ476" s="540"/>
      <c r="CK476" s="256"/>
      <c r="CL476" s="244">
        <v>1</v>
      </c>
      <c r="CM476" s="274">
        <f t="shared" si="7"/>
        <v>2015</v>
      </c>
      <c r="CN476" s="244">
        <f>IF('Grille de saisie'!CM476&lt;18,0,IF('Grille de saisie'!CM476&lt;40,1,IF('Grille de saisie'!CM476&lt;65,2,IF('Grille de saisie'!CM476&lt;100,3,4))))</f>
        <v>4</v>
      </c>
      <c r="CO476" s="236">
        <f>IF(AND('Grille de saisie'!C476=1,'Grille de saisie'!BZ476=0),1,IF(AND('Grille de saisie'!C476="",'Grille de saisie'!BZ476=""),3,IF(AND('Grille de saisie'!C476=5),3,2)))</f>
        <v>3</v>
      </c>
      <c r="CP476" s="236">
        <f>IF(AND('Grille de saisie'!C476=1,'Grille de saisie'!BZ476=0),1,IF(AND('Grille de saisie'!C476=1,'Grille de saisie'!BZ476=1),2,IF(AND('Grille de saisie'!C476=2,'Grille de saisie'!BZ476=0),2,IF(AND('Grille de saisie'!C476=3,'Grille de saisie'!BZ476=0),3,IF(AND('Grille de saisie'!C476=2,'Grille de saisie'!BZ476=1),3,IF(AND('Grille de saisie'!C476=1,'Grille de saisie'!BZ476=2),3,IF(AND('Grille de saisie'!C476="",'Grille de saisie'!BZ476=""),5,IF(AND('Grille de saisie'!C476=5),5,4))))))))</f>
        <v>5</v>
      </c>
      <c r="CQ476" s="237">
        <f>IF('Grille de saisie'!BZ476="",3,IF('Grille de saisie'!C476=5,3,IF('Grille de saisie'!BZ476=0,1,2)))</f>
        <v>3</v>
      </c>
    </row>
    <row r="477" spans="1:95" ht="15">
      <c r="A477" s="511">
        <v>475</v>
      </c>
      <c r="B477" s="240"/>
      <c r="C477" s="513"/>
      <c r="D477" s="240"/>
      <c r="E477" s="517"/>
      <c r="F477" s="265"/>
      <c r="G477" s="513"/>
      <c r="H477" s="265"/>
      <c r="I477" s="520"/>
      <c r="J477" s="241"/>
      <c r="K477" s="520"/>
      <c r="L477" s="241"/>
      <c r="M477" s="521"/>
      <c r="N477" s="241"/>
      <c r="O477" s="521"/>
      <c r="P477" s="241"/>
      <c r="Q477" s="520"/>
      <c r="R477" s="241"/>
      <c r="S477" s="520"/>
      <c r="T477" s="241"/>
      <c r="U477" s="520"/>
      <c r="V477" s="241"/>
      <c r="W477" s="242"/>
      <c r="X477" s="241"/>
      <c r="Y477" s="242"/>
      <c r="Z477" s="241"/>
      <c r="AA477" s="241"/>
      <c r="AB477" s="275"/>
      <c r="AC477" s="524"/>
      <c r="AD477" s="241"/>
      <c r="AE477" s="241"/>
      <c r="AF477" s="241"/>
      <c r="AG477" s="241"/>
      <c r="AH477" s="241"/>
      <c r="AI477" s="241"/>
      <c r="AJ477" s="529"/>
      <c r="AK477" s="258"/>
      <c r="AL477" s="241"/>
      <c r="AM477" s="242"/>
      <c r="AN477" s="241"/>
      <c r="AO477" s="242"/>
      <c r="AP477" s="241"/>
      <c r="AQ477" s="242"/>
      <c r="AR477" s="241"/>
      <c r="AS477" s="242"/>
      <c r="AT477" s="241"/>
      <c r="AU477" s="241"/>
      <c r="AV477" s="256"/>
      <c r="AW477" s="241"/>
      <c r="AX477" s="256"/>
      <c r="AY477" s="241"/>
      <c r="AZ477" s="256"/>
      <c r="BA477" s="239"/>
      <c r="BB477" s="242"/>
      <c r="BC477" s="239"/>
      <c r="BD477" s="242"/>
      <c r="BE477" s="239"/>
      <c r="BF477" s="241"/>
      <c r="BG477" s="239"/>
      <c r="BH477" s="241"/>
      <c r="BI477" s="260"/>
      <c r="BJ477" s="241"/>
      <c r="BK477" s="260"/>
      <c r="BL477" s="239"/>
      <c r="BM477" s="256"/>
      <c r="BN477" s="241"/>
      <c r="BO477" s="243"/>
      <c r="BP477" s="241"/>
      <c r="BQ477" s="239"/>
      <c r="BR477" s="276"/>
      <c r="BS477" s="256"/>
      <c r="BT477" s="260"/>
      <c r="BU477" s="261"/>
      <c r="BV477" s="260"/>
      <c r="BW477" s="239"/>
      <c r="BX477" s="260"/>
      <c r="BY477" s="260"/>
      <c r="BZ477" s="239"/>
      <c r="CA477" s="260"/>
      <c r="CB477" s="239"/>
      <c r="CC477" s="260"/>
      <c r="CD477" s="539"/>
      <c r="CE477" s="239"/>
      <c r="CF477" s="276"/>
      <c r="CG477" s="256"/>
      <c r="CH477" s="259"/>
      <c r="CI477" s="347"/>
      <c r="CJ477" s="540"/>
      <c r="CK477" s="256"/>
      <c r="CL477" s="244">
        <v>1</v>
      </c>
      <c r="CM477" s="274">
        <f t="shared" si="7"/>
        <v>2015</v>
      </c>
      <c r="CN477" s="244">
        <f>IF('Grille de saisie'!CM477&lt;18,0,IF('Grille de saisie'!CM477&lt;40,1,IF('Grille de saisie'!CM477&lt;65,2,IF('Grille de saisie'!CM477&lt;100,3,4))))</f>
        <v>4</v>
      </c>
      <c r="CO477" s="236">
        <f>IF(AND('Grille de saisie'!C477=1,'Grille de saisie'!BZ477=0),1,IF(AND('Grille de saisie'!C477="",'Grille de saisie'!BZ477=""),3,IF(AND('Grille de saisie'!C477=5),3,2)))</f>
        <v>3</v>
      </c>
      <c r="CP477" s="236">
        <f>IF(AND('Grille de saisie'!C477=1,'Grille de saisie'!BZ477=0),1,IF(AND('Grille de saisie'!C477=1,'Grille de saisie'!BZ477=1),2,IF(AND('Grille de saisie'!C477=2,'Grille de saisie'!BZ477=0),2,IF(AND('Grille de saisie'!C477=3,'Grille de saisie'!BZ477=0),3,IF(AND('Grille de saisie'!C477=2,'Grille de saisie'!BZ477=1),3,IF(AND('Grille de saisie'!C477=1,'Grille de saisie'!BZ477=2),3,IF(AND('Grille de saisie'!C477="",'Grille de saisie'!BZ477=""),5,IF(AND('Grille de saisie'!C477=5),5,4))))))))</f>
        <v>5</v>
      </c>
      <c r="CQ477" s="237">
        <f>IF('Grille de saisie'!BZ477="",3,IF('Grille de saisie'!C477=5,3,IF('Grille de saisie'!BZ477=0,1,2)))</f>
        <v>3</v>
      </c>
    </row>
    <row r="478" spans="1:95" ht="15">
      <c r="A478" s="510">
        <v>476</v>
      </c>
      <c r="B478" s="240"/>
      <c r="C478" s="513"/>
      <c r="D478" s="240"/>
      <c r="E478" s="517"/>
      <c r="F478" s="265"/>
      <c r="G478" s="513"/>
      <c r="H478" s="265"/>
      <c r="I478" s="520"/>
      <c r="J478" s="241"/>
      <c r="K478" s="520"/>
      <c r="L478" s="241"/>
      <c r="M478" s="521"/>
      <c r="N478" s="241"/>
      <c r="O478" s="521"/>
      <c r="P478" s="241"/>
      <c r="Q478" s="520"/>
      <c r="R478" s="241"/>
      <c r="S478" s="520"/>
      <c r="T478" s="241"/>
      <c r="U478" s="520"/>
      <c r="V478" s="241"/>
      <c r="W478" s="242"/>
      <c r="X478" s="241"/>
      <c r="Y478" s="242"/>
      <c r="Z478" s="241"/>
      <c r="AA478" s="241"/>
      <c r="AB478" s="275"/>
      <c r="AC478" s="524"/>
      <c r="AD478" s="241"/>
      <c r="AE478" s="241"/>
      <c r="AF478" s="241"/>
      <c r="AG478" s="241"/>
      <c r="AH478" s="241"/>
      <c r="AI478" s="241"/>
      <c r="AJ478" s="529"/>
      <c r="AK478" s="258"/>
      <c r="AL478" s="241"/>
      <c r="AM478" s="242"/>
      <c r="AN478" s="241"/>
      <c r="AO478" s="242"/>
      <c r="AP478" s="241"/>
      <c r="AQ478" s="242"/>
      <c r="AR478" s="241"/>
      <c r="AS478" s="242"/>
      <c r="AT478" s="241"/>
      <c r="AU478" s="241"/>
      <c r="AV478" s="256"/>
      <c r="AW478" s="241"/>
      <c r="AX478" s="256"/>
      <c r="AY478" s="241"/>
      <c r="AZ478" s="256"/>
      <c r="BA478" s="239"/>
      <c r="BB478" s="242"/>
      <c r="BC478" s="239"/>
      <c r="BD478" s="242"/>
      <c r="BE478" s="239"/>
      <c r="BF478" s="241"/>
      <c r="BG478" s="239"/>
      <c r="BH478" s="241"/>
      <c r="BI478" s="260"/>
      <c r="BJ478" s="241"/>
      <c r="BK478" s="260"/>
      <c r="BL478" s="239"/>
      <c r="BM478" s="256"/>
      <c r="BN478" s="241"/>
      <c r="BO478" s="243"/>
      <c r="BP478" s="241"/>
      <c r="BQ478" s="239"/>
      <c r="BR478" s="276"/>
      <c r="BS478" s="256"/>
      <c r="BT478" s="260"/>
      <c r="BU478" s="261"/>
      <c r="BV478" s="260"/>
      <c r="BW478" s="239"/>
      <c r="BX478" s="260"/>
      <c r="BY478" s="260"/>
      <c r="BZ478" s="239"/>
      <c r="CA478" s="260"/>
      <c r="CB478" s="239"/>
      <c r="CC478" s="260"/>
      <c r="CD478" s="539"/>
      <c r="CE478" s="239"/>
      <c r="CF478" s="276"/>
      <c r="CG478" s="256"/>
      <c r="CH478" s="259"/>
      <c r="CI478" s="347"/>
      <c r="CJ478" s="540"/>
      <c r="CK478" s="256"/>
      <c r="CL478" s="244">
        <v>1</v>
      </c>
      <c r="CM478" s="274">
        <f t="shared" si="7"/>
        <v>2015</v>
      </c>
      <c r="CN478" s="244">
        <f>IF('Grille de saisie'!CM478&lt;18,0,IF('Grille de saisie'!CM478&lt;40,1,IF('Grille de saisie'!CM478&lt;65,2,IF('Grille de saisie'!CM478&lt;100,3,4))))</f>
        <v>4</v>
      </c>
      <c r="CO478" s="236">
        <f>IF(AND('Grille de saisie'!C478=1,'Grille de saisie'!BZ478=0),1,IF(AND('Grille de saisie'!C478="",'Grille de saisie'!BZ478=""),3,IF(AND('Grille de saisie'!C478=5),3,2)))</f>
        <v>3</v>
      </c>
      <c r="CP478" s="236">
        <f>IF(AND('Grille de saisie'!C478=1,'Grille de saisie'!BZ478=0),1,IF(AND('Grille de saisie'!C478=1,'Grille de saisie'!BZ478=1),2,IF(AND('Grille de saisie'!C478=2,'Grille de saisie'!BZ478=0),2,IF(AND('Grille de saisie'!C478=3,'Grille de saisie'!BZ478=0),3,IF(AND('Grille de saisie'!C478=2,'Grille de saisie'!BZ478=1),3,IF(AND('Grille de saisie'!C478=1,'Grille de saisie'!BZ478=2),3,IF(AND('Grille de saisie'!C478="",'Grille de saisie'!BZ478=""),5,IF(AND('Grille de saisie'!C478=5),5,4))))))))</f>
        <v>5</v>
      </c>
      <c r="CQ478" s="237">
        <f>IF('Grille de saisie'!BZ478="",3,IF('Grille de saisie'!C478=5,3,IF('Grille de saisie'!BZ478=0,1,2)))</f>
        <v>3</v>
      </c>
    </row>
    <row r="479" spans="1:95" ht="15">
      <c r="A479" s="510">
        <v>477</v>
      </c>
      <c r="B479" s="240"/>
      <c r="C479" s="513"/>
      <c r="D479" s="240"/>
      <c r="E479" s="517"/>
      <c r="F479" s="265"/>
      <c r="G479" s="513"/>
      <c r="H479" s="265"/>
      <c r="I479" s="520"/>
      <c r="J479" s="241"/>
      <c r="K479" s="520"/>
      <c r="L479" s="241"/>
      <c r="M479" s="521"/>
      <c r="N479" s="241"/>
      <c r="O479" s="521"/>
      <c r="P479" s="241"/>
      <c r="Q479" s="520"/>
      <c r="R479" s="241"/>
      <c r="S479" s="520"/>
      <c r="T479" s="241"/>
      <c r="U479" s="520"/>
      <c r="V479" s="241"/>
      <c r="W479" s="242"/>
      <c r="X479" s="241"/>
      <c r="Y479" s="242"/>
      <c r="Z479" s="241"/>
      <c r="AA479" s="241"/>
      <c r="AB479" s="275"/>
      <c r="AC479" s="524"/>
      <c r="AD479" s="241"/>
      <c r="AE479" s="241"/>
      <c r="AF479" s="241"/>
      <c r="AG479" s="241"/>
      <c r="AH479" s="241"/>
      <c r="AI479" s="241"/>
      <c r="AJ479" s="529"/>
      <c r="AK479" s="258"/>
      <c r="AL479" s="241"/>
      <c r="AM479" s="242"/>
      <c r="AN479" s="241"/>
      <c r="AO479" s="242"/>
      <c r="AP479" s="241"/>
      <c r="AQ479" s="242"/>
      <c r="AR479" s="241"/>
      <c r="AS479" s="242"/>
      <c r="AT479" s="241"/>
      <c r="AU479" s="241"/>
      <c r="AV479" s="256"/>
      <c r="AW479" s="241"/>
      <c r="AX479" s="256"/>
      <c r="AY479" s="241"/>
      <c r="AZ479" s="256"/>
      <c r="BA479" s="239"/>
      <c r="BB479" s="242"/>
      <c r="BC479" s="239"/>
      <c r="BD479" s="242"/>
      <c r="BE479" s="239"/>
      <c r="BF479" s="241"/>
      <c r="BG479" s="239"/>
      <c r="BH479" s="241"/>
      <c r="BI479" s="260"/>
      <c r="BJ479" s="241"/>
      <c r="BK479" s="260"/>
      <c r="BL479" s="239"/>
      <c r="BM479" s="256"/>
      <c r="BN479" s="241"/>
      <c r="BO479" s="243"/>
      <c r="BP479" s="241"/>
      <c r="BQ479" s="239"/>
      <c r="BR479" s="276"/>
      <c r="BS479" s="256"/>
      <c r="BT479" s="260"/>
      <c r="BU479" s="261"/>
      <c r="BV479" s="260"/>
      <c r="BW479" s="239"/>
      <c r="BX479" s="260"/>
      <c r="BY479" s="260"/>
      <c r="BZ479" s="239"/>
      <c r="CA479" s="260"/>
      <c r="CB479" s="239"/>
      <c r="CC479" s="260"/>
      <c r="CD479" s="539"/>
      <c r="CE479" s="239"/>
      <c r="CF479" s="276"/>
      <c r="CG479" s="256"/>
      <c r="CH479" s="259"/>
      <c r="CI479" s="347"/>
      <c r="CJ479" s="540"/>
      <c r="CK479" s="256"/>
      <c r="CL479" s="244">
        <v>1</v>
      </c>
      <c r="CM479" s="274">
        <f t="shared" si="7"/>
        <v>2015</v>
      </c>
      <c r="CN479" s="244">
        <f>IF('Grille de saisie'!CM479&lt;18,0,IF('Grille de saisie'!CM479&lt;40,1,IF('Grille de saisie'!CM479&lt;65,2,IF('Grille de saisie'!CM479&lt;100,3,4))))</f>
        <v>4</v>
      </c>
      <c r="CO479" s="236">
        <f>IF(AND('Grille de saisie'!C479=1,'Grille de saisie'!BZ479=0),1,IF(AND('Grille de saisie'!C479="",'Grille de saisie'!BZ479=""),3,IF(AND('Grille de saisie'!C479=5),3,2)))</f>
        <v>3</v>
      </c>
      <c r="CP479" s="236">
        <f>IF(AND('Grille de saisie'!C479=1,'Grille de saisie'!BZ479=0),1,IF(AND('Grille de saisie'!C479=1,'Grille de saisie'!BZ479=1),2,IF(AND('Grille de saisie'!C479=2,'Grille de saisie'!BZ479=0),2,IF(AND('Grille de saisie'!C479=3,'Grille de saisie'!BZ479=0),3,IF(AND('Grille de saisie'!C479=2,'Grille de saisie'!BZ479=1),3,IF(AND('Grille de saisie'!C479=1,'Grille de saisie'!BZ479=2),3,IF(AND('Grille de saisie'!C479="",'Grille de saisie'!BZ479=""),5,IF(AND('Grille de saisie'!C479=5),5,4))))))))</f>
        <v>5</v>
      </c>
      <c r="CQ479" s="237">
        <f>IF('Grille de saisie'!BZ479="",3,IF('Grille de saisie'!C479=5,3,IF('Grille de saisie'!BZ479=0,1,2)))</f>
        <v>3</v>
      </c>
    </row>
    <row r="480" spans="1:95" ht="15">
      <c r="A480" s="511">
        <v>478</v>
      </c>
      <c r="B480" s="240"/>
      <c r="C480" s="513"/>
      <c r="D480" s="240"/>
      <c r="E480" s="517"/>
      <c r="F480" s="265"/>
      <c r="G480" s="513"/>
      <c r="H480" s="265"/>
      <c r="I480" s="520"/>
      <c r="J480" s="241"/>
      <c r="K480" s="520"/>
      <c r="L480" s="241"/>
      <c r="M480" s="521"/>
      <c r="N480" s="241"/>
      <c r="O480" s="521"/>
      <c r="P480" s="241"/>
      <c r="Q480" s="520"/>
      <c r="R480" s="241"/>
      <c r="S480" s="520"/>
      <c r="T480" s="241"/>
      <c r="U480" s="520"/>
      <c r="V480" s="241"/>
      <c r="W480" s="242"/>
      <c r="X480" s="241"/>
      <c r="Y480" s="242"/>
      <c r="Z480" s="241"/>
      <c r="AA480" s="241"/>
      <c r="AB480" s="275"/>
      <c r="AC480" s="524"/>
      <c r="AD480" s="241"/>
      <c r="AE480" s="241"/>
      <c r="AF480" s="241"/>
      <c r="AG480" s="241"/>
      <c r="AH480" s="241"/>
      <c r="AI480" s="241"/>
      <c r="AJ480" s="529"/>
      <c r="AK480" s="258"/>
      <c r="AL480" s="241"/>
      <c r="AM480" s="242"/>
      <c r="AN480" s="241"/>
      <c r="AO480" s="242"/>
      <c r="AP480" s="241"/>
      <c r="AQ480" s="242"/>
      <c r="AR480" s="241"/>
      <c r="AS480" s="242"/>
      <c r="AT480" s="241"/>
      <c r="AU480" s="241"/>
      <c r="AV480" s="256"/>
      <c r="AW480" s="241"/>
      <c r="AX480" s="256"/>
      <c r="AY480" s="241"/>
      <c r="AZ480" s="256"/>
      <c r="BA480" s="239"/>
      <c r="BB480" s="242"/>
      <c r="BC480" s="239"/>
      <c r="BD480" s="242"/>
      <c r="BE480" s="239"/>
      <c r="BF480" s="241"/>
      <c r="BG480" s="239"/>
      <c r="BH480" s="241"/>
      <c r="BI480" s="260"/>
      <c r="BJ480" s="241"/>
      <c r="BK480" s="260"/>
      <c r="BL480" s="239"/>
      <c r="BM480" s="256"/>
      <c r="BN480" s="241"/>
      <c r="BO480" s="243"/>
      <c r="BP480" s="241"/>
      <c r="BQ480" s="239"/>
      <c r="BR480" s="276"/>
      <c r="BS480" s="256"/>
      <c r="BT480" s="260"/>
      <c r="BU480" s="261"/>
      <c r="BV480" s="260"/>
      <c r="BW480" s="239"/>
      <c r="BX480" s="260"/>
      <c r="BY480" s="260"/>
      <c r="BZ480" s="239"/>
      <c r="CA480" s="260"/>
      <c r="CB480" s="239"/>
      <c r="CC480" s="260"/>
      <c r="CD480" s="539"/>
      <c r="CE480" s="239"/>
      <c r="CF480" s="276"/>
      <c r="CG480" s="256"/>
      <c r="CH480" s="259"/>
      <c r="CI480" s="347"/>
      <c r="CJ480" s="540"/>
      <c r="CK480" s="256"/>
      <c r="CL480" s="244">
        <v>1</v>
      </c>
      <c r="CM480" s="274">
        <f t="shared" si="7"/>
        <v>2015</v>
      </c>
      <c r="CN480" s="244">
        <f>IF('Grille de saisie'!CM480&lt;18,0,IF('Grille de saisie'!CM480&lt;40,1,IF('Grille de saisie'!CM480&lt;65,2,IF('Grille de saisie'!CM480&lt;100,3,4))))</f>
        <v>4</v>
      </c>
      <c r="CO480" s="236">
        <f>IF(AND('Grille de saisie'!C480=1,'Grille de saisie'!BZ480=0),1,IF(AND('Grille de saisie'!C480="",'Grille de saisie'!BZ480=""),3,IF(AND('Grille de saisie'!C480=5),3,2)))</f>
        <v>3</v>
      </c>
      <c r="CP480" s="236">
        <f>IF(AND('Grille de saisie'!C480=1,'Grille de saisie'!BZ480=0),1,IF(AND('Grille de saisie'!C480=1,'Grille de saisie'!BZ480=1),2,IF(AND('Grille de saisie'!C480=2,'Grille de saisie'!BZ480=0),2,IF(AND('Grille de saisie'!C480=3,'Grille de saisie'!BZ480=0),3,IF(AND('Grille de saisie'!C480=2,'Grille de saisie'!BZ480=1),3,IF(AND('Grille de saisie'!C480=1,'Grille de saisie'!BZ480=2),3,IF(AND('Grille de saisie'!C480="",'Grille de saisie'!BZ480=""),5,IF(AND('Grille de saisie'!C480=5),5,4))))))))</f>
        <v>5</v>
      </c>
      <c r="CQ480" s="237">
        <f>IF('Grille de saisie'!BZ480="",3,IF('Grille de saisie'!C480=5,3,IF('Grille de saisie'!BZ480=0,1,2)))</f>
        <v>3</v>
      </c>
    </row>
    <row r="481" spans="1:95" ht="15">
      <c r="A481" s="510">
        <v>479</v>
      </c>
      <c r="B481" s="240"/>
      <c r="C481" s="513"/>
      <c r="D481" s="240"/>
      <c r="E481" s="517"/>
      <c r="F481" s="265"/>
      <c r="G481" s="513"/>
      <c r="H481" s="265"/>
      <c r="I481" s="520"/>
      <c r="J481" s="241"/>
      <c r="K481" s="520"/>
      <c r="L481" s="241"/>
      <c r="M481" s="521"/>
      <c r="N481" s="241"/>
      <c r="O481" s="521"/>
      <c r="P481" s="241"/>
      <c r="Q481" s="520"/>
      <c r="R481" s="241"/>
      <c r="S481" s="520"/>
      <c r="T481" s="241"/>
      <c r="U481" s="520"/>
      <c r="V481" s="241"/>
      <c r="W481" s="242"/>
      <c r="X481" s="241"/>
      <c r="Y481" s="242"/>
      <c r="Z481" s="241"/>
      <c r="AA481" s="241"/>
      <c r="AB481" s="275"/>
      <c r="AC481" s="524"/>
      <c r="AD481" s="241"/>
      <c r="AE481" s="241"/>
      <c r="AF481" s="241"/>
      <c r="AG481" s="241"/>
      <c r="AH481" s="241"/>
      <c r="AI481" s="241"/>
      <c r="AJ481" s="529"/>
      <c r="AK481" s="258"/>
      <c r="AL481" s="241"/>
      <c r="AM481" s="242"/>
      <c r="AN481" s="241"/>
      <c r="AO481" s="242"/>
      <c r="AP481" s="241"/>
      <c r="AQ481" s="242"/>
      <c r="AR481" s="241"/>
      <c r="AS481" s="242"/>
      <c r="AT481" s="241"/>
      <c r="AU481" s="241"/>
      <c r="AV481" s="256"/>
      <c r="AW481" s="241"/>
      <c r="AX481" s="256"/>
      <c r="AY481" s="241"/>
      <c r="AZ481" s="256"/>
      <c r="BA481" s="239"/>
      <c r="BB481" s="242"/>
      <c r="BC481" s="239"/>
      <c r="BD481" s="242"/>
      <c r="BE481" s="239"/>
      <c r="BF481" s="241"/>
      <c r="BG481" s="239"/>
      <c r="BH481" s="241"/>
      <c r="BI481" s="260"/>
      <c r="BJ481" s="241"/>
      <c r="BK481" s="260"/>
      <c r="BL481" s="239"/>
      <c r="BM481" s="256"/>
      <c r="BN481" s="241"/>
      <c r="BO481" s="243"/>
      <c r="BP481" s="241"/>
      <c r="BQ481" s="239"/>
      <c r="BR481" s="276"/>
      <c r="BS481" s="256"/>
      <c r="BT481" s="260"/>
      <c r="BU481" s="261"/>
      <c r="BV481" s="260"/>
      <c r="BW481" s="239"/>
      <c r="BX481" s="260"/>
      <c r="BY481" s="260"/>
      <c r="BZ481" s="239"/>
      <c r="CA481" s="260"/>
      <c r="CB481" s="239"/>
      <c r="CC481" s="260"/>
      <c r="CD481" s="539"/>
      <c r="CE481" s="239"/>
      <c r="CF481" s="276"/>
      <c r="CG481" s="256"/>
      <c r="CH481" s="259"/>
      <c r="CI481" s="347"/>
      <c r="CJ481" s="540"/>
      <c r="CK481" s="256"/>
      <c r="CL481" s="244">
        <v>1</v>
      </c>
      <c r="CM481" s="274">
        <f t="shared" si="7"/>
        <v>2015</v>
      </c>
      <c r="CN481" s="244">
        <f>IF('Grille de saisie'!CM481&lt;18,0,IF('Grille de saisie'!CM481&lt;40,1,IF('Grille de saisie'!CM481&lt;65,2,IF('Grille de saisie'!CM481&lt;100,3,4))))</f>
        <v>4</v>
      </c>
      <c r="CO481" s="236">
        <f>IF(AND('Grille de saisie'!C481=1,'Grille de saisie'!BZ481=0),1,IF(AND('Grille de saisie'!C481="",'Grille de saisie'!BZ481=""),3,IF(AND('Grille de saisie'!C481=5),3,2)))</f>
        <v>3</v>
      </c>
      <c r="CP481" s="236">
        <f>IF(AND('Grille de saisie'!C481=1,'Grille de saisie'!BZ481=0),1,IF(AND('Grille de saisie'!C481=1,'Grille de saisie'!BZ481=1),2,IF(AND('Grille de saisie'!C481=2,'Grille de saisie'!BZ481=0),2,IF(AND('Grille de saisie'!C481=3,'Grille de saisie'!BZ481=0),3,IF(AND('Grille de saisie'!C481=2,'Grille de saisie'!BZ481=1),3,IF(AND('Grille de saisie'!C481=1,'Grille de saisie'!BZ481=2),3,IF(AND('Grille de saisie'!C481="",'Grille de saisie'!BZ481=""),5,IF(AND('Grille de saisie'!C481=5),5,4))))))))</f>
        <v>5</v>
      </c>
      <c r="CQ481" s="237">
        <f>IF('Grille de saisie'!BZ481="",3,IF('Grille de saisie'!C481=5,3,IF('Grille de saisie'!BZ481=0,1,2)))</f>
        <v>3</v>
      </c>
    </row>
    <row r="482" spans="1:95" ht="15">
      <c r="A482" s="510">
        <v>480</v>
      </c>
      <c r="B482" s="240"/>
      <c r="C482" s="513"/>
      <c r="D482" s="240"/>
      <c r="E482" s="517"/>
      <c r="F482" s="265"/>
      <c r="G482" s="513"/>
      <c r="H482" s="265"/>
      <c r="I482" s="520"/>
      <c r="J482" s="241"/>
      <c r="K482" s="520"/>
      <c r="L482" s="241"/>
      <c r="M482" s="521"/>
      <c r="N482" s="241"/>
      <c r="O482" s="521"/>
      <c r="P482" s="241"/>
      <c r="Q482" s="520"/>
      <c r="R482" s="241"/>
      <c r="S482" s="520"/>
      <c r="T482" s="241"/>
      <c r="U482" s="520"/>
      <c r="V482" s="241"/>
      <c r="W482" s="242"/>
      <c r="X482" s="241"/>
      <c r="Y482" s="242"/>
      <c r="Z482" s="241"/>
      <c r="AA482" s="241"/>
      <c r="AB482" s="275"/>
      <c r="AC482" s="524"/>
      <c r="AD482" s="241"/>
      <c r="AE482" s="241"/>
      <c r="AF482" s="241"/>
      <c r="AG482" s="241"/>
      <c r="AH482" s="241"/>
      <c r="AI482" s="241"/>
      <c r="AJ482" s="529"/>
      <c r="AK482" s="258"/>
      <c r="AL482" s="241"/>
      <c r="AM482" s="242"/>
      <c r="AN482" s="241"/>
      <c r="AO482" s="242"/>
      <c r="AP482" s="241"/>
      <c r="AQ482" s="242"/>
      <c r="AR482" s="241"/>
      <c r="AS482" s="242"/>
      <c r="AT482" s="241"/>
      <c r="AU482" s="241"/>
      <c r="AV482" s="256"/>
      <c r="AW482" s="241"/>
      <c r="AX482" s="256"/>
      <c r="AY482" s="241"/>
      <c r="AZ482" s="256"/>
      <c r="BA482" s="239"/>
      <c r="BB482" s="242"/>
      <c r="BC482" s="239"/>
      <c r="BD482" s="242"/>
      <c r="BE482" s="239"/>
      <c r="BF482" s="241"/>
      <c r="BG482" s="239"/>
      <c r="BH482" s="241"/>
      <c r="BI482" s="260"/>
      <c r="BJ482" s="241"/>
      <c r="BK482" s="260"/>
      <c r="BL482" s="239"/>
      <c r="BM482" s="256"/>
      <c r="BN482" s="241"/>
      <c r="BO482" s="243"/>
      <c r="BP482" s="241"/>
      <c r="BQ482" s="239"/>
      <c r="BR482" s="276"/>
      <c r="BS482" s="256"/>
      <c r="BT482" s="260"/>
      <c r="BU482" s="261"/>
      <c r="BV482" s="260"/>
      <c r="BW482" s="239"/>
      <c r="BX482" s="260"/>
      <c r="BY482" s="260"/>
      <c r="BZ482" s="239"/>
      <c r="CA482" s="260"/>
      <c r="CB482" s="239"/>
      <c r="CC482" s="260"/>
      <c r="CD482" s="539"/>
      <c r="CE482" s="239"/>
      <c r="CF482" s="276"/>
      <c r="CG482" s="256"/>
      <c r="CH482" s="259"/>
      <c r="CI482" s="347"/>
      <c r="CJ482" s="540"/>
      <c r="CK482" s="256"/>
      <c r="CL482" s="244">
        <v>1</v>
      </c>
      <c r="CM482" s="274">
        <f t="shared" si="7"/>
        <v>2015</v>
      </c>
      <c r="CN482" s="244">
        <f>IF('Grille de saisie'!CM482&lt;18,0,IF('Grille de saisie'!CM482&lt;40,1,IF('Grille de saisie'!CM482&lt;65,2,IF('Grille de saisie'!CM482&lt;100,3,4))))</f>
        <v>4</v>
      </c>
      <c r="CO482" s="236">
        <f>IF(AND('Grille de saisie'!C482=1,'Grille de saisie'!BZ482=0),1,IF(AND('Grille de saisie'!C482="",'Grille de saisie'!BZ482=""),3,IF(AND('Grille de saisie'!C482=5),3,2)))</f>
        <v>3</v>
      </c>
      <c r="CP482" s="236">
        <f>IF(AND('Grille de saisie'!C482=1,'Grille de saisie'!BZ482=0),1,IF(AND('Grille de saisie'!C482=1,'Grille de saisie'!BZ482=1),2,IF(AND('Grille de saisie'!C482=2,'Grille de saisie'!BZ482=0),2,IF(AND('Grille de saisie'!C482=3,'Grille de saisie'!BZ482=0),3,IF(AND('Grille de saisie'!C482=2,'Grille de saisie'!BZ482=1),3,IF(AND('Grille de saisie'!C482=1,'Grille de saisie'!BZ482=2),3,IF(AND('Grille de saisie'!C482="",'Grille de saisie'!BZ482=""),5,IF(AND('Grille de saisie'!C482=5),5,4))))))))</f>
        <v>5</v>
      </c>
      <c r="CQ482" s="237">
        <f>IF('Grille de saisie'!BZ482="",3,IF('Grille de saisie'!C482=5,3,IF('Grille de saisie'!BZ482=0,1,2)))</f>
        <v>3</v>
      </c>
    </row>
    <row r="483" spans="1:95" ht="15">
      <c r="A483" s="511">
        <v>481</v>
      </c>
      <c r="B483" s="240"/>
      <c r="C483" s="513"/>
      <c r="D483" s="240"/>
      <c r="E483" s="517"/>
      <c r="F483" s="265"/>
      <c r="G483" s="513"/>
      <c r="H483" s="265"/>
      <c r="I483" s="520"/>
      <c r="J483" s="241"/>
      <c r="K483" s="520"/>
      <c r="L483" s="241"/>
      <c r="M483" s="521"/>
      <c r="N483" s="241"/>
      <c r="O483" s="521"/>
      <c r="P483" s="241"/>
      <c r="Q483" s="520"/>
      <c r="R483" s="241"/>
      <c r="S483" s="520"/>
      <c r="T483" s="241"/>
      <c r="U483" s="520"/>
      <c r="V483" s="241"/>
      <c r="W483" s="242"/>
      <c r="X483" s="241"/>
      <c r="Y483" s="242"/>
      <c r="Z483" s="241"/>
      <c r="AA483" s="241"/>
      <c r="AB483" s="275"/>
      <c r="AC483" s="524"/>
      <c r="AD483" s="241"/>
      <c r="AE483" s="241"/>
      <c r="AF483" s="241"/>
      <c r="AG483" s="241"/>
      <c r="AH483" s="241"/>
      <c r="AI483" s="241"/>
      <c r="AJ483" s="529"/>
      <c r="AK483" s="258"/>
      <c r="AL483" s="241"/>
      <c r="AM483" s="242"/>
      <c r="AN483" s="241"/>
      <c r="AO483" s="242"/>
      <c r="AP483" s="241"/>
      <c r="AQ483" s="242"/>
      <c r="AR483" s="241"/>
      <c r="AS483" s="242"/>
      <c r="AT483" s="241"/>
      <c r="AU483" s="241"/>
      <c r="AV483" s="256"/>
      <c r="AW483" s="241"/>
      <c r="AX483" s="256"/>
      <c r="AY483" s="241"/>
      <c r="AZ483" s="256"/>
      <c r="BA483" s="239"/>
      <c r="BB483" s="242"/>
      <c r="BC483" s="239"/>
      <c r="BD483" s="242"/>
      <c r="BE483" s="239"/>
      <c r="BF483" s="241"/>
      <c r="BG483" s="239"/>
      <c r="BH483" s="241"/>
      <c r="BI483" s="260"/>
      <c r="BJ483" s="241"/>
      <c r="BK483" s="260"/>
      <c r="BL483" s="239"/>
      <c r="BM483" s="256"/>
      <c r="BN483" s="241"/>
      <c r="BO483" s="243"/>
      <c r="BP483" s="241"/>
      <c r="BQ483" s="239"/>
      <c r="BR483" s="276"/>
      <c r="BS483" s="256"/>
      <c r="BT483" s="260"/>
      <c r="BU483" s="261"/>
      <c r="BV483" s="260"/>
      <c r="BW483" s="239"/>
      <c r="BX483" s="260"/>
      <c r="BY483" s="260"/>
      <c r="BZ483" s="239"/>
      <c r="CA483" s="260"/>
      <c r="CB483" s="239"/>
      <c r="CC483" s="260"/>
      <c r="CD483" s="539"/>
      <c r="CE483" s="239"/>
      <c r="CF483" s="276"/>
      <c r="CG483" s="256"/>
      <c r="CH483" s="259"/>
      <c r="CI483" s="347"/>
      <c r="CJ483" s="540"/>
      <c r="CK483" s="256"/>
      <c r="CL483" s="244">
        <v>1</v>
      </c>
      <c r="CM483" s="274">
        <f t="shared" si="7"/>
        <v>2015</v>
      </c>
      <c r="CN483" s="244">
        <f>IF('Grille de saisie'!CM483&lt;18,0,IF('Grille de saisie'!CM483&lt;40,1,IF('Grille de saisie'!CM483&lt;65,2,IF('Grille de saisie'!CM483&lt;100,3,4))))</f>
        <v>4</v>
      </c>
      <c r="CO483" s="236">
        <f>IF(AND('Grille de saisie'!C483=1,'Grille de saisie'!BZ483=0),1,IF(AND('Grille de saisie'!C483="",'Grille de saisie'!BZ483=""),3,IF(AND('Grille de saisie'!C483=5),3,2)))</f>
        <v>3</v>
      </c>
      <c r="CP483" s="236">
        <f>IF(AND('Grille de saisie'!C483=1,'Grille de saisie'!BZ483=0),1,IF(AND('Grille de saisie'!C483=1,'Grille de saisie'!BZ483=1),2,IF(AND('Grille de saisie'!C483=2,'Grille de saisie'!BZ483=0),2,IF(AND('Grille de saisie'!C483=3,'Grille de saisie'!BZ483=0),3,IF(AND('Grille de saisie'!C483=2,'Grille de saisie'!BZ483=1),3,IF(AND('Grille de saisie'!C483=1,'Grille de saisie'!BZ483=2),3,IF(AND('Grille de saisie'!C483="",'Grille de saisie'!BZ483=""),5,IF(AND('Grille de saisie'!C483=5),5,4))))))))</f>
        <v>5</v>
      </c>
      <c r="CQ483" s="237">
        <f>IF('Grille de saisie'!BZ483="",3,IF('Grille de saisie'!C483=5,3,IF('Grille de saisie'!BZ483=0,1,2)))</f>
        <v>3</v>
      </c>
    </row>
    <row r="484" spans="1:95" ht="15">
      <c r="A484" s="510">
        <v>482</v>
      </c>
      <c r="B484" s="240"/>
      <c r="C484" s="513"/>
      <c r="D484" s="240"/>
      <c r="E484" s="517"/>
      <c r="F484" s="265"/>
      <c r="G484" s="513"/>
      <c r="H484" s="265"/>
      <c r="I484" s="520"/>
      <c r="J484" s="241"/>
      <c r="K484" s="520"/>
      <c r="L484" s="241"/>
      <c r="M484" s="521"/>
      <c r="N484" s="241"/>
      <c r="O484" s="521"/>
      <c r="P484" s="241"/>
      <c r="Q484" s="520"/>
      <c r="R484" s="241"/>
      <c r="S484" s="520"/>
      <c r="T484" s="241"/>
      <c r="U484" s="520"/>
      <c r="V484" s="241"/>
      <c r="W484" s="242"/>
      <c r="X484" s="241"/>
      <c r="Y484" s="242"/>
      <c r="Z484" s="241"/>
      <c r="AA484" s="241"/>
      <c r="AB484" s="275"/>
      <c r="AC484" s="524"/>
      <c r="AD484" s="241"/>
      <c r="AE484" s="241"/>
      <c r="AF484" s="241"/>
      <c r="AG484" s="241"/>
      <c r="AH484" s="241"/>
      <c r="AI484" s="241"/>
      <c r="AJ484" s="529"/>
      <c r="AK484" s="258"/>
      <c r="AL484" s="241"/>
      <c r="AM484" s="242"/>
      <c r="AN484" s="241"/>
      <c r="AO484" s="242"/>
      <c r="AP484" s="241"/>
      <c r="AQ484" s="242"/>
      <c r="AR484" s="241"/>
      <c r="AS484" s="242"/>
      <c r="AT484" s="241"/>
      <c r="AU484" s="241"/>
      <c r="AV484" s="256"/>
      <c r="AW484" s="241"/>
      <c r="AX484" s="256"/>
      <c r="AY484" s="241"/>
      <c r="AZ484" s="256"/>
      <c r="BA484" s="239"/>
      <c r="BB484" s="242"/>
      <c r="BC484" s="239"/>
      <c r="BD484" s="242"/>
      <c r="BE484" s="239"/>
      <c r="BF484" s="241"/>
      <c r="BG484" s="239"/>
      <c r="BH484" s="241"/>
      <c r="BI484" s="260"/>
      <c r="BJ484" s="241"/>
      <c r="BK484" s="260"/>
      <c r="BL484" s="239"/>
      <c r="BM484" s="256"/>
      <c r="BN484" s="241"/>
      <c r="BO484" s="243"/>
      <c r="BP484" s="241"/>
      <c r="BQ484" s="239"/>
      <c r="BR484" s="276"/>
      <c r="BS484" s="256"/>
      <c r="BT484" s="260"/>
      <c r="BU484" s="261"/>
      <c r="BV484" s="260"/>
      <c r="BW484" s="239"/>
      <c r="BX484" s="260"/>
      <c r="BY484" s="260"/>
      <c r="BZ484" s="239"/>
      <c r="CA484" s="260"/>
      <c r="CB484" s="239"/>
      <c r="CC484" s="260"/>
      <c r="CD484" s="539"/>
      <c r="CE484" s="239"/>
      <c r="CF484" s="276"/>
      <c r="CG484" s="256"/>
      <c r="CH484" s="259"/>
      <c r="CI484" s="347"/>
      <c r="CJ484" s="540"/>
      <c r="CK484" s="256"/>
      <c r="CL484" s="244">
        <v>1</v>
      </c>
      <c r="CM484" s="274">
        <f t="shared" si="7"/>
        <v>2015</v>
      </c>
      <c r="CN484" s="244">
        <f>IF('Grille de saisie'!CM484&lt;18,0,IF('Grille de saisie'!CM484&lt;40,1,IF('Grille de saisie'!CM484&lt;65,2,IF('Grille de saisie'!CM484&lt;100,3,4))))</f>
        <v>4</v>
      </c>
      <c r="CO484" s="236">
        <f>IF(AND('Grille de saisie'!C484=1,'Grille de saisie'!BZ484=0),1,IF(AND('Grille de saisie'!C484="",'Grille de saisie'!BZ484=""),3,IF(AND('Grille de saisie'!C484=5),3,2)))</f>
        <v>3</v>
      </c>
      <c r="CP484" s="236">
        <f>IF(AND('Grille de saisie'!C484=1,'Grille de saisie'!BZ484=0),1,IF(AND('Grille de saisie'!C484=1,'Grille de saisie'!BZ484=1),2,IF(AND('Grille de saisie'!C484=2,'Grille de saisie'!BZ484=0),2,IF(AND('Grille de saisie'!C484=3,'Grille de saisie'!BZ484=0),3,IF(AND('Grille de saisie'!C484=2,'Grille de saisie'!BZ484=1),3,IF(AND('Grille de saisie'!C484=1,'Grille de saisie'!BZ484=2),3,IF(AND('Grille de saisie'!C484="",'Grille de saisie'!BZ484=""),5,IF(AND('Grille de saisie'!C484=5),5,4))))))))</f>
        <v>5</v>
      </c>
      <c r="CQ484" s="237">
        <f>IF('Grille de saisie'!BZ484="",3,IF('Grille de saisie'!C484=5,3,IF('Grille de saisie'!BZ484=0,1,2)))</f>
        <v>3</v>
      </c>
    </row>
    <row r="485" spans="1:95" ht="15">
      <c r="A485" s="510">
        <v>483</v>
      </c>
      <c r="B485" s="240"/>
      <c r="C485" s="513"/>
      <c r="D485" s="240"/>
      <c r="E485" s="517"/>
      <c r="F485" s="265"/>
      <c r="G485" s="513"/>
      <c r="H485" s="265"/>
      <c r="I485" s="520"/>
      <c r="J485" s="241"/>
      <c r="K485" s="520"/>
      <c r="L485" s="241"/>
      <c r="M485" s="521"/>
      <c r="N485" s="241"/>
      <c r="O485" s="521"/>
      <c r="P485" s="241"/>
      <c r="Q485" s="520"/>
      <c r="R485" s="241"/>
      <c r="S485" s="520"/>
      <c r="T485" s="241"/>
      <c r="U485" s="520"/>
      <c r="V485" s="241"/>
      <c r="W485" s="242"/>
      <c r="X485" s="241"/>
      <c r="Y485" s="242"/>
      <c r="Z485" s="241"/>
      <c r="AA485" s="241"/>
      <c r="AB485" s="275"/>
      <c r="AC485" s="524"/>
      <c r="AD485" s="241"/>
      <c r="AE485" s="241"/>
      <c r="AF485" s="241"/>
      <c r="AG485" s="241"/>
      <c r="AH485" s="241"/>
      <c r="AI485" s="241"/>
      <c r="AJ485" s="529"/>
      <c r="AK485" s="258"/>
      <c r="AL485" s="241"/>
      <c r="AM485" s="242"/>
      <c r="AN485" s="241"/>
      <c r="AO485" s="242"/>
      <c r="AP485" s="241"/>
      <c r="AQ485" s="242"/>
      <c r="AR485" s="241"/>
      <c r="AS485" s="242"/>
      <c r="AT485" s="241"/>
      <c r="AU485" s="241"/>
      <c r="AV485" s="256"/>
      <c r="AW485" s="241"/>
      <c r="AX485" s="256"/>
      <c r="AY485" s="241"/>
      <c r="AZ485" s="256"/>
      <c r="BA485" s="239"/>
      <c r="BB485" s="242"/>
      <c r="BC485" s="239"/>
      <c r="BD485" s="242"/>
      <c r="BE485" s="239"/>
      <c r="BF485" s="241"/>
      <c r="BG485" s="239"/>
      <c r="BH485" s="241"/>
      <c r="BI485" s="260"/>
      <c r="BJ485" s="241"/>
      <c r="BK485" s="260"/>
      <c r="BL485" s="239"/>
      <c r="BM485" s="256"/>
      <c r="BN485" s="241"/>
      <c r="BO485" s="243"/>
      <c r="BP485" s="241"/>
      <c r="BQ485" s="239"/>
      <c r="BR485" s="276"/>
      <c r="BS485" s="256"/>
      <c r="BT485" s="260"/>
      <c r="BU485" s="261"/>
      <c r="BV485" s="260"/>
      <c r="BW485" s="239"/>
      <c r="BX485" s="260"/>
      <c r="BY485" s="260"/>
      <c r="BZ485" s="239"/>
      <c r="CA485" s="260"/>
      <c r="CB485" s="239"/>
      <c r="CC485" s="260"/>
      <c r="CD485" s="539"/>
      <c r="CE485" s="239"/>
      <c r="CF485" s="276"/>
      <c r="CG485" s="256"/>
      <c r="CH485" s="259"/>
      <c r="CI485" s="347"/>
      <c r="CJ485" s="540"/>
      <c r="CK485" s="256"/>
      <c r="CL485" s="244">
        <v>1</v>
      </c>
      <c r="CM485" s="274">
        <f t="shared" si="7"/>
        <v>2015</v>
      </c>
      <c r="CN485" s="244">
        <f>IF('Grille de saisie'!CM485&lt;18,0,IF('Grille de saisie'!CM485&lt;40,1,IF('Grille de saisie'!CM485&lt;65,2,IF('Grille de saisie'!CM485&lt;100,3,4))))</f>
        <v>4</v>
      </c>
      <c r="CO485" s="236">
        <f>IF(AND('Grille de saisie'!C485=1,'Grille de saisie'!BZ485=0),1,IF(AND('Grille de saisie'!C485="",'Grille de saisie'!BZ485=""),3,IF(AND('Grille de saisie'!C485=5),3,2)))</f>
        <v>3</v>
      </c>
      <c r="CP485" s="236">
        <f>IF(AND('Grille de saisie'!C485=1,'Grille de saisie'!BZ485=0),1,IF(AND('Grille de saisie'!C485=1,'Grille de saisie'!BZ485=1),2,IF(AND('Grille de saisie'!C485=2,'Grille de saisie'!BZ485=0),2,IF(AND('Grille de saisie'!C485=3,'Grille de saisie'!BZ485=0),3,IF(AND('Grille de saisie'!C485=2,'Grille de saisie'!BZ485=1),3,IF(AND('Grille de saisie'!C485=1,'Grille de saisie'!BZ485=2),3,IF(AND('Grille de saisie'!C485="",'Grille de saisie'!BZ485=""),5,IF(AND('Grille de saisie'!C485=5),5,4))))))))</f>
        <v>5</v>
      </c>
      <c r="CQ485" s="237">
        <f>IF('Grille de saisie'!BZ485="",3,IF('Grille de saisie'!C485=5,3,IF('Grille de saisie'!BZ485=0,1,2)))</f>
        <v>3</v>
      </c>
    </row>
    <row r="486" spans="1:95" ht="15">
      <c r="A486" s="511">
        <v>484</v>
      </c>
      <c r="B486" s="240"/>
      <c r="C486" s="513"/>
      <c r="D486" s="240"/>
      <c r="E486" s="517"/>
      <c r="F486" s="265"/>
      <c r="G486" s="513"/>
      <c r="H486" s="265"/>
      <c r="I486" s="520"/>
      <c r="J486" s="241"/>
      <c r="K486" s="520"/>
      <c r="L486" s="241"/>
      <c r="M486" s="521"/>
      <c r="N486" s="241"/>
      <c r="O486" s="521"/>
      <c r="P486" s="241"/>
      <c r="Q486" s="520"/>
      <c r="R486" s="241"/>
      <c r="S486" s="520"/>
      <c r="T486" s="241"/>
      <c r="U486" s="520"/>
      <c r="V486" s="241"/>
      <c r="W486" s="242"/>
      <c r="X486" s="241"/>
      <c r="Y486" s="242"/>
      <c r="Z486" s="241"/>
      <c r="AA486" s="241"/>
      <c r="AB486" s="275"/>
      <c r="AC486" s="524"/>
      <c r="AD486" s="241"/>
      <c r="AE486" s="241"/>
      <c r="AF486" s="241"/>
      <c r="AG486" s="241"/>
      <c r="AH486" s="241"/>
      <c r="AI486" s="241"/>
      <c r="AJ486" s="529"/>
      <c r="AK486" s="258"/>
      <c r="AL486" s="241"/>
      <c r="AM486" s="242"/>
      <c r="AN486" s="241"/>
      <c r="AO486" s="242"/>
      <c r="AP486" s="241"/>
      <c r="AQ486" s="242"/>
      <c r="AR486" s="241"/>
      <c r="AS486" s="242"/>
      <c r="AT486" s="241"/>
      <c r="AU486" s="241"/>
      <c r="AV486" s="256"/>
      <c r="AW486" s="241"/>
      <c r="AX486" s="256"/>
      <c r="AY486" s="241"/>
      <c r="AZ486" s="256"/>
      <c r="BA486" s="239"/>
      <c r="BB486" s="242"/>
      <c r="BC486" s="239"/>
      <c r="BD486" s="242"/>
      <c r="BE486" s="239"/>
      <c r="BF486" s="241"/>
      <c r="BG486" s="239"/>
      <c r="BH486" s="241"/>
      <c r="BI486" s="260"/>
      <c r="BJ486" s="241"/>
      <c r="BK486" s="260"/>
      <c r="BL486" s="239"/>
      <c r="BM486" s="256"/>
      <c r="BN486" s="241"/>
      <c r="BO486" s="243"/>
      <c r="BP486" s="241"/>
      <c r="BQ486" s="239"/>
      <c r="BR486" s="276"/>
      <c r="BS486" s="256"/>
      <c r="BT486" s="260"/>
      <c r="BU486" s="261"/>
      <c r="BV486" s="260"/>
      <c r="BW486" s="239"/>
      <c r="BX486" s="260"/>
      <c r="BY486" s="260"/>
      <c r="BZ486" s="239"/>
      <c r="CA486" s="260"/>
      <c r="CB486" s="239"/>
      <c r="CC486" s="260"/>
      <c r="CD486" s="539"/>
      <c r="CE486" s="239"/>
      <c r="CF486" s="276"/>
      <c r="CG486" s="256"/>
      <c r="CH486" s="259"/>
      <c r="CI486" s="347"/>
      <c r="CJ486" s="540"/>
      <c r="CK486" s="256"/>
      <c r="CL486" s="244">
        <v>1</v>
      </c>
      <c r="CM486" s="274">
        <f t="shared" si="7"/>
        <v>2015</v>
      </c>
      <c r="CN486" s="244">
        <f>IF('Grille de saisie'!CM486&lt;18,0,IF('Grille de saisie'!CM486&lt;40,1,IF('Grille de saisie'!CM486&lt;65,2,IF('Grille de saisie'!CM486&lt;100,3,4))))</f>
        <v>4</v>
      </c>
      <c r="CO486" s="236">
        <f>IF(AND('Grille de saisie'!C486=1,'Grille de saisie'!BZ486=0),1,IF(AND('Grille de saisie'!C486="",'Grille de saisie'!BZ486=""),3,IF(AND('Grille de saisie'!C486=5),3,2)))</f>
        <v>3</v>
      </c>
      <c r="CP486" s="236">
        <f>IF(AND('Grille de saisie'!C486=1,'Grille de saisie'!BZ486=0),1,IF(AND('Grille de saisie'!C486=1,'Grille de saisie'!BZ486=1),2,IF(AND('Grille de saisie'!C486=2,'Grille de saisie'!BZ486=0),2,IF(AND('Grille de saisie'!C486=3,'Grille de saisie'!BZ486=0),3,IF(AND('Grille de saisie'!C486=2,'Grille de saisie'!BZ486=1),3,IF(AND('Grille de saisie'!C486=1,'Grille de saisie'!BZ486=2),3,IF(AND('Grille de saisie'!C486="",'Grille de saisie'!BZ486=""),5,IF(AND('Grille de saisie'!C486=5),5,4))))))))</f>
        <v>5</v>
      </c>
      <c r="CQ486" s="237">
        <f>IF('Grille de saisie'!BZ486="",3,IF('Grille de saisie'!C486=5,3,IF('Grille de saisie'!BZ486=0,1,2)))</f>
        <v>3</v>
      </c>
    </row>
    <row r="487" spans="1:95" ht="15">
      <c r="A487" s="510">
        <v>485</v>
      </c>
      <c r="B487" s="240"/>
      <c r="C487" s="513"/>
      <c r="D487" s="240"/>
      <c r="E487" s="517"/>
      <c r="F487" s="265"/>
      <c r="G487" s="513"/>
      <c r="H487" s="265"/>
      <c r="I487" s="520"/>
      <c r="J487" s="241"/>
      <c r="K487" s="520"/>
      <c r="L487" s="241"/>
      <c r="M487" s="521"/>
      <c r="N487" s="241"/>
      <c r="O487" s="521"/>
      <c r="P487" s="241"/>
      <c r="Q487" s="520"/>
      <c r="R487" s="241"/>
      <c r="S487" s="520"/>
      <c r="T487" s="241"/>
      <c r="U487" s="520"/>
      <c r="V487" s="241"/>
      <c r="W487" s="242"/>
      <c r="X487" s="241"/>
      <c r="Y487" s="242"/>
      <c r="Z487" s="241"/>
      <c r="AA487" s="241"/>
      <c r="AB487" s="275"/>
      <c r="AC487" s="524"/>
      <c r="AD487" s="241"/>
      <c r="AE487" s="241"/>
      <c r="AF487" s="241"/>
      <c r="AG487" s="241"/>
      <c r="AH487" s="241"/>
      <c r="AI487" s="241"/>
      <c r="AJ487" s="529"/>
      <c r="AK487" s="258"/>
      <c r="AL487" s="241"/>
      <c r="AM487" s="242"/>
      <c r="AN487" s="241"/>
      <c r="AO487" s="242"/>
      <c r="AP487" s="241"/>
      <c r="AQ487" s="242"/>
      <c r="AR487" s="241"/>
      <c r="AS487" s="242"/>
      <c r="AT487" s="241"/>
      <c r="AU487" s="241"/>
      <c r="AV487" s="256"/>
      <c r="AW487" s="241"/>
      <c r="AX487" s="256"/>
      <c r="AY487" s="241"/>
      <c r="AZ487" s="256"/>
      <c r="BA487" s="239"/>
      <c r="BB487" s="242"/>
      <c r="BC487" s="239"/>
      <c r="BD487" s="242"/>
      <c r="BE487" s="239"/>
      <c r="BF487" s="241"/>
      <c r="BG487" s="239"/>
      <c r="BH487" s="241"/>
      <c r="BI487" s="260"/>
      <c r="BJ487" s="241"/>
      <c r="BK487" s="260"/>
      <c r="BL487" s="239"/>
      <c r="BM487" s="256"/>
      <c r="BN487" s="241"/>
      <c r="BO487" s="243"/>
      <c r="BP487" s="241"/>
      <c r="BQ487" s="239"/>
      <c r="BR487" s="276"/>
      <c r="BS487" s="256"/>
      <c r="BT487" s="260"/>
      <c r="BU487" s="261"/>
      <c r="BV487" s="260"/>
      <c r="BW487" s="239"/>
      <c r="BX487" s="260"/>
      <c r="BY487" s="260"/>
      <c r="BZ487" s="239"/>
      <c r="CA487" s="260"/>
      <c r="CB487" s="239"/>
      <c r="CC487" s="260"/>
      <c r="CD487" s="539"/>
      <c r="CE487" s="239"/>
      <c r="CF487" s="276"/>
      <c r="CG487" s="256"/>
      <c r="CH487" s="259"/>
      <c r="CI487" s="347"/>
      <c r="CJ487" s="540"/>
      <c r="CK487" s="256"/>
      <c r="CL487" s="244">
        <v>1</v>
      </c>
      <c r="CM487" s="274">
        <f t="shared" si="7"/>
        <v>2015</v>
      </c>
      <c r="CN487" s="244">
        <f>IF('Grille de saisie'!CM487&lt;18,0,IF('Grille de saisie'!CM487&lt;40,1,IF('Grille de saisie'!CM487&lt;65,2,IF('Grille de saisie'!CM487&lt;100,3,4))))</f>
        <v>4</v>
      </c>
      <c r="CO487" s="236">
        <f>IF(AND('Grille de saisie'!C487=1,'Grille de saisie'!BZ487=0),1,IF(AND('Grille de saisie'!C487="",'Grille de saisie'!BZ487=""),3,IF(AND('Grille de saisie'!C487=5),3,2)))</f>
        <v>3</v>
      </c>
      <c r="CP487" s="236">
        <f>IF(AND('Grille de saisie'!C487=1,'Grille de saisie'!BZ487=0),1,IF(AND('Grille de saisie'!C487=1,'Grille de saisie'!BZ487=1),2,IF(AND('Grille de saisie'!C487=2,'Grille de saisie'!BZ487=0),2,IF(AND('Grille de saisie'!C487=3,'Grille de saisie'!BZ487=0),3,IF(AND('Grille de saisie'!C487=2,'Grille de saisie'!BZ487=1),3,IF(AND('Grille de saisie'!C487=1,'Grille de saisie'!BZ487=2),3,IF(AND('Grille de saisie'!C487="",'Grille de saisie'!BZ487=""),5,IF(AND('Grille de saisie'!C487=5),5,4))))))))</f>
        <v>5</v>
      </c>
      <c r="CQ487" s="237">
        <f>IF('Grille de saisie'!BZ487="",3,IF('Grille de saisie'!C487=5,3,IF('Grille de saisie'!BZ487=0,1,2)))</f>
        <v>3</v>
      </c>
    </row>
    <row r="488" spans="1:95" ht="15">
      <c r="A488" s="510">
        <v>486</v>
      </c>
      <c r="B488" s="240"/>
      <c r="C488" s="513"/>
      <c r="D488" s="240"/>
      <c r="E488" s="517"/>
      <c r="F488" s="265"/>
      <c r="G488" s="513"/>
      <c r="H488" s="265"/>
      <c r="I488" s="520"/>
      <c r="J488" s="241"/>
      <c r="K488" s="520"/>
      <c r="L488" s="241"/>
      <c r="M488" s="521"/>
      <c r="N488" s="241"/>
      <c r="O488" s="521"/>
      <c r="P488" s="241"/>
      <c r="Q488" s="520"/>
      <c r="R488" s="241"/>
      <c r="S488" s="520"/>
      <c r="T488" s="241"/>
      <c r="U488" s="520"/>
      <c r="V488" s="241"/>
      <c r="W488" s="242"/>
      <c r="X488" s="241"/>
      <c r="Y488" s="242"/>
      <c r="Z488" s="241"/>
      <c r="AA488" s="241"/>
      <c r="AB488" s="275"/>
      <c r="AC488" s="524"/>
      <c r="AD488" s="241"/>
      <c r="AE488" s="241"/>
      <c r="AF488" s="241"/>
      <c r="AG488" s="241"/>
      <c r="AH488" s="241"/>
      <c r="AI488" s="241"/>
      <c r="AJ488" s="529"/>
      <c r="AK488" s="258"/>
      <c r="AL488" s="241"/>
      <c r="AM488" s="242"/>
      <c r="AN488" s="241"/>
      <c r="AO488" s="242"/>
      <c r="AP488" s="241"/>
      <c r="AQ488" s="242"/>
      <c r="AR488" s="241"/>
      <c r="AS488" s="242"/>
      <c r="AT488" s="241"/>
      <c r="AU488" s="241"/>
      <c r="AV488" s="256"/>
      <c r="AW488" s="241"/>
      <c r="AX488" s="256"/>
      <c r="AY488" s="241"/>
      <c r="AZ488" s="256"/>
      <c r="BA488" s="239"/>
      <c r="BB488" s="242"/>
      <c r="BC488" s="239"/>
      <c r="BD488" s="242"/>
      <c r="BE488" s="239"/>
      <c r="BF488" s="241"/>
      <c r="BG488" s="239"/>
      <c r="BH488" s="241"/>
      <c r="BI488" s="260"/>
      <c r="BJ488" s="241"/>
      <c r="BK488" s="260"/>
      <c r="BL488" s="239"/>
      <c r="BM488" s="256"/>
      <c r="BN488" s="241"/>
      <c r="BO488" s="243"/>
      <c r="BP488" s="241"/>
      <c r="BQ488" s="239"/>
      <c r="BR488" s="276"/>
      <c r="BS488" s="256"/>
      <c r="BT488" s="260"/>
      <c r="BU488" s="261"/>
      <c r="BV488" s="260"/>
      <c r="BW488" s="239"/>
      <c r="BX488" s="260"/>
      <c r="BY488" s="260"/>
      <c r="BZ488" s="239"/>
      <c r="CA488" s="260"/>
      <c r="CB488" s="239"/>
      <c r="CC488" s="260"/>
      <c r="CD488" s="539"/>
      <c r="CE488" s="239"/>
      <c r="CF488" s="276"/>
      <c r="CG488" s="256"/>
      <c r="CH488" s="259"/>
      <c r="CI488" s="347"/>
      <c r="CJ488" s="540"/>
      <c r="CK488" s="256"/>
      <c r="CL488" s="244">
        <v>1</v>
      </c>
      <c r="CM488" s="274">
        <f t="shared" si="7"/>
        <v>2015</v>
      </c>
      <c r="CN488" s="244">
        <f>IF('Grille de saisie'!CM488&lt;18,0,IF('Grille de saisie'!CM488&lt;40,1,IF('Grille de saisie'!CM488&lt;65,2,IF('Grille de saisie'!CM488&lt;100,3,4))))</f>
        <v>4</v>
      </c>
      <c r="CO488" s="236">
        <f>IF(AND('Grille de saisie'!C488=1,'Grille de saisie'!BZ488=0),1,IF(AND('Grille de saisie'!C488="",'Grille de saisie'!BZ488=""),3,IF(AND('Grille de saisie'!C488=5),3,2)))</f>
        <v>3</v>
      </c>
      <c r="CP488" s="236">
        <f>IF(AND('Grille de saisie'!C488=1,'Grille de saisie'!BZ488=0),1,IF(AND('Grille de saisie'!C488=1,'Grille de saisie'!BZ488=1),2,IF(AND('Grille de saisie'!C488=2,'Grille de saisie'!BZ488=0),2,IF(AND('Grille de saisie'!C488=3,'Grille de saisie'!BZ488=0),3,IF(AND('Grille de saisie'!C488=2,'Grille de saisie'!BZ488=1),3,IF(AND('Grille de saisie'!C488=1,'Grille de saisie'!BZ488=2),3,IF(AND('Grille de saisie'!C488="",'Grille de saisie'!BZ488=""),5,IF(AND('Grille de saisie'!C488=5),5,4))))))))</f>
        <v>5</v>
      </c>
      <c r="CQ488" s="237">
        <f>IF('Grille de saisie'!BZ488="",3,IF('Grille de saisie'!C488=5,3,IF('Grille de saisie'!BZ488=0,1,2)))</f>
        <v>3</v>
      </c>
    </row>
    <row r="489" spans="1:95" ht="15">
      <c r="A489" s="511">
        <v>487</v>
      </c>
      <c r="B489" s="240"/>
      <c r="C489" s="513"/>
      <c r="D489" s="240"/>
      <c r="E489" s="517"/>
      <c r="F489" s="265"/>
      <c r="G489" s="513"/>
      <c r="H489" s="265"/>
      <c r="I489" s="520"/>
      <c r="J489" s="241"/>
      <c r="K489" s="520"/>
      <c r="L489" s="241"/>
      <c r="M489" s="521"/>
      <c r="N489" s="241"/>
      <c r="O489" s="521"/>
      <c r="P489" s="241"/>
      <c r="Q489" s="520"/>
      <c r="R489" s="241"/>
      <c r="S489" s="520"/>
      <c r="T489" s="241"/>
      <c r="U489" s="520"/>
      <c r="V489" s="241"/>
      <c r="W489" s="242"/>
      <c r="X489" s="241"/>
      <c r="Y489" s="242"/>
      <c r="Z489" s="241"/>
      <c r="AA489" s="241"/>
      <c r="AB489" s="275"/>
      <c r="AC489" s="524"/>
      <c r="AD489" s="241"/>
      <c r="AE489" s="241"/>
      <c r="AF489" s="241"/>
      <c r="AG489" s="241"/>
      <c r="AH489" s="241"/>
      <c r="AI489" s="241"/>
      <c r="AJ489" s="529"/>
      <c r="AK489" s="258"/>
      <c r="AL489" s="241"/>
      <c r="AM489" s="242"/>
      <c r="AN489" s="241"/>
      <c r="AO489" s="242"/>
      <c r="AP489" s="241"/>
      <c r="AQ489" s="242"/>
      <c r="AR489" s="241"/>
      <c r="AS489" s="242"/>
      <c r="AT489" s="241"/>
      <c r="AU489" s="241"/>
      <c r="AV489" s="256"/>
      <c r="AW489" s="241"/>
      <c r="AX489" s="256"/>
      <c r="AY489" s="241"/>
      <c r="AZ489" s="256"/>
      <c r="BA489" s="239"/>
      <c r="BB489" s="242"/>
      <c r="BC489" s="239"/>
      <c r="BD489" s="242"/>
      <c r="BE489" s="239"/>
      <c r="BF489" s="241"/>
      <c r="BG489" s="239"/>
      <c r="BH489" s="241"/>
      <c r="BI489" s="260"/>
      <c r="BJ489" s="241"/>
      <c r="BK489" s="260"/>
      <c r="BL489" s="239"/>
      <c r="BM489" s="256"/>
      <c r="BN489" s="241"/>
      <c r="BO489" s="243"/>
      <c r="BP489" s="241"/>
      <c r="BQ489" s="239"/>
      <c r="BR489" s="276"/>
      <c r="BS489" s="256"/>
      <c r="BT489" s="260"/>
      <c r="BU489" s="261"/>
      <c r="BV489" s="260"/>
      <c r="BW489" s="239"/>
      <c r="BX489" s="260"/>
      <c r="BY489" s="260"/>
      <c r="BZ489" s="239"/>
      <c r="CA489" s="260"/>
      <c r="CB489" s="239"/>
      <c r="CC489" s="260"/>
      <c r="CD489" s="539"/>
      <c r="CE489" s="239"/>
      <c r="CF489" s="276"/>
      <c r="CG489" s="256"/>
      <c r="CH489" s="259"/>
      <c r="CI489" s="347"/>
      <c r="CJ489" s="540"/>
      <c r="CK489" s="256"/>
      <c r="CL489" s="244">
        <v>1</v>
      </c>
      <c r="CM489" s="274">
        <f t="shared" si="7"/>
        <v>2015</v>
      </c>
      <c r="CN489" s="244">
        <f>IF('Grille de saisie'!CM489&lt;18,0,IF('Grille de saisie'!CM489&lt;40,1,IF('Grille de saisie'!CM489&lt;65,2,IF('Grille de saisie'!CM489&lt;100,3,4))))</f>
        <v>4</v>
      </c>
      <c r="CO489" s="236">
        <f>IF(AND('Grille de saisie'!C489=1,'Grille de saisie'!BZ489=0),1,IF(AND('Grille de saisie'!C489="",'Grille de saisie'!BZ489=""),3,IF(AND('Grille de saisie'!C489=5),3,2)))</f>
        <v>3</v>
      </c>
      <c r="CP489" s="236">
        <f>IF(AND('Grille de saisie'!C489=1,'Grille de saisie'!BZ489=0),1,IF(AND('Grille de saisie'!C489=1,'Grille de saisie'!BZ489=1),2,IF(AND('Grille de saisie'!C489=2,'Grille de saisie'!BZ489=0),2,IF(AND('Grille de saisie'!C489=3,'Grille de saisie'!BZ489=0),3,IF(AND('Grille de saisie'!C489=2,'Grille de saisie'!BZ489=1),3,IF(AND('Grille de saisie'!C489=1,'Grille de saisie'!BZ489=2),3,IF(AND('Grille de saisie'!C489="",'Grille de saisie'!BZ489=""),5,IF(AND('Grille de saisie'!C489=5),5,4))))))))</f>
        <v>5</v>
      </c>
      <c r="CQ489" s="237">
        <f>IF('Grille de saisie'!BZ489="",3,IF('Grille de saisie'!C489=5,3,IF('Grille de saisie'!BZ489=0,1,2)))</f>
        <v>3</v>
      </c>
    </row>
    <row r="490" spans="1:95" ht="15">
      <c r="A490" s="510">
        <v>488</v>
      </c>
      <c r="B490" s="240"/>
      <c r="C490" s="513"/>
      <c r="D490" s="240"/>
      <c r="E490" s="517"/>
      <c r="F490" s="265"/>
      <c r="G490" s="513"/>
      <c r="H490" s="265"/>
      <c r="I490" s="520"/>
      <c r="J490" s="241"/>
      <c r="K490" s="520"/>
      <c r="L490" s="241"/>
      <c r="M490" s="521"/>
      <c r="N490" s="241"/>
      <c r="O490" s="521"/>
      <c r="P490" s="241"/>
      <c r="Q490" s="520"/>
      <c r="R490" s="241"/>
      <c r="S490" s="520"/>
      <c r="T490" s="241"/>
      <c r="U490" s="520"/>
      <c r="V490" s="241"/>
      <c r="W490" s="242"/>
      <c r="X490" s="241"/>
      <c r="Y490" s="242"/>
      <c r="Z490" s="241"/>
      <c r="AA490" s="241"/>
      <c r="AB490" s="275"/>
      <c r="AC490" s="524"/>
      <c r="AD490" s="241"/>
      <c r="AE490" s="241"/>
      <c r="AF490" s="241"/>
      <c r="AG490" s="241"/>
      <c r="AH490" s="241"/>
      <c r="AI490" s="241"/>
      <c r="AJ490" s="529"/>
      <c r="AK490" s="258"/>
      <c r="AL490" s="241"/>
      <c r="AM490" s="242"/>
      <c r="AN490" s="241"/>
      <c r="AO490" s="242"/>
      <c r="AP490" s="241"/>
      <c r="AQ490" s="242"/>
      <c r="AR490" s="241"/>
      <c r="AS490" s="242"/>
      <c r="AT490" s="241"/>
      <c r="AU490" s="241"/>
      <c r="AV490" s="256"/>
      <c r="AW490" s="241"/>
      <c r="AX490" s="256"/>
      <c r="AY490" s="241"/>
      <c r="AZ490" s="256"/>
      <c r="BA490" s="239"/>
      <c r="BB490" s="242"/>
      <c r="BC490" s="239"/>
      <c r="BD490" s="242"/>
      <c r="BE490" s="239"/>
      <c r="BF490" s="241"/>
      <c r="BG490" s="239"/>
      <c r="BH490" s="241"/>
      <c r="BI490" s="260"/>
      <c r="BJ490" s="241"/>
      <c r="BK490" s="260"/>
      <c r="BL490" s="239"/>
      <c r="BM490" s="256"/>
      <c r="BN490" s="241"/>
      <c r="BO490" s="243"/>
      <c r="BP490" s="241"/>
      <c r="BQ490" s="239"/>
      <c r="BR490" s="276"/>
      <c r="BS490" s="256"/>
      <c r="BT490" s="260"/>
      <c r="BU490" s="261"/>
      <c r="BV490" s="260"/>
      <c r="BW490" s="239"/>
      <c r="BX490" s="260"/>
      <c r="BY490" s="260"/>
      <c r="BZ490" s="239"/>
      <c r="CA490" s="260"/>
      <c r="CB490" s="239"/>
      <c r="CC490" s="260"/>
      <c r="CD490" s="539"/>
      <c r="CE490" s="239"/>
      <c r="CF490" s="276"/>
      <c r="CG490" s="256"/>
      <c r="CH490" s="259"/>
      <c r="CI490" s="347"/>
      <c r="CJ490" s="540"/>
      <c r="CK490" s="256"/>
      <c r="CL490" s="244">
        <v>1</v>
      </c>
      <c r="CM490" s="274">
        <f t="shared" si="7"/>
        <v>2015</v>
      </c>
      <c r="CN490" s="244">
        <f>IF('Grille de saisie'!CM490&lt;18,0,IF('Grille de saisie'!CM490&lt;40,1,IF('Grille de saisie'!CM490&lt;65,2,IF('Grille de saisie'!CM490&lt;100,3,4))))</f>
        <v>4</v>
      </c>
      <c r="CO490" s="236">
        <f>IF(AND('Grille de saisie'!C490=1,'Grille de saisie'!BZ490=0),1,IF(AND('Grille de saisie'!C490="",'Grille de saisie'!BZ490=""),3,IF(AND('Grille de saisie'!C490=5),3,2)))</f>
        <v>3</v>
      </c>
      <c r="CP490" s="236">
        <f>IF(AND('Grille de saisie'!C490=1,'Grille de saisie'!BZ490=0),1,IF(AND('Grille de saisie'!C490=1,'Grille de saisie'!BZ490=1),2,IF(AND('Grille de saisie'!C490=2,'Grille de saisie'!BZ490=0),2,IF(AND('Grille de saisie'!C490=3,'Grille de saisie'!BZ490=0),3,IF(AND('Grille de saisie'!C490=2,'Grille de saisie'!BZ490=1),3,IF(AND('Grille de saisie'!C490=1,'Grille de saisie'!BZ490=2),3,IF(AND('Grille de saisie'!C490="",'Grille de saisie'!BZ490=""),5,IF(AND('Grille de saisie'!C490=5),5,4))))))))</f>
        <v>5</v>
      </c>
      <c r="CQ490" s="237">
        <f>IF('Grille de saisie'!BZ490="",3,IF('Grille de saisie'!C490=5,3,IF('Grille de saisie'!BZ490=0,1,2)))</f>
        <v>3</v>
      </c>
    </row>
    <row r="491" spans="1:95" ht="15">
      <c r="A491" s="510">
        <v>489</v>
      </c>
      <c r="B491" s="240"/>
      <c r="C491" s="513"/>
      <c r="D491" s="240"/>
      <c r="E491" s="517"/>
      <c r="F491" s="265"/>
      <c r="G491" s="513"/>
      <c r="H491" s="265"/>
      <c r="I491" s="520"/>
      <c r="J491" s="241"/>
      <c r="K491" s="520"/>
      <c r="L491" s="241"/>
      <c r="M491" s="521"/>
      <c r="N491" s="241"/>
      <c r="O491" s="521"/>
      <c r="P491" s="241"/>
      <c r="Q491" s="520"/>
      <c r="R491" s="241"/>
      <c r="S491" s="520"/>
      <c r="T491" s="241"/>
      <c r="U491" s="520"/>
      <c r="V491" s="241"/>
      <c r="W491" s="242"/>
      <c r="X491" s="241"/>
      <c r="Y491" s="242"/>
      <c r="Z491" s="241"/>
      <c r="AA491" s="241"/>
      <c r="AB491" s="275"/>
      <c r="AC491" s="524"/>
      <c r="AD491" s="241"/>
      <c r="AE491" s="241"/>
      <c r="AF491" s="241"/>
      <c r="AG491" s="241"/>
      <c r="AH491" s="241"/>
      <c r="AI491" s="241"/>
      <c r="AJ491" s="529"/>
      <c r="AK491" s="258"/>
      <c r="AL491" s="241"/>
      <c r="AM491" s="242"/>
      <c r="AN491" s="241"/>
      <c r="AO491" s="242"/>
      <c r="AP491" s="241"/>
      <c r="AQ491" s="242"/>
      <c r="AR491" s="241"/>
      <c r="AS491" s="242"/>
      <c r="AT491" s="241"/>
      <c r="AU491" s="241"/>
      <c r="AV491" s="256"/>
      <c r="AW491" s="241"/>
      <c r="AX491" s="256"/>
      <c r="AY491" s="241"/>
      <c r="AZ491" s="256"/>
      <c r="BA491" s="239"/>
      <c r="BB491" s="242"/>
      <c r="BC491" s="239"/>
      <c r="BD491" s="242"/>
      <c r="BE491" s="239"/>
      <c r="BF491" s="241"/>
      <c r="BG491" s="239"/>
      <c r="BH491" s="241"/>
      <c r="BI491" s="260"/>
      <c r="BJ491" s="241"/>
      <c r="BK491" s="260"/>
      <c r="BL491" s="239"/>
      <c r="BM491" s="256"/>
      <c r="BN491" s="241"/>
      <c r="BO491" s="243"/>
      <c r="BP491" s="241"/>
      <c r="BQ491" s="239"/>
      <c r="BR491" s="276"/>
      <c r="BS491" s="256"/>
      <c r="BT491" s="260"/>
      <c r="BU491" s="261"/>
      <c r="BV491" s="260"/>
      <c r="BW491" s="239"/>
      <c r="BX491" s="260"/>
      <c r="BY491" s="260"/>
      <c r="BZ491" s="239"/>
      <c r="CA491" s="260"/>
      <c r="CB491" s="239"/>
      <c r="CC491" s="260"/>
      <c r="CD491" s="539"/>
      <c r="CE491" s="239"/>
      <c r="CF491" s="276"/>
      <c r="CG491" s="256"/>
      <c r="CH491" s="259"/>
      <c r="CI491" s="347"/>
      <c r="CJ491" s="540"/>
      <c r="CK491" s="256"/>
      <c r="CL491" s="244">
        <v>1</v>
      </c>
      <c r="CM491" s="274">
        <f t="shared" si="7"/>
        <v>2015</v>
      </c>
      <c r="CN491" s="244">
        <f>IF('Grille de saisie'!CM491&lt;18,0,IF('Grille de saisie'!CM491&lt;40,1,IF('Grille de saisie'!CM491&lt;65,2,IF('Grille de saisie'!CM491&lt;100,3,4))))</f>
        <v>4</v>
      </c>
      <c r="CO491" s="236">
        <f>IF(AND('Grille de saisie'!C491=1,'Grille de saisie'!BZ491=0),1,IF(AND('Grille de saisie'!C491="",'Grille de saisie'!BZ491=""),3,IF(AND('Grille de saisie'!C491=5),3,2)))</f>
        <v>3</v>
      </c>
      <c r="CP491" s="236">
        <f>IF(AND('Grille de saisie'!C491=1,'Grille de saisie'!BZ491=0),1,IF(AND('Grille de saisie'!C491=1,'Grille de saisie'!BZ491=1),2,IF(AND('Grille de saisie'!C491=2,'Grille de saisie'!BZ491=0),2,IF(AND('Grille de saisie'!C491=3,'Grille de saisie'!BZ491=0),3,IF(AND('Grille de saisie'!C491=2,'Grille de saisie'!BZ491=1),3,IF(AND('Grille de saisie'!C491=1,'Grille de saisie'!BZ491=2),3,IF(AND('Grille de saisie'!C491="",'Grille de saisie'!BZ491=""),5,IF(AND('Grille de saisie'!C491=5),5,4))))))))</f>
        <v>5</v>
      </c>
      <c r="CQ491" s="237">
        <f>IF('Grille de saisie'!BZ491="",3,IF('Grille de saisie'!C491=5,3,IF('Grille de saisie'!BZ491=0,1,2)))</f>
        <v>3</v>
      </c>
    </row>
    <row r="492" spans="1:95" ht="15">
      <c r="A492" s="511">
        <v>490</v>
      </c>
      <c r="B492" s="240"/>
      <c r="C492" s="513"/>
      <c r="D492" s="240"/>
      <c r="E492" s="517"/>
      <c r="F492" s="265"/>
      <c r="G492" s="513"/>
      <c r="H492" s="265"/>
      <c r="I492" s="520"/>
      <c r="J492" s="241"/>
      <c r="K492" s="520"/>
      <c r="L492" s="241"/>
      <c r="M492" s="521"/>
      <c r="N492" s="241"/>
      <c r="O492" s="521"/>
      <c r="P492" s="241"/>
      <c r="Q492" s="520"/>
      <c r="R492" s="241"/>
      <c r="S492" s="520"/>
      <c r="T492" s="241"/>
      <c r="U492" s="520"/>
      <c r="V492" s="241"/>
      <c r="W492" s="242"/>
      <c r="X492" s="241"/>
      <c r="Y492" s="242"/>
      <c r="Z492" s="241"/>
      <c r="AA492" s="241"/>
      <c r="AB492" s="275"/>
      <c r="AC492" s="524"/>
      <c r="AD492" s="241"/>
      <c r="AE492" s="241"/>
      <c r="AF492" s="241"/>
      <c r="AG492" s="241"/>
      <c r="AH492" s="241"/>
      <c r="AI492" s="241"/>
      <c r="AJ492" s="529"/>
      <c r="AK492" s="258"/>
      <c r="AL492" s="241"/>
      <c r="AM492" s="242"/>
      <c r="AN492" s="241"/>
      <c r="AO492" s="242"/>
      <c r="AP492" s="241"/>
      <c r="AQ492" s="242"/>
      <c r="AR492" s="241"/>
      <c r="AS492" s="242"/>
      <c r="AT492" s="241"/>
      <c r="AU492" s="241"/>
      <c r="AV492" s="256"/>
      <c r="AW492" s="241"/>
      <c r="AX492" s="256"/>
      <c r="AY492" s="241"/>
      <c r="AZ492" s="256"/>
      <c r="BA492" s="239"/>
      <c r="BB492" s="242"/>
      <c r="BC492" s="239"/>
      <c r="BD492" s="242"/>
      <c r="BE492" s="239"/>
      <c r="BF492" s="241"/>
      <c r="BG492" s="239"/>
      <c r="BH492" s="241"/>
      <c r="BI492" s="260"/>
      <c r="BJ492" s="241"/>
      <c r="BK492" s="260"/>
      <c r="BL492" s="239"/>
      <c r="BM492" s="256"/>
      <c r="BN492" s="241"/>
      <c r="BO492" s="243"/>
      <c r="BP492" s="241"/>
      <c r="BQ492" s="239"/>
      <c r="BR492" s="276"/>
      <c r="BS492" s="256"/>
      <c r="BT492" s="260"/>
      <c r="BU492" s="261"/>
      <c r="BV492" s="260"/>
      <c r="BW492" s="239"/>
      <c r="BX492" s="260"/>
      <c r="BY492" s="260"/>
      <c r="BZ492" s="239"/>
      <c r="CA492" s="260"/>
      <c r="CB492" s="239"/>
      <c r="CC492" s="260"/>
      <c r="CD492" s="539"/>
      <c r="CE492" s="239"/>
      <c r="CF492" s="276"/>
      <c r="CG492" s="256"/>
      <c r="CH492" s="259"/>
      <c r="CI492" s="347"/>
      <c r="CJ492" s="540"/>
      <c r="CK492" s="256"/>
      <c r="CL492" s="244">
        <v>1</v>
      </c>
      <c r="CM492" s="274">
        <f t="shared" si="7"/>
        <v>2015</v>
      </c>
      <c r="CN492" s="244">
        <f>IF('Grille de saisie'!CM492&lt;18,0,IF('Grille de saisie'!CM492&lt;40,1,IF('Grille de saisie'!CM492&lt;65,2,IF('Grille de saisie'!CM492&lt;100,3,4))))</f>
        <v>4</v>
      </c>
      <c r="CO492" s="236">
        <f>IF(AND('Grille de saisie'!C492=1,'Grille de saisie'!BZ492=0),1,IF(AND('Grille de saisie'!C492="",'Grille de saisie'!BZ492=""),3,IF(AND('Grille de saisie'!C492=5),3,2)))</f>
        <v>3</v>
      </c>
      <c r="CP492" s="236">
        <f>IF(AND('Grille de saisie'!C492=1,'Grille de saisie'!BZ492=0),1,IF(AND('Grille de saisie'!C492=1,'Grille de saisie'!BZ492=1),2,IF(AND('Grille de saisie'!C492=2,'Grille de saisie'!BZ492=0),2,IF(AND('Grille de saisie'!C492=3,'Grille de saisie'!BZ492=0),3,IF(AND('Grille de saisie'!C492=2,'Grille de saisie'!BZ492=1),3,IF(AND('Grille de saisie'!C492=1,'Grille de saisie'!BZ492=2),3,IF(AND('Grille de saisie'!C492="",'Grille de saisie'!BZ492=""),5,IF(AND('Grille de saisie'!C492=5),5,4))))))))</f>
        <v>5</v>
      </c>
      <c r="CQ492" s="237">
        <f>IF('Grille de saisie'!BZ492="",3,IF('Grille de saisie'!C492=5,3,IF('Grille de saisie'!BZ492=0,1,2)))</f>
        <v>3</v>
      </c>
    </row>
    <row r="493" spans="1:95" ht="15">
      <c r="A493" s="510">
        <v>491</v>
      </c>
      <c r="B493" s="240"/>
      <c r="C493" s="513"/>
      <c r="D493" s="240"/>
      <c r="E493" s="517"/>
      <c r="F493" s="265"/>
      <c r="G493" s="513"/>
      <c r="H493" s="265"/>
      <c r="I493" s="520"/>
      <c r="J493" s="241"/>
      <c r="K493" s="520"/>
      <c r="L493" s="241"/>
      <c r="M493" s="521"/>
      <c r="N493" s="241"/>
      <c r="O493" s="521"/>
      <c r="P493" s="241"/>
      <c r="Q493" s="520"/>
      <c r="R493" s="241"/>
      <c r="S493" s="520"/>
      <c r="T493" s="241"/>
      <c r="U493" s="520"/>
      <c r="V493" s="241"/>
      <c r="W493" s="242"/>
      <c r="X493" s="241"/>
      <c r="Y493" s="242"/>
      <c r="Z493" s="241"/>
      <c r="AA493" s="241"/>
      <c r="AB493" s="275"/>
      <c r="AC493" s="524"/>
      <c r="AD493" s="241"/>
      <c r="AE493" s="241"/>
      <c r="AF493" s="241"/>
      <c r="AG493" s="241"/>
      <c r="AH493" s="241"/>
      <c r="AI493" s="241"/>
      <c r="AJ493" s="529"/>
      <c r="AK493" s="258"/>
      <c r="AL493" s="241"/>
      <c r="AM493" s="242"/>
      <c r="AN493" s="241"/>
      <c r="AO493" s="242"/>
      <c r="AP493" s="241"/>
      <c r="AQ493" s="242"/>
      <c r="AR493" s="241"/>
      <c r="AS493" s="242"/>
      <c r="AT493" s="241"/>
      <c r="AU493" s="241"/>
      <c r="AV493" s="256"/>
      <c r="AW493" s="241"/>
      <c r="AX493" s="256"/>
      <c r="AY493" s="241"/>
      <c r="AZ493" s="256"/>
      <c r="BA493" s="239"/>
      <c r="BB493" s="242"/>
      <c r="BC493" s="239"/>
      <c r="BD493" s="242"/>
      <c r="BE493" s="239"/>
      <c r="BF493" s="241"/>
      <c r="BG493" s="239"/>
      <c r="BH493" s="241"/>
      <c r="BI493" s="260"/>
      <c r="BJ493" s="241"/>
      <c r="BK493" s="260"/>
      <c r="BL493" s="239"/>
      <c r="BM493" s="256"/>
      <c r="BN493" s="241"/>
      <c r="BO493" s="243"/>
      <c r="BP493" s="241"/>
      <c r="BQ493" s="239"/>
      <c r="BR493" s="276"/>
      <c r="BS493" s="256"/>
      <c r="BT493" s="260"/>
      <c r="BU493" s="261"/>
      <c r="BV493" s="260"/>
      <c r="BW493" s="239"/>
      <c r="BX493" s="260"/>
      <c r="BY493" s="260"/>
      <c r="BZ493" s="239"/>
      <c r="CA493" s="260"/>
      <c r="CB493" s="239"/>
      <c r="CC493" s="260"/>
      <c r="CD493" s="539"/>
      <c r="CE493" s="239"/>
      <c r="CF493" s="276"/>
      <c r="CG493" s="256"/>
      <c r="CH493" s="259"/>
      <c r="CI493" s="347"/>
      <c r="CJ493" s="540"/>
      <c r="CK493" s="256"/>
      <c r="CL493" s="244">
        <v>1</v>
      </c>
      <c r="CM493" s="274">
        <f t="shared" si="7"/>
        <v>2015</v>
      </c>
      <c r="CN493" s="244">
        <f>IF('Grille de saisie'!CM493&lt;18,0,IF('Grille de saisie'!CM493&lt;40,1,IF('Grille de saisie'!CM493&lt;65,2,IF('Grille de saisie'!CM493&lt;100,3,4))))</f>
        <v>4</v>
      </c>
      <c r="CO493" s="236">
        <f>IF(AND('Grille de saisie'!C493=1,'Grille de saisie'!BZ493=0),1,IF(AND('Grille de saisie'!C493="",'Grille de saisie'!BZ493=""),3,IF(AND('Grille de saisie'!C493=5),3,2)))</f>
        <v>3</v>
      </c>
      <c r="CP493" s="236">
        <f>IF(AND('Grille de saisie'!C493=1,'Grille de saisie'!BZ493=0),1,IF(AND('Grille de saisie'!C493=1,'Grille de saisie'!BZ493=1),2,IF(AND('Grille de saisie'!C493=2,'Grille de saisie'!BZ493=0),2,IF(AND('Grille de saisie'!C493=3,'Grille de saisie'!BZ493=0),3,IF(AND('Grille de saisie'!C493=2,'Grille de saisie'!BZ493=1),3,IF(AND('Grille de saisie'!C493=1,'Grille de saisie'!BZ493=2),3,IF(AND('Grille de saisie'!C493="",'Grille de saisie'!BZ493=""),5,IF(AND('Grille de saisie'!C493=5),5,4))))))))</f>
        <v>5</v>
      </c>
      <c r="CQ493" s="237">
        <f>IF('Grille de saisie'!BZ493="",3,IF('Grille de saisie'!C493=5,3,IF('Grille de saisie'!BZ493=0,1,2)))</f>
        <v>3</v>
      </c>
    </row>
    <row r="494" spans="1:95" ht="15">
      <c r="A494" s="510">
        <v>492</v>
      </c>
      <c r="B494" s="240"/>
      <c r="C494" s="513"/>
      <c r="D494" s="240"/>
      <c r="E494" s="517"/>
      <c r="F494" s="265"/>
      <c r="G494" s="513"/>
      <c r="H494" s="265"/>
      <c r="I494" s="520"/>
      <c r="J494" s="241"/>
      <c r="K494" s="520"/>
      <c r="L494" s="241"/>
      <c r="M494" s="521"/>
      <c r="N494" s="241"/>
      <c r="O494" s="521"/>
      <c r="P494" s="241"/>
      <c r="Q494" s="520"/>
      <c r="R494" s="241"/>
      <c r="S494" s="520"/>
      <c r="T494" s="241"/>
      <c r="U494" s="520"/>
      <c r="V494" s="241"/>
      <c r="W494" s="242"/>
      <c r="X494" s="241"/>
      <c r="Y494" s="242"/>
      <c r="Z494" s="241"/>
      <c r="AA494" s="241"/>
      <c r="AB494" s="275"/>
      <c r="AC494" s="524"/>
      <c r="AD494" s="241"/>
      <c r="AE494" s="241"/>
      <c r="AF494" s="241"/>
      <c r="AG494" s="241"/>
      <c r="AH494" s="241"/>
      <c r="AI494" s="241"/>
      <c r="AJ494" s="529"/>
      <c r="AK494" s="258"/>
      <c r="AL494" s="241"/>
      <c r="AM494" s="242"/>
      <c r="AN494" s="241"/>
      <c r="AO494" s="242"/>
      <c r="AP494" s="241"/>
      <c r="AQ494" s="242"/>
      <c r="AR494" s="241"/>
      <c r="AS494" s="242"/>
      <c r="AT494" s="241"/>
      <c r="AU494" s="241"/>
      <c r="AV494" s="256"/>
      <c r="AW494" s="241"/>
      <c r="AX494" s="256"/>
      <c r="AY494" s="241"/>
      <c r="AZ494" s="256"/>
      <c r="BA494" s="239"/>
      <c r="BB494" s="242"/>
      <c r="BC494" s="239"/>
      <c r="BD494" s="242"/>
      <c r="BE494" s="239"/>
      <c r="BF494" s="241"/>
      <c r="BG494" s="239"/>
      <c r="BH494" s="241"/>
      <c r="BI494" s="260"/>
      <c r="BJ494" s="241"/>
      <c r="BK494" s="260"/>
      <c r="BL494" s="239"/>
      <c r="BM494" s="256"/>
      <c r="BN494" s="241"/>
      <c r="BO494" s="243"/>
      <c r="BP494" s="241"/>
      <c r="BQ494" s="239"/>
      <c r="BR494" s="276"/>
      <c r="BS494" s="256"/>
      <c r="BT494" s="260"/>
      <c r="BU494" s="261"/>
      <c r="BV494" s="260"/>
      <c r="BW494" s="239"/>
      <c r="BX494" s="260"/>
      <c r="BY494" s="260"/>
      <c r="BZ494" s="239"/>
      <c r="CA494" s="260"/>
      <c r="CB494" s="239"/>
      <c r="CC494" s="260"/>
      <c r="CD494" s="539"/>
      <c r="CE494" s="239"/>
      <c r="CF494" s="276"/>
      <c r="CG494" s="256"/>
      <c r="CH494" s="259"/>
      <c r="CI494" s="347"/>
      <c r="CJ494" s="540"/>
      <c r="CK494" s="256"/>
      <c r="CL494" s="244">
        <v>1</v>
      </c>
      <c r="CM494" s="274">
        <f t="shared" si="7"/>
        <v>2015</v>
      </c>
      <c r="CN494" s="244">
        <f>IF('Grille de saisie'!CM494&lt;18,0,IF('Grille de saisie'!CM494&lt;40,1,IF('Grille de saisie'!CM494&lt;65,2,IF('Grille de saisie'!CM494&lt;100,3,4))))</f>
        <v>4</v>
      </c>
      <c r="CO494" s="236">
        <f>IF(AND('Grille de saisie'!C494=1,'Grille de saisie'!BZ494=0),1,IF(AND('Grille de saisie'!C494="",'Grille de saisie'!BZ494=""),3,IF(AND('Grille de saisie'!C494=5),3,2)))</f>
        <v>3</v>
      </c>
      <c r="CP494" s="236">
        <f>IF(AND('Grille de saisie'!C494=1,'Grille de saisie'!BZ494=0),1,IF(AND('Grille de saisie'!C494=1,'Grille de saisie'!BZ494=1),2,IF(AND('Grille de saisie'!C494=2,'Grille de saisie'!BZ494=0),2,IF(AND('Grille de saisie'!C494=3,'Grille de saisie'!BZ494=0),3,IF(AND('Grille de saisie'!C494=2,'Grille de saisie'!BZ494=1),3,IF(AND('Grille de saisie'!C494=1,'Grille de saisie'!BZ494=2),3,IF(AND('Grille de saisie'!C494="",'Grille de saisie'!BZ494=""),5,IF(AND('Grille de saisie'!C494=5),5,4))))))))</f>
        <v>5</v>
      </c>
      <c r="CQ494" s="237">
        <f>IF('Grille de saisie'!BZ494="",3,IF('Grille de saisie'!C494=5,3,IF('Grille de saisie'!BZ494=0,1,2)))</f>
        <v>3</v>
      </c>
    </row>
    <row r="495" spans="1:95" ht="15">
      <c r="A495" s="511">
        <v>493</v>
      </c>
      <c r="B495" s="240"/>
      <c r="C495" s="513"/>
      <c r="D495" s="240"/>
      <c r="E495" s="517"/>
      <c r="F495" s="265"/>
      <c r="G495" s="513"/>
      <c r="H495" s="265"/>
      <c r="I495" s="520"/>
      <c r="J495" s="241"/>
      <c r="K495" s="520"/>
      <c r="L495" s="241"/>
      <c r="M495" s="521"/>
      <c r="N495" s="241"/>
      <c r="O495" s="521"/>
      <c r="P495" s="241"/>
      <c r="Q495" s="520"/>
      <c r="R495" s="241"/>
      <c r="S495" s="520"/>
      <c r="T495" s="241"/>
      <c r="U495" s="520"/>
      <c r="V495" s="241"/>
      <c r="W495" s="242"/>
      <c r="X495" s="241"/>
      <c r="Y495" s="242"/>
      <c r="Z495" s="241"/>
      <c r="AA495" s="241"/>
      <c r="AB495" s="275"/>
      <c r="AC495" s="524"/>
      <c r="AD495" s="241"/>
      <c r="AE495" s="241"/>
      <c r="AF495" s="241"/>
      <c r="AG495" s="241"/>
      <c r="AH495" s="241"/>
      <c r="AI495" s="241"/>
      <c r="AJ495" s="529"/>
      <c r="AK495" s="258"/>
      <c r="AL495" s="241"/>
      <c r="AM495" s="242"/>
      <c r="AN495" s="241"/>
      <c r="AO495" s="242"/>
      <c r="AP495" s="241"/>
      <c r="AQ495" s="242"/>
      <c r="AR495" s="241"/>
      <c r="AS495" s="242"/>
      <c r="AT495" s="241"/>
      <c r="AU495" s="241"/>
      <c r="AV495" s="256"/>
      <c r="AW495" s="241"/>
      <c r="AX495" s="256"/>
      <c r="AY495" s="241"/>
      <c r="AZ495" s="256"/>
      <c r="BA495" s="239"/>
      <c r="BB495" s="242"/>
      <c r="BC495" s="239"/>
      <c r="BD495" s="242"/>
      <c r="BE495" s="239"/>
      <c r="BF495" s="241"/>
      <c r="BG495" s="239"/>
      <c r="BH495" s="241"/>
      <c r="BI495" s="260"/>
      <c r="BJ495" s="241"/>
      <c r="BK495" s="260"/>
      <c r="BL495" s="239"/>
      <c r="BM495" s="256"/>
      <c r="BN495" s="241"/>
      <c r="BO495" s="243"/>
      <c r="BP495" s="241"/>
      <c r="BQ495" s="239"/>
      <c r="BR495" s="276"/>
      <c r="BS495" s="256"/>
      <c r="BT495" s="260"/>
      <c r="BU495" s="261"/>
      <c r="BV495" s="260"/>
      <c r="BW495" s="239"/>
      <c r="BX495" s="260"/>
      <c r="BY495" s="260"/>
      <c r="BZ495" s="239"/>
      <c r="CA495" s="260"/>
      <c r="CB495" s="239"/>
      <c r="CC495" s="260"/>
      <c r="CD495" s="539"/>
      <c r="CE495" s="239"/>
      <c r="CF495" s="276"/>
      <c r="CG495" s="256"/>
      <c r="CH495" s="259"/>
      <c r="CI495" s="347"/>
      <c r="CJ495" s="540"/>
      <c r="CK495" s="256"/>
      <c r="CL495" s="244">
        <v>1</v>
      </c>
      <c r="CM495" s="274">
        <f t="shared" si="7"/>
        <v>2015</v>
      </c>
      <c r="CN495" s="244">
        <f>IF('Grille de saisie'!CM495&lt;18,0,IF('Grille de saisie'!CM495&lt;40,1,IF('Grille de saisie'!CM495&lt;65,2,IF('Grille de saisie'!CM495&lt;100,3,4))))</f>
        <v>4</v>
      </c>
      <c r="CO495" s="236">
        <f>IF(AND('Grille de saisie'!C495=1,'Grille de saisie'!BZ495=0),1,IF(AND('Grille de saisie'!C495="",'Grille de saisie'!BZ495=""),3,IF(AND('Grille de saisie'!C495=5),3,2)))</f>
        <v>3</v>
      </c>
      <c r="CP495" s="236">
        <f>IF(AND('Grille de saisie'!C495=1,'Grille de saisie'!BZ495=0),1,IF(AND('Grille de saisie'!C495=1,'Grille de saisie'!BZ495=1),2,IF(AND('Grille de saisie'!C495=2,'Grille de saisie'!BZ495=0),2,IF(AND('Grille de saisie'!C495=3,'Grille de saisie'!BZ495=0),3,IF(AND('Grille de saisie'!C495=2,'Grille de saisie'!BZ495=1),3,IF(AND('Grille de saisie'!C495=1,'Grille de saisie'!BZ495=2),3,IF(AND('Grille de saisie'!C495="",'Grille de saisie'!BZ495=""),5,IF(AND('Grille de saisie'!C495=5),5,4))))))))</f>
        <v>5</v>
      </c>
      <c r="CQ495" s="237">
        <f>IF('Grille de saisie'!BZ495="",3,IF('Grille de saisie'!C495=5,3,IF('Grille de saisie'!BZ495=0,1,2)))</f>
        <v>3</v>
      </c>
    </row>
    <row r="496" spans="1:95" ht="15">
      <c r="A496" s="510">
        <v>494</v>
      </c>
      <c r="B496" s="240"/>
      <c r="C496" s="513"/>
      <c r="D496" s="240"/>
      <c r="E496" s="517"/>
      <c r="F496" s="265"/>
      <c r="G496" s="513"/>
      <c r="H496" s="265"/>
      <c r="I496" s="520"/>
      <c r="J496" s="241"/>
      <c r="K496" s="520"/>
      <c r="L496" s="241"/>
      <c r="M496" s="521"/>
      <c r="N496" s="241"/>
      <c r="O496" s="521"/>
      <c r="P496" s="241"/>
      <c r="Q496" s="520"/>
      <c r="R496" s="241"/>
      <c r="S496" s="520"/>
      <c r="T496" s="241"/>
      <c r="U496" s="520"/>
      <c r="V496" s="241"/>
      <c r="W496" s="242"/>
      <c r="X496" s="241"/>
      <c r="Y496" s="242"/>
      <c r="Z496" s="241"/>
      <c r="AA496" s="241"/>
      <c r="AB496" s="275"/>
      <c r="AC496" s="524"/>
      <c r="AD496" s="241"/>
      <c r="AE496" s="241"/>
      <c r="AF496" s="241"/>
      <c r="AG496" s="241"/>
      <c r="AH496" s="241"/>
      <c r="AI496" s="241"/>
      <c r="AJ496" s="529"/>
      <c r="AK496" s="258"/>
      <c r="AL496" s="241"/>
      <c r="AM496" s="242"/>
      <c r="AN496" s="241"/>
      <c r="AO496" s="242"/>
      <c r="AP496" s="241"/>
      <c r="AQ496" s="242"/>
      <c r="AR496" s="241"/>
      <c r="AS496" s="242"/>
      <c r="AT496" s="241"/>
      <c r="AU496" s="241"/>
      <c r="AV496" s="256"/>
      <c r="AW496" s="241"/>
      <c r="AX496" s="256"/>
      <c r="AY496" s="241"/>
      <c r="AZ496" s="256"/>
      <c r="BA496" s="239"/>
      <c r="BB496" s="242"/>
      <c r="BC496" s="239"/>
      <c r="BD496" s="242"/>
      <c r="BE496" s="239"/>
      <c r="BF496" s="241"/>
      <c r="BG496" s="239"/>
      <c r="BH496" s="241"/>
      <c r="BI496" s="260"/>
      <c r="BJ496" s="241"/>
      <c r="BK496" s="260"/>
      <c r="BL496" s="239"/>
      <c r="BM496" s="256"/>
      <c r="BN496" s="241"/>
      <c r="BO496" s="243"/>
      <c r="BP496" s="241"/>
      <c r="BQ496" s="239"/>
      <c r="BR496" s="276"/>
      <c r="BS496" s="256"/>
      <c r="BT496" s="260"/>
      <c r="BU496" s="261"/>
      <c r="BV496" s="260"/>
      <c r="BW496" s="239"/>
      <c r="BX496" s="260"/>
      <c r="BY496" s="260"/>
      <c r="BZ496" s="239"/>
      <c r="CA496" s="260"/>
      <c r="CB496" s="239"/>
      <c r="CC496" s="260"/>
      <c r="CD496" s="539"/>
      <c r="CE496" s="239"/>
      <c r="CF496" s="276"/>
      <c r="CG496" s="256"/>
      <c r="CH496" s="259"/>
      <c r="CI496" s="347"/>
      <c r="CJ496" s="540"/>
      <c r="CK496" s="256"/>
      <c r="CL496" s="244">
        <v>1</v>
      </c>
      <c r="CM496" s="274">
        <f t="shared" si="7"/>
        <v>2015</v>
      </c>
      <c r="CN496" s="244">
        <f>IF('Grille de saisie'!CM496&lt;18,0,IF('Grille de saisie'!CM496&lt;40,1,IF('Grille de saisie'!CM496&lt;65,2,IF('Grille de saisie'!CM496&lt;100,3,4))))</f>
        <v>4</v>
      </c>
      <c r="CO496" s="236">
        <f>IF(AND('Grille de saisie'!C496=1,'Grille de saisie'!BZ496=0),1,IF(AND('Grille de saisie'!C496="",'Grille de saisie'!BZ496=""),3,IF(AND('Grille de saisie'!C496=5),3,2)))</f>
        <v>3</v>
      </c>
      <c r="CP496" s="236">
        <f>IF(AND('Grille de saisie'!C496=1,'Grille de saisie'!BZ496=0),1,IF(AND('Grille de saisie'!C496=1,'Grille de saisie'!BZ496=1),2,IF(AND('Grille de saisie'!C496=2,'Grille de saisie'!BZ496=0),2,IF(AND('Grille de saisie'!C496=3,'Grille de saisie'!BZ496=0),3,IF(AND('Grille de saisie'!C496=2,'Grille de saisie'!BZ496=1),3,IF(AND('Grille de saisie'!C496=1,'Grille de saisie'!BZ496=2),3,IF(AND('Grille de saisie'!C496="",'Grille de saisie'!BZ496=""),5,IF(AND('Grille de saisie'!C496=5),5,4))))))))</f>
        <v>5</v>
      </c>
      <c r="CQ496" s="237">
        <f>IF('Grille de saisie'!BZ496="",3,IF('Grille de saisie'!C496=5,3,IF('Grille de saisie'!BZ496=0,1,2)))</f>
        <v>3</v>
      </c>
    </row>
    <row r="497" spans="1:95" ht="15">
      <c r="A497" s="510">
        <v>495</v>
      </c>
      <c r="B497" s="240"/>
      <c r="C497" s="513"/>
      <c r="D497" s="240"/>
      <c r="E497" s="517"/>
      <c r="F497" s="265"/>
      <c r="G497" s="513"/>
      <c r="H497" s="265"/>
      <c r="I497" s="520"/>
      <c r="J497" s="241"/>
      <c r="K497" s="520"/>
      <c r="L497" s="241"/>
      <c r="M497" s="521"/>
      <c r="N497" s="241"/>
      <c r="O497" s="521"/>
      <c r="P497" s="241"/>
      <c r="Q497" s="520"/>
      <c r="R497" s="241"/>
      <c r="S497" s="520"/>
      <c r="T497" s="241"/>
      <c r="U497" s="520"/>
      <c r="V497" s="241"/>
      <c r="W497" s="242"/>
      <c r="X497" s="241"/>
      <c r="Y497" s="242"/>
      <c r="Z497" s="241"/>
      <c r="AA497" s="241"/>
      <c r="AB497" s="275"/>
      <c r="AC497" s="524"/>
      <c r="AD497" s="241"/>
      <c r="AE497" s="241"/>
      <c r="AF497" s="241"/>
      <c r="AG497" s="241"/>
      <c r="AH497" s="241"/>
      <c r="AI497" s="241"/>
      <c r="AJ497" s="529"/>
      <c r="AK497" s="258"/>
      <c r="AL497" s="241"/>
      <c r="AM497" s="242"/>
      <c r="AN497" s="241"/>
      <c r="AO497" s="242"/>
      <c r="AP497" s="241"/>
      <c r="AQ497" s="242"/>
      <c r="AR497" s="241"/>
      <c r="AS497" s="242"/>
      <c r="AT497" s="241"/>
      <c r="AU497" s="241"/>
      <c r="AV497" s="256"/>
      <c r="AW497" s="241"/>
      <c r="AX497" s="256"/>
      <c r="AY497" s="241"/>
      <c r="AZ497" s="256"/>
      <c r="BA497" s="239"/>
      <c r="BB497" s="242"/>
      <c r="BC497" s="239"/>
      <c r="BD497" s="242"/>
      <c r="BE497" s="239"/>
      <c r="BF497" s="241"/>
      <c r="BG497" s="239"/>
      <c r="BH497" s="241"/>
      <c r="BI497" s="260"/>
      <c r="BJ497" s="241"/>
      <c r="BK497" s="260"/>
      <c r="BL497" s="239"/>
      <c r="BM497" s="256"/>
      <c r="BN497" s="241"/>
      <c r="BO497" s="243"/>
      <c r="BP497" s="241"/>
      <c r="BQ497" s="239"/>
      <c r="BR497" s="276"/>
      <c r="BS497" s="256"/>
      <c r="BT497" s="260"/>
      <c r="BU497" s="261"/>
      <c r="BV497" s="260"/>
      <c r="BW497" s="239"/>
      <c r="BX497" s="260"/>
      <c r="BY497" s="260"/>
      <c r="BZ497" s="239"/>
      <c r="CA497" s="260"/>
      <c r="CB497" s="239"/>
      <c r="CC497" s="260"/>
      <c r="CD497" s="539"/>
      <c r="CE497" s="239"/>
      <c r="CF497" s="276"/>
      <c r="CG497" s="256"/>
      <c r="CH497" s="259"/>
      <c r="CI497" s="347"/>
      <c r="CJ497" s="540"/>
      <c r="CK497" s="256"/>
      <c r="CL497" s="244">
        <v>1</v>
      </c>
      <c r="CM497" s="274">
        <f t="shared" si="7"/>
        <v>2015</v>
      </c>
      <c r="CN497" s="244">
        <f>IF('Grille de saisie'!CM497&lt;18,0,IF('Grille de saisie'!CM497&lt;40,1,IF('Grille de saisie'!CM497&lt;65,2,IF('Grille de saisie'!CM497&lt;100,3,4))))</f>
        <v>4</v>
      </c>
      <c r="CO497" s="236">
        <f>IF(AND('Grille de saisie'!C497=1,'Grille de saisie'!BZ497=0),1,IF(AND('Grille de saisie'!C497="",'Grille de saisie'!BZ497=""),3,IF(AND('Grille de saisie'!C497=5),3,2)))</f>
        <v>3</v>
      </c>
      <c r="CP497" s="236">
        <f>IF(AND('Grille de saisie'!C497=1,'Grille de saisie'!BZ497=0),1,IF(AND('Grille de saisie'!C497=1,'Grille de saisie'!BZ497=1),2,IF(AND('Grille de saisie'!C497=2,'Grille de saisie'!BZ497=0),2,IF(AND('Grille de saisie'!C497=3,'Grille de saisie'!BZ497=0),3,IF(AND('Grille de saisie'!C497=2,'Grille de saisie'!BZ497=1),3,IF(AND('Grille de saisie'!C497=1,'Grille de saisie'!BZ497=2),3,IF(AND('Grille de saisie'!C497="",'Grille de saisie'!BZ497=""),5,IF(AND('Grille de saisie'!C497=5),5,4))))))))</f>
        <v>5</v>
      </c>
      <c r="CQ497" s="237">
        <f>IF('Grille de saisie'!BZ497="",3,IF('Grille de saisie'!C497=5,3,IF('Grille de saisie'!BZ497=0,1,2)))</f>
        <v>3</v>
      </c>
    </row>
    <row r="498" spans="1:95" ht="15">
      <c r="A498" s="511">
        <v>496</v>
      </c>
      <c r="B498" s="240"/>
      <c r="C498" s="513"/>
      <c r="D498" s="240"/>
      <c r="E498" s="517"/>
      <c r="F498" s="265"/>
      <c r="G498" s="513"/>
      <c r="H498" s="265"/>
      <c r="I498" s="520"/>
      <c r="J498" s="241"/>
      <c r="K498" s="520"/>
      <c r="L498" s="241"/>
      <c r="M498" s="521"/>
      <c r="N498" s="241"/>
      <c r="O498" s="521"/>
      <c r="P498" s="241"/>
      <c r="Q498" s="520"/>
      <c r="R498" s="241"/>
      <c r="S498" s="520"/>
      <c r="T498" s="241"/>
      <c r="U498" s="520"/>
      <c r="V498" s="241"/>
      <c r="W498" s="242"/>
      <c r="X498" s="241"/>
      <c r="Y498" s="242"/>
      <c r="Z498" s="241"/>
      <c r="AA498" s="241"/>
      <c r="AB498" s="275"/>
      <c r="AC498" s="524"/>
      <c r="AD498" s="241"/>
      <c r="AE498" s="241"/>
      <c r="AF498" s="241"/>
      <c r="AG498" s="241"/>
      <c r="AH498" s="241"/>
      <c r="AI498" s="241"/>
      <c r="AJ498" s="529"/>
      <c r="AK498" s="258"/>
      <c r="AL498" s="241"/>
      <c r="AM498" s="242"/>
      <c r="AN498" s="241"/>
      <c r="AO498" s="242"/>
      <c r="AP498" s="241"/>
      <c r="AQ498" s="242"/>
      <c r="AR498" s="241"/>
      <c r="AS498" s="242"/>
      <c r="AT498" s="241"/>
      <c r="AU498" s="241"/>
      <c r="AV498" s="256"/>
      <c r="AW498" s="241"/>
      <c r="AX498" s="256"/>
      <c r="AY498" s="241"/>
      <c r="AZ498" s="256"/>
      <c r="BA498" s="239"/>
      <c r="BB498" s="242"/>
      <c r="BC498" s="239"/>
      <c r="BD498" s="242"/>
      <c r="BE498" s="239"/>
      <c r="BF498" s="241"/>
      <c r="BG498" s="239"/>
      <c r="BH498" s="241"/>
      <c r="BI498" s="260"/>
      <c r="BJ498" s="241"/>
      <c r="BK498" s="260"/>
      <c r="BL498" s="239"/>
      <c r="BM498" s="256"/>
      <c r="BN498" s="241"/>
      <c r="BO498" s="243"/>
      <c r="BP498" s="241"/>
      <c r="BQ498" s="239"/>
      <c r="BR498" s="276"/>
      <c r="BS498" s="256"/>
      <c r="BT498" s="260"/>
      <c r="BU498" s="261"/>
      <c r="BV498" s="260"/>
      <c r="BW498" s="239"/>
      <c r="BX498" s="260"/>
      <c r="BY498" s="260"/>
      <c r="BZ498" s="239"/>
      <c r="CA498" s="260"/>
      <c r="CB498" s="239"/>
      <c r="CC498" s="260"/>
      <c r="CD498" s="539"/>
      <c r="CE498" s="239"/>
      <c r="CF498" s="276"/>
      <c r="CG498" s="256"/>
      <c r="CH498" s="259"/>
      <c r="CI498" s="347"/>
      <c r="CJ498" s="540"/>
      <c r="CK498" s="256"/>
      <c r="CL498" s="244">
        <v>1</v>
      </c>
      <c r="CM498" s="274">
        <f t="shared" si="7"/>
        <v>2015</v>
      </c>
      <c r="CN498" s="244">
        <f>IF('Grille de saisie'!CM498&lt;18,0,IF('Grille de saisie'!CM498&lt;40,1,IF('Grille de saisie'!CM498&lt;65,2,IF('Grille de saisie'!CM498&lt;100,3,4))))</f>
        <v>4</v>
      </c>
      <c r="CO498" s="236">
        <f>IF(AND('Grille de saisie'!C498=1,'Grille de saisie'!BZ498=0),1,IF(AND('Grille de saisie'!C498="",'Grille de saisie'!BZ498=""),3,IF(AND('Grille de saisie'!C498=5),3,2)))</f>
        <v>3</v>
      </c>
      <c r="CP498" s="236">
        <f>IF(AND('Grille de saisie'!C498=1,'Grille de saisie'!BZ498=0),1,IF(AND('Grille de saisie'!C498=1,'Grille de saisie'!BZ498=1),2,IF(AND('Grille de saisie'!C498=2,'Grille de saisie'!BZ498=0),2,IF(AND('Grille de saisie'!C498=3,'Grille de saisie'!BZ498=0),3,IF(AND('Grille de saisie'!C498=2,'Grille de saisie'!BZ498=1),3,IF(AND('Grille de saisie'!C498=1,'Grille de saisie'!BZ498=2),3,IF(AND('Grille de saisie'!C498="",'Grille de saisie'!BZ498=""),5,IF(AND('Grille de saisie'!C498=5),5,4))))))))</f>
        <v>5</v>
      </c>
      <c r="CQ498" s="237">
        <f>IF('Grille de saisie'!BZ498="",3,IF('Grille de saisie'!C498=5,3,IF('Grille de saisie'!BZ498=0,1,2)))</f>
        <v>3</v>
      </c>
    </row>
    <row r="499" spans="1:95" ht="15">
      <c r="A499" s="510">
        <v>497</v>
      </c>
      <c r="B499" s="240"/>
      <c r="C499" s="513"/>
      <c r="D499" s="240"/>
      <c r="E499" s="517"/>
      <c r="F499" s="265"/>
      <c r="G499" s="513"/>
      <c r="H499" s="265"/>
      <c r="I499" s="520"/>
      <c r="J499" s="241"/>
      <c r="K499" s="520"/>
      <c r="L499" s="241"/>
      <c r="M499" s="521"/>
      <c r="N499" s="241"/>
      <c r="O499" s="521"/>
      <c r="P499" s="241"/>
      <c r="Q499" s="520"/>
      <c r="R499" s="241"/>
      <c r="S499" s="520"/>
      <c r="T499" s="241"/>
      <c r="U499" s="520"/>
      <c r="V499" s="241"/>
      <c r="W499" s="242"/>
      <c r="X499" s="241"/>
      <c r="Y499" s="242"/>
      <c r="Z499" s="241"/>
      <c r="AA499" s="241"/>
      <c r="AB499" s="275"/>
      <c r="AC499" s="524"/>
      <c r="AD499" s="241"/>
      <c r="AE499" s="241"/>
      <c r="AF499" s="241"/>
      <c r="AG499" s="241"/>
      <c r="AH499" s="241"/>
      <c r="AI499" s="241"/>
      <c r="AJ499" s="529"/>
      <c r="AK499" s="258"/>
      <c r="AL499" s="241"/>
      <c r="AM499" s="242"/>
      <c r="AN499" s="241"/>
      <c r="AO499" s="242"/>
      <c r="AP499" s="241"/>
      <c r="AQ499" s="242"/>
      <c r="AR499" s="241"/>
      <c r="AS499" s="242"/>
      <c r="AT499" s="241"/>
      <c r="AU499" s="241"/>
      <c r="AV499" s="256"/>
      <c r="AW499" s="241"/>
      <c r="AX499" s="256"/>
      <c r="AY499" s="241"/>
      <c r="AZ499" s="256"/>
      <c r="BA499" s="239"/>
      <c r="BB499" s="242"/>
      <c r="BC499" s="239"/>
      <c r="BD499" s="242"/>
      <c r="BE499" s="239"/>
      <c r="BF499" s="241"/>
      <c r="BG499" s="239"/>
      <c r="BH499" s="241"/>
      <c r="BI499" s="260"/>
      <c r="BJ499" s="241"/>
      <c r="BK499" s="260"/>
      <c r="BL499" s="239"/>
      <c r="BM499" s="256"/>
      <c r="BN499" s="241"/>
      <c r="BO499" s="243"/>
      <c r="BP499" s="241"/>
      <c r="BQ499" s="239"/>
      <c r="BR499" s="276"/>
      <c r="BS499" s="256"/>
      <c r="BT499" s="260"/>
      <c r="BU499" s="261"/>
      <c r="BV499" s="260"/>
      <c r="BW499" s="239"/>
      <c r="BX499" s="260"/>
      <c r="BY499" s="260"/>
      <c r="BZ499" s="239"/>
      <c r="CA499" s="260"/>
      <c r="CB499" s="239"/>
      <c r="CC499" s="260"/>
      <c r="CD499" s="539"/>
      <c r="CE499" s="239"/>
      <c r="CF499" s="276"/>
      <c r="CG499" s="256"/>
      <c r="CH499" s="259"/>
      <c r="CI499" s="347"/>
      <c r="CJ499" s="540"/>
      <c r="CK499" s="256"/>
      <c r="CL499" s="244">
        <v>1</v>
      </c>
      <c r="CM499" s="274">
        <f t="shared" si="7"/>
        <v>2015</v>
      </c>
      <c r="CN499" s="244">
        <f>IF('Grille de saisie'!CM499&lt;18,0,IF('Grille de saisie'!CM499&lt;40,1,IF('Grille de saisie'!CM499&lt;65,2,IF('Grille de saisie'!CM499&lt;100,3,4))))</f>
        <v>4</v>
      </c>
      <c r="CO499" s="236">
        <f>IF(AND('Grille de saisie'!C499=1,'Grille de saisie'!BZ499=0),1,IF(AND('Grille de saisie'!C499="",'Grille de saisie'!BZ499=""),3,IF(AND('Grille de saisie'!C499=5),3,2)))</f>
        <v>3</v>
      </c>
      <c r="CP499" s="236">
        <f>IF(AND('Grille de saisie'!C499=1,'Grille de saisie'!BZ499=0),1,IF(AND('Grille de saisie'!C499=1,'Grille de saisie'!BZ499=1),2,IF(AND('Grille de saisie'!C499=2,'Grille de saisie'!BZ499=0),2,IF(AND('Grille de saisie'!C499=3,'Grille de saisie'!BZ499=0),3,IF(AND('Grille de saisie'!C499=2,'Grille de saisie'!BZ499=1),3,IF(AND('Grille de saisie'!C499=1,'Grille de saisie'!BZ499=2),3,IF(AND('Grille de saisie'!C499="",'Grille de saisie'!BZ499=""),5,IF(AND('Grille de saisie'!C499=5),5,4))))))))</f>
        <v>5</v>
      </c>
      <c r="CQ499" s="237">
        <f>IF('Grille de saisie'!BZ499="",3,IF('Grille de saisie'!C499=5,3,IF('Grille de saisie'!BZ499=0,1,2)))</f>
        <v>3</v>
      </c>
    </row>
    <row r="500" spans="1:95" ht="15">
      <c r="A500" s="510">
        <v>498</v>
      </c>
      <c r="B500" s="240"/>
      <c r="C500" s="513"/>
      <c r="D500" s="240"/>
      <c r="E500" s="517"/>
      <c r="F500" s="265"/>
      <c r="G500" s="513"/>
      <c r="H500" s="265"/>
      <c r="I500" s="520"/>
      <c r="J500" s="241"/>
      <c r="K500" s="520"/>
      <c r="L500" s="241"/>
      <c r="M500" s="521"/>
      <c r="N500" s="241"/>
      <c r="O500" s="521"/>
      <c r="P500" s="241"/>
      <c r="Q500" s="520"/>
      <c r="R500" s="241"/>
      <c r="S500" s="520"/>
      <c r="T500" s="241"/>
      <c r="U500" s="520"/>
      <c r="V500" s="241"/>
      <c r="W500" s="242"/>
      <c r="X500" s="241"/>
      <c r="Y500" s="242"/>
      <c r="Z500" s="241"/>
      <c r="AA500" s="241"/>
      <c r="AB500" s="275"/>
      <c r="AC500" s="524"/>
      <c r="AD500" s="241"/>
      <c r="AE500" s="241"/>
      <c r="AF500" s="241"/>
      <c r="AG500" s="241"/>
      <c r="AH500" s="241"/>
      <c r="AI500" s="241"/>
      <c r="AJ500" s="529"/>
      <c r="AK500" s="258"/>
      <c r="AL500" s="241"/>
      <c r="AM500" s="242"/>
      <c r="AN500" s="241"/>
      <c r="AO500" s="242"/>
      <c r="AP500" s="241"/>
      <c r="AQ500" s="242"/>
      <c r="AR500" s="241"/>
      <c r="AS500" s="242"/>
      <c r="AT500" s="241"/>
      <c r="AU500" s="241"/>
      <c r="AV500" s="256"/>
      <c r="AW500" s="241"/>
      <c r="AX500" s="256"/>
      <c r="AY500" s="241"/>
      <c r="AZ500" s="256"/>
      <c r="BA500" s="239"/>
      <c r="BB500" s="242"/>
      <c r="BC500" s="239"/>
      <c r="BD500" s="242"/>
      <c r="BE500" s="239"/>
      <c r="BF500" s="241"/>
      <c r="BG500" s="239"/>
      <c r="BH500" s="241"/>
      <c r="BI500" s="260"/>
      <c r="BJ500" s="241"/>
      <c r="BK500" s="260"/>
      <c r="BL500" s="239"/>
      <c r="BM500" s="256"/>
      <c r="BN500" s="241"/>
      <c r="BO500" s="243"/>
      <c r="BP500" s="241"/>
      <c r="BQ500" s="239"/>
      <c r="BR500" s="276"/>
      <c r="BS500" s="256"/>
      <c r="BT500" s="260"/>
      <c r="BU500" s="261"/>
      <c r="BV500" s="260"/>
      <c r="BW500" s="239"/>
      <c r="BX500" s="260"/>
      <c r="BY500" s="260"/>
      <c r="BZ500" s="239"/>
      <c r="CA500" s="260"/>
      <c r="CB500" s="239"/>
      <c r="CC500" s="260"/>
      <c r="CD500" s="539"/>
      <c r="CE500" s="239"/>
      <c r="CF500" s="276"/>
      <c r="CG500" s="256"/>
      <c r="CH500" s="259"/>
      <c r="CI500" s="347"/>
      <c r="CJ500" s="540"/>
      <c r="CK500" s="256"/>
      <c r="CL500" s="244">
        <v>1</v>
      </c>
      <c r="CM500" s="274">
        <f t="shared" si="7"/>
        <v>2015</v>
      </c>
      <c r="CN500" s="244">
        <f>IF('Grille de saisie'!CM500&lt;18,0,IF('Grille de saisie'!CM500&lt;40,1,IF('Grille de saisie'!CM500&lt;65,2,IF('Grille de saisie'!CM500&lt;100,3,4))))</f>
        <v>4</v>
      </c>
      <c r="CO500" s="236">
        <f>IF(AND('Grille de saisie'!C500=1,'Grille de saisie'!BZ500=0),1,IF(AND('Grille de saisie'!C500="",'Grille de saisie'!BZ500=""),3,IF(AND('Grille de saisie'!C500=5),3,2)))</f>
        <v>3</v>
      </c>
      <c r="CP500" s="236">
        <f>IF(AND('Grille de saisie'!C500=1,'Grille de saisie'!BZ500=0),1,IF(AND('Grille de saisie'!C500=1,'Grille de saisie'!BZ500=1),2,IF(AND('Grille de saisie'!C500=2,'Grille de saisie'!BZ500=0),2,IF(AND('Grille de saisie'!C500=3,'Grille de saisie'!BZ500=0),3,IF(AND('Grille de saisie'!C500=2,'Grille de saisie'!BZ500=1),3,IF(AND('Grille de saisie'!C500=1,'Grille de saisie'!BZ500=2),3,IF(AND('Grille de saisie'!C500="",'Grille de saisie'!BZ500=""),5,IF(AND('Grille de saisie'!C500=5),5,4))))))))</f>
        <v>5</v>
      </c>
      <c r="CQ500" s="237">
        <f>IF('Grille de saisie'!BZ500="",3,IF('Grille de saisie'!C500=5,3,IF('Grille de saisie'!BZ500=0,1,2)))</f>
        <v>3</v>
      </c>
    </row>
    <row r="501" spans="1:95" ht="15">
      <c r="A501" s="511">
        <v>499</v>
      </c>
      <c r="B501" s="240"/>
      <c r="C501" s="513"/>
      <c r="D501" s="240"/>
      <c r="E501" s="517"/>
      <c r="F501" s="265"/>
      <c r="G501" s="513"/>
      <c r="H501" s="265"/>
      <c r="I501" s="520"/>
      <c r="J501" s="241"/>
      <c r="K501" s="520"/>
      <c r="L501" s="241"/>
      <c r="M501" s="521"/>
      <c r="N501" s="241"/>
      <c r="O501" s="521"/>
      <c r="P501" s="241"/>
      <c r="Q501" s="520"/>
      <c r="R501" s="241"/>
      <c r="S501" s="520"/>
      <c r="T501" s="241"/>
      <c r="U501" s="520"/>
      <c r="V501" s="241"/>
      <c r="W501" s="242"/>
      <c r="X501" s="241"/>
      <c r="Y501" s="242"/>
      <c r="Z501" s="241"/>
      <c r="AA501" s="241"/>
      <c r="AB501" s="275"/>
      <c r="AC501" s="524"/>
      <c r="AD501" s="241"/>
      <c r="AE501" s="241"/>
      <c r="AF501" s="241"/>
      <c r="AG501" s="241"/>
      <c r="AH501" s="241"/>
      <c r="AI501" s="241"/>
      <c r="AJ501" s="529"/>
      <c r="AK501" s="258"/>
      <c r="AL501" s="241"/>
      <c r="AM501" s="242"/>
      <c r="AN501" s="241"/>
      <c r="AO501" s="242"/>
      <c r="AP501" s="241"/>
      <c r="AQ501" s="242"/>
      <c r="AR501" s="241"/>
      <c r="AS501" s="242"/>
      <c r="AT501" s="241"/>
      <c r="AU501" s="241"/>
      <c r="AV501" s="256"/>
      <c r="AW501" s="241"/>
      <c r="AX501" s="256"/>
      <c r="AY501" s="241"/>
      <c r="AZ501" s="256"/>
      <c r="BA501" s="239"/>
      <c r="BB501" s="242"/>
      <c r="BC501" s="239"/>
      <c r="BD501" s="242"/>
      <c r="BE501" s="239"/>
      <c r="BF501" s="241"/>
      <c r="BG501" s="239"/>
      <c r="BH501" s="241"/>
      <c r="BI501" s="260"/>
      <c r="BJ501" s="241"/>
      <c r="BK501" s="260"/>
      <c r="BL501" s="239"/>
      <c r="BM501" s="256"/>
      <c r="BN501" s="241"/>
      <c r="BO501" s="243"/>
      <c r="BP501" s="241"/>
      <c r="BQ501" s="239"/>
      <c r="BR501" s="276"/>
      <c r="BS501" s="256"/>
      <c r="BT501" s="260"/>
      <c r="BU501" s="261"/>
      <c r="BV501" s="260"/>
      <c r="BW501" s="239"/>
      <c r="BX501" s="260"/>
      <c r="BY501" s="260"/>
      <c r="BZ501" s="239"/>
      <c r="CA501" s="260"/>
      <c r="CB501" s="239"/>
      <c r="CC501" s="260"/>
      <c r="CD501" s="539"/>
      <c r="CE501" s="239"/>
      <c r="CF501" s="276"/>
      <c r="CG501" s="256"/>
      <c r="CH501" s="259"/>
      <c r="CI501" s="347"/>
      <c r="CJ501" s="540"/>
      <c r="CK501" s="256"/>
      <c r="CL501" s="244">
        <v>1</v>
      </c>
      <c r="CM501" s="274">
        <f t="shared" si="7"/>
        <v>2015</v>
      </c>
      <c r="CN501" s="244">
        <f>IF('Grille de saisie'!CM501&lt;18,0,IF('Grille de saisie'!CM501&lt;40,1,IF('Grille de saisie'!CM501&lt;65,2,IF('Grille de saisie'!CM501&lt;100,3,4))))</f>
        <v>4</v>
      </c>
      <c r="CO501" s="236">
        <f>IF(AND('Grille de saisie'!C501=1,'Grille de saisie'!BZ501=0),1,IF(AND('Grille de saisie'!C501="",'Grille de saisie'!BZ501=""),3,IF(AND('Grille de saisie'!C501=5),3,2)))</f>
        <v>3</v>
      </c>
      <c r="CP501" s="236">
        <f>IF(AND('Grille de saisie'!C501=1,'Grille de saisie'!BZ501=0),1,IF(AND('Grille de saisie'!C501=1,'Grille de saisie'!BZ501=1),2,IF(AND('Grille de saisie'!C501=2,'Grille de saisie'!BZ501=0),2,IF(AND('Grille de saisie'!C501=3,'Grille de saisie'!BZ501=0),3,IF(AND('Grille de saisie'!C501=2,'Grille de saisie'!BZ501=1),3,IF(AND('Grille de saisie'!C501=1,'Grille de saisie'!BZ501=2),3,IF(AND('Grille de saisie'!C501="",'Grille de saisie'!BZ501=""),5,IF(AND('Grille de saisie'!C501=5),5,4))))))))</f>
        <v>5</v>
      </c>
      <c r="CQ501" s="237">
        <f>IF('Grille de saisie'!BZ501="",3,IF('Grille de saisie'!C501=5,3,IF('Grille de saisie'!BZ501=0,1,2)))</f>
        <v>3</v>
      </c>
    </row>
    <row r="502" spans="1:95" ht="15">
      <c r="A502" s="510">
        <v>500</v>
      </c>
      <c r="B502" s="240"/>
      <c r="C502" s="513"/>
      <c r="D502" s="240"/>
      <c r="E502" s="517"/>
      <c r="F502" s="265"/>
      <c r="G502" s="513"/>
      <c r="H502" s="265"/>
      <c r="I502" s="520"/>
      <c r="J502" s="241"/>
      <c r="K502" s="520"/>
      <c r="L502" s="241"/>
      <c r="M502" s="521"/>
      <c r="N502" s="241"/>
      <c r="O502" s="521"/>
      <c r="P502" s="241"/>
      <c r="Q502" s="520"/>
      <c r="R502" s="241"/>
      <c r="S502" s="520"/>
      <c r="T502" s="241"/>
      <c r="U502" s="520"/>
      <c r="V502" s="241"/>
      <c r="W502" s="242"/>
      <c r="X502" s="241"/>
      <c r="Y502" s="242"/>
      <c r="Z502" s="241"/>
      <c r="AA502" s="241"/>
      <c r="AB502" s="275"/>
      <c r="AC502" s="524"/>
      <c r="AD502" s="241"/>
      <c r="AE502" s="241"/>
      <c r="AF502" s="241"/>
      <c r="AG502" s="241"/>
      <c r="AH502" s="241"/>
      <c r="AI502" s="241"/>
      <c r="AJ502" s="529"/>
      <c r="AK502" s="258"/>
      <c r="AL502" s="241"/>
      <c r="AM502" s="242"/>
      <c r="AN502" s="241"/>
      <c r="AO502" s="242"/>
      <c r="AP502" s="241"/>
      <c r="AQ502" s="242"/>
      <c r="AR502" s="241"/>
      <c r="AS502" s="242"/>
      <c r="AT502" s="241"/>
      <c r="AU502" s="241"/>
      <c r="AV502" s="256"/>
      <c r="AW502" s="241"/>
      <c r="AX502" s="256"/>
      <c r="AY502" s="241"/>
      <c r="AZ502" s="256"/>
      <c r="BA502" s="239"/>
      <c r="BB502" s="242"/>
      <c r="BC502" s="239"/>
      <c r="BD502" s="242"/>
      <c r="BE502" s="239"/>
      <c r="BF502" s="241"/>
      <c r="BG502" s="239"/>
      <c r="BH502" s="241"/>
      <c r="BI502" s="260"/>
      <c r="BJ502" s="241"/>
      <c r="BK502" s="260"/>
      <c r="BL502" s="239"/>
      <c r="BM502" s="256"/>
      <c r="BN502" s="241"/>
      <c r="BO502" s="243"/>
      <c r="BP502" s="241"/>
      <c r="BQ502" s="239"/>
      <c r="BR502" s="276"/>
      <c r="BS502" s="256"/>
      <c r="BT502" s="260"/>
      <c r="BU502" s="261"/>
      <c r="BV502" s="260"/>
      <c r="BW502" s="239"/>
      <c r="BX502" s="260"/>
      <c r="BY502" s="260"/>
      <c r="BZ502" s="239"/>
      <c r="CA502" s="260"/>
      <c r="CB502" s="239"/>
      <c r="CC502" s="260"/>
      <c r="CD502" s="539"/>
      <c r="CE502" s="239"/>
      <c r="CF502" s="276"/>
      <c r="CG502" s="256"/>
      <c r="CH502" s="259"/>
      <c r="CI502" s="347"/>
      <c r="CJ502" s="540"/>
      <c r="CK502" s="256"/>
      <c r="CL502" s="244">
        <v>1</v>
      </c>
      <c r="CM502" s="274">
        <f t="shared" si="7"/>
        <v>2015</v>
      </c>
      <c r="CN502" s="244">
        <f>IF('Grille de saisie'!CM502&lt;18,0,IF('Grille de saisie'!CM502&lt;40,1,IF('Grille de saisie'!CM502&lt;65,2,IF('Grille de saisie'!CM502&lt;100,3,4))))</f>
        <v>4</v>
      </c>
      <c r="CO502" s="236">
        <f>IF(AND('Grille de saisie'!C502=1,'Grille de saisie'!BZ502=0),1,IF(AND('Grille de saisie'!C502="",'Grille de saisie'!BZ502=""),3,IF(AND('Grille de saisie'!C502=5),3,2)))</f>
        <v>3</v>
      </c>
      <c r="CP502" s="236">
        <f>IF(AND('Grille de saisie'!C502=1,'Grille de saisie'!BZ502=0),1,IF(AND('Grille de saisie'!C502=1,'Grille de saisie'!BZ502=1),2,IF(AND('Grille de saisie'!C502=2,'Grille de saisie'!BZ502=0),2,IF(AND('Grille de saisie'!C502=3,'Grille de saisie'!BZ502=0),3,IF(AND('Grille de saisie'!C502=2,'Grille de saisie'!BZ502=1),3,IF(AND('Grille de saisie'!C502=1,'Grille de saisie'!BZ502=2),3,IF(AND('Grille de saisie'!C502="",'Grille de saisie'!BZ502=""),5,IF(AND('Grille de saisie'!C502=5),5,4))))))))</f>
        <v>5</v>
      </c>
      <c r="CQ502" s="237">
        <f>IF('Grille de saisie'!BZ502="",3,IF('Grille de saisie'!C502=5,3,IF('Grille de saisie'!BZ502=0,1,2)))</f>
        <v>3</v>
      </c>
    </row>
    <row r="503" spans="1:95" ht="15">
      <c r="A503" s="510">
        <v>501</v>
      </c>
      <c r="B503" s="240"/>
      <c r="C503" s="513"/>
      <c r="D503" s="240"/>
      <c r="E503" s="517"/>
      <c r="F503" s="265"/>
      <c r="G503" s="513"/>
      <c r="H503" s="265"/>
      <c r="I503" s="520"/>
      <c r="J503" s="241"/>
      <c r="K503" s="520"/>
      <c r="L503" s="241"/>
      <c r="M503" s="521"/>
      <c r="N503" s="241"/>
      <c r="O503" s="521"/>
      <c r="P503" s="241"/>
      <c r="Q503" s="520"/>
      <c r="R503" s="241"/>
      <c r="S503" s="520"/>
      <c r="T503" s="241"/>
      <c r="U503" s="520"/>
      <c r="V503" s="241"/>
      <c r="W503" s="242"/>
      <c r="X503" s="241"/>
      <c r="Y503" s="242"/>
      <c r="Z503" s="241"/>
      <c r="AA503" s="241"/>
      <c r="AB503" s="275"/>
      <c r="AC503" s="524"/>
      <c r="AD503" s="241"/>
      <c r="AE503" s="241"/>
      <c r="AF503" s="241"/>
      <c r="AG503" s="241"/>
      <c r="AH503" s="241"/>
      <c r="AI503" s="241"/>
      <c r="AJ503" s="529"/>
      <c r="AK503" s="258"/>
      <c r="AL503" s="241"/>
      <c r="AM503" s="242"/>
      <c r="AN503" s="241"/>
      <c r="AO503" s="242"/>
      <c r="AP503" s="241"/>
      <c r="AQ503" s="242"/>
      <c r="AR503" s="241"/>
      <c r="AS503" s="242"/>
      <c r="AT503" s="241"/>
      <c r="AU503" s="241"/>
      <c r="AV503" s="256"/>
      <c r="AW503" s="241"/>
      <c r="AX503" s="256"/>
      <c r="AY503" s="241"/>
      <c r="AZ503" s="256"/>
      <c r="BA503" s="239"/>
      <c r="BB503" s="242"/>
      <c r="BC503" s="239"/>
      <c r="BD503" s="242"/>
      <c r="BE503" s="239"/>
      <c r="BF503" s="241"/>
      <c r="BG503" s="239"/>
      <c r="BH503" s="241"/>
      <c r="BI503" s="260"/>
      <c r="BJ503" s="241"/>
      <c r="BK503" s="260"/>
      <c r="BL503" s="239"/>
      <c r="BM503" s="256"/>
      <c r="BN503" s="241"/>
      <c r="BO503" s="243"/>
      <c r="BP503" s="241"/>
      <c r="BQ503" s="239"/>
      <c r="BR503" s="276"/>
      <c r="BS503" s="256"/>
      <c r="BT503" s="260"/>
      <c r="BU503" s="261"/>
      <c r="BV503" s="260"/>
      <c r="BW503" s="239"/>
      <c r="BX503" s="260"/>
      <c r="BY503" s="260"/>
      <c r="BZ503" s="239"/>
      <c r="CA503" s="260"/>
      <c r="CB503" s="239"/>
      <c r="CC503" s="260"/>
      <c r="CD503" s="539"/>
      <c r="CE503" s="239"/>
      <c r="CF503" s="276"/>
      <c r="CG503" s="256"/>
      <c r="CH503" s="259"/>
      <c r="CI503" s="347"/>
      <c r="CJ503" s="540"/>
      <c r="CK503" s="256"/>
      <c r="CL503" s="244">
        <v>1</v>
      </c>
      <c r="CM503" s="274">
        <f t="shared" si="7"/>
        <v>2015</v>
      </c>
      <c r="CN503" s="244">
        <f>IF('Grille de saisie'!CM503&lt;18,0,IF('Grille de saisie'!CM503&lt;40,1,IF('Grille de saisie'!CM503&lt;65,2,IF('Grille de saisie'!CM503&lt;100,3,4))))</f>
        <v>4</v>
      </c>
      <c r="CO503" s="236">
        <f>IF(AND('Grille de saisie'!C503=1,'Grille de saisie'!BZ503=0),1,IF(AND('Grille de saisie'!C503="",'Grille de saisie'!BZ503=""),3,IF(AND('Grille de saisie'!C503=5),3,2)))</f>
        <v>3</v>
      </c>
      <c r="CP503" s="236">
        <f>IF(AND('Grille de saisie'!C503=1,'Grille de saisie'!BZ503=0),1,IF(AND('Grille de saisie'!C503=1,'Grille de saisie'!BZ503=1),2,IF(AND('Grille de saisie'!C503=2,'Grille de saisie'!BZ503=0),2,IF(AND('Grille de saisie'!C503=3,'Grille de saisie'!BZ503=0),3,IF(AND('Grille de saisie'!C503=2,'Grille de saisie'!BZ503=1),3,IF(AND('Grille de saisie'!C503=1,'Grille de saisie'!BZ503=2),3,IF(AND('Grille de saisie'!C503="",'Grille de saisie'!BZ503=""),5,IF(AND('Grille de saisie'!C503=5),5,4))))))))</f>
        <v>5</v>
      </c>
      <c r="CQ503" s="237">
        <f>IF('Grille de saisie'!BZ503="",3,IF('Grille de saisie'!C503=5,3,IF('Grille de saisie'!BZ503=0,1,2)))</f>
        <v>3</v>
      </c>
    </row>
    <row r="504" spans="1:95" ht="15">
      <c r="A504" s="511">
        <v>502</v>
      </c>
      <c r="B504" s="240"/>
      <c r="C504" s="513"/>
      <c r="D504" s="240"/>
      <c r="E504" s="517"/>
      <c r="F504" s="265"/>
      <c r="G504" s="513"/>
      <c r="H504" s="265"/>
      <c r="I504" s="520"/>
      <c r="J504" s="241"/>
      <c r="K504" s="520"/>
      <c r="L504" s="241"/>
      <c r="M504" s="521"/>
      <c r="N504" s="241"/>
      <c r="O504" s="521"/>
      <c r="P504" s="241"/>
      <c r="Q504" s="520"/>
      <c r="R504" s="241"/>
      <c r="S504" s="520"/>
      <c r="T504" s="241"/>
      <c r="U504" s="520"/>
      <c r="V504" s="241"/>
      <c r="W504" s="242"/>
      <c r="X504" s="241"/>
      <c r="Y504" s="242"/>
      <c r="Z504" s="241"/>
      <c r="AA504" s="241"/>
      <c r="AB504" s="275"/>
      <c r="AC504" s="524"/>
      <c r="AD504" s="241"/>
      <c r="AE504" s="241"/>
      <c r="AF504" s="241"/>
      <c r="AG504" s="241"/>
      <c r="AH504" s="241"/>
      <c r="AI504" s="241"/>
      <c r="AJ504" s="529"/>
      <c r="AK504" s="258"/>
      <c r="AL504" s="241"/>
      <c r="AM504" s="242"/>
      <c r="AN504" s="241"/>
      <c r="AO504" s="242"/>
      <c r="AP504" s="241"/>
      <c r="AQ504" s="242"/>
      <c r="AR504" s="241"/>
      <c r="AS504" s="242"/>
      <c r="AT504" s="241"/>
      <c r="AU504" s="241"/>
      <c r="AV504" s="256"/>
      <c r="AW504" s="241"/>
      <c r="AX504" s="256"/>
      <c r="AY504" s="241"/>
      <c r="AZ504" s="256"/>
      <c r="BA504" s="239"/>
      <c r="BB504" s="242"/>
      <c r="BC504" s="239"/>
      <c r="BD504" s="242"/>
      <c r="BE504" s="239"/>
      <c r="BF504" s="241"/>
      <c r="BG504" s="239"/>
      <c r="BH504" s="241"/>
      <c r="BI504" s="260"/>
      <c r="BJ504" s="241"/>
      <c r="BK504" s="260"/>
      <c r="BL504" s="239"/>
      <c r="BM504" s="256"/>
      <c r="BN504" s="241"/>
      <c r="BO504" s="243"/>
      <c r="BP504" s="241"/>
      <c r="BQ504" s="239"/>
      <c r="BR504" s="276"/>
      <c r="BS504" s="256"/>
      <c r="BT504" s="260"/>
      <c r="BU504" s="261"/>
      <c r="BV504" s="260"/>
      <c r="BW504" s="239"/>
      <c r="BX504" s="260"/>
      <c r="BY504" s="260"/>
      <c r="BZ504" s="239"/>
      <c r="CA504" s="260"/>
      <c r="CB504" s="239"/>
      <c r="CC504" s="260"/>
      <c r="CD504" s="539"/>
      <c r="CE504" s="239"/>
      <c r="CF504" s="276"/>
      <c r="CG504" s="256"/>
      <c r="CH504" s="259"/>
      <c r="CI504" s="347"/>
      <c r="CJ504" s="540"/>
      <c r="CK504" s="256"/>
      <c r="CL504" s="244">
        <v>1</v>
      </c>
      <c r="CM504" s="274">
        <f t="shared" si="7"/>
        <v>2015</v>
      </c>
      <c r="CN504" s="244">
        <f>IF('Grille de saisie'!CM504&lt;18,0,IF('Grille de saisie'!CM504&lt;40,1,IF('Grille de saisie'!CM504&lt;65,2,IF('Grille de saisie'!CM504&lt;100,3,4))))</f>
        <v>4</v>
      </c>
      <c r="CO504" s="236">
        <f>IF(AND('Grille de saisie'!C504=1,'Grille de saisie'!BZ504=0),1,IF(AND('Grille de saisie'!C504="",'Grille de saisie'!BZ504=""),3,IF(AND('Grille de saisie'!C504=5),3,2)))</f>
        <v>3</v>
      </c>
      <c r="CP504" s="236">
        <f>IF(AND('Grille de saisie'!C504=1,'Grille de saisie'!BZ504=0),1,IF(AND('Grille de saisie'!C504=1,'Grille de saisie'!BZ504=1),2,IF(AND('Grille de saisie'!C504=2,'Grille de saisie'!BZ504=0),2,IF(AND('Grille de saisie'!C504=3,'Grille de saisie'!BZ504=0),3,IF(AND('Grille de saisie'!C504=2,'Grille de saisie'!BZ504=1),3,IF(AND('Grille de saisie'!C504=1,'Grille de saisie'!BZ504=2),3,IF(AND('Grille de saisie'!C504="",'Grille de saisie'!BZ504=""),5,IF(AND('Grille de saisie'!C504=5),5,4))))))))</f>
        <v>5</v>
      </c>
      <c r="CQ504" s="237">
        <f>IF('Grille de saisie'!BZ504="",3,IF('Grille de saisie'!C504=5,3,IF('Grille de saisie'!BZ504=0,1,2)))</f>
        <v>3</v>
      </c>
    </row>
    <row r="505" spans="1:95" ht="15">
      <c r="A505" s="510">
        <v>503</v>
      </c>
      <c r="B505" s="240"/>
      <c r="C505" s="513"/>
      <c r="D505" s="240"/>
      <c r="E505" s="517"/>
      <c r="F505" s="265"/>
      <c r="G505" s="513"/>
      <c r="H505" s="265"/>
      <c r="I505" s="520"/>
      <c r="J505" s="241"/>
      <c r="K505" s="520"/>
      <c r="L505" s="241"/>
      <c r="M505" s="521"/>
      <c r="N505" s="241"/>
      <c r="O505" s="521"/>
      <c r="P505" s="241"/>
      <c r="Q505" s="520"/>
      <c r="R505" s="241"/>
      <c r="S505" s="520"/>
      <c r="T505" s="241"/>
      <c r="U505" s="520"/>
      <c r="V505" s="241"/>
      <c r="W505" s="242"/>
      <c r="X505" s="241"/>
      <c r="Y505" s="242"/>
      <c r="Z505" s="241"/>
      <c r="AA505" s="241"/>
      <c r="AB505" s="275"/>
      <c r="AC505" s="524"/>
      <c r="AD505" s="241"/>
      <c r="AE505" s="241"/>
      <c r="AF505" s="241"/>
      <c r="AG505" s="241"/>
      <c r="AH505" s="241"/>
      <c r="AI505" s="241"/>
      <c r="AJ505" s="529"/>
      <c r="AK505" s="258"/>
      <c r="AL505" s="241"/>
      <c r="AM505" s="242"/>
      <c r="AN505" s="241"/>
      <c r="AO505" s="242"/>
      <c r="AP505" s="241"/>
      <c r="AQ505" s="242"/>
      <c r="AR505" s="241"/>
      <c r="AS505" s="242"/>
      <c r="AT505" s="241"/>
      <c r="AU505" s="241"/>
      <c r="AV505" s="256"/>
      <c r="AW505" s="241"/>
      <c r="AX505" s="256"/>
      <c r="AY505" s="241"/>
      <c r="AZ505" s="256"/>
      <c r="BA505" s="239"/>
      <c r="BB505" s="242"/>
      <c r="BC505" s="239"/>
      <c r="BD505" s="242"/>
      <c r="BE505" s="239"/>
      <c r="BF505" s="241"/>
      <c r="BG505" s="239"/>
      <c r="BH505" s="241"/>
      <c r="BI505" s="260"/>
      <c r="BJ505" s="241"/>
      <c r="BK505" s="260"/>
      <c r="BL505" s="239"/>
      <c r="BM505" s="256"/>
      <c r="BN505" s="241"/>
      <c r="BO505" s="243"/>
      <c r="BP505" s="241"/>
      <c r="BQ505" s="239"/>
      <c r="BR505" s="276"/>
      <c r="BS505" s="256"/>
      <c r="BT505" s="260"/>
      <c r="BU505" s="261"/>
      <c r="BV505" s="260"/>
      <c r="BW505" s="239"/>
      <c r="BX505" s="260"/>
      <c r="BY505" s="260"/>
      <c r="BZ505" s="239"/>
      <c r="CA505" s="260"/>
      <c r="CB505" s="239"/>
      <c r="CC505" s="260"/>
      <c r="CD505" s="539"/>
      <c r="CE505" s="239"/>
      <c r="CF505" s="276"/>
      <c r="CG505" s="256"/>
      <c r="CH505" s="259"/>
      <c r="CI505" s="347"/>
      <c r="CJ505" s="540"/>
      <c r="CK505" s="256"/>
      <c r="CL505" s="244">
        <v>1</v>
      </c>
      <c r="CM505" s="274">
        <f t="shared" si="7"/>
        <v>2015</v>
      </c>
      <c r="CN505" s="244">
        <f>IF('Grille de saisie'!CM505&lt;18,0,IF('Grille de saisie'!CM505&lt;40,1,IF('Grille de saisie'!CM505&lt;65,2,IF('Grille de saisie'!CM505&lt;100,3,4))))</f>
        <v>4</v>
      </c>
      <c r="CO505" s="236">
        <f>IF(AND('Grille de saisie'!C505=1,'Grille de saisie'!BZ505=0),1,IF(AND('Grille de saisie'!C505="",'Grille de saisie'!BZ505=""),3,IF(AND('Grille de saisie'!C505=5),3,2)))</f>
        <v>3</v>
      </c>
      <c r="CP505" s="236">
        <f>IF(AND('Grille de saisie'!C505=1,'Grille de saisie'!BZ505=0),1,IF(AND('Grille de saisie'!C505=1,'Grille de saisie'!BZ505=1),2,IF(AND('Grille de saisie'!C505=2,'Grille de saisie'!BZ505=0),2,IF(AND('Grille de saisie'!C505=3,'Grille de saisie'!BZ505=0),3,IF(AND('Grille de saisie'!C505=2,'Grille de saisie'!BZ505=1),3,IF(AND('Grille de saisie'!C505=1,'Grille de saisie'!BZ505=2),3,IF(AND('Grille de saisie'!C505="",'Grille de saisie'!BZ505=""),5,IF(AND('Grille de saisie'!C505=5),5,4))))))))</f>
        <v>5</v>
      </c>
      <c r="CQ505" s="237">
        <f>IF('Grille de saisie'!BZ505="",3,IF('Grille de saisie'!C505=5,3,IF('Grille de saisie'!BZ505=0,1,2)))</f>
        <v>3</v>
      </c>
    </row>
    <row r="506" spans="1:95" ht="15">
      <c r="A506" s="510">
        <v>504</v>
      </c>
      <c r="B506" s="240"/>
      <c r="C506" s="513"/>
      <c r="D506" s="240"/>
      <c r="E506" s="517"/>
      <c r="F506" s="265"/>
      <c r="G506" s="513"/>
      <c r="H506" s="265"/>
      <c r="I506" s="520"/>
      <c r="J506" s="241"/>
      <c r="K506" s="520"/>
      <c r="L506" s="241"/>
      <c r="M506" s="521"/>
      <c r="N506" s="241"/>
      <c r="O506" s="521"/>
      <c r="P506" s="241"/>
      <c r="Q506" s="520"/>
      <c r="R506" s="241"/>
      <c r="S506" s="520"/>
      <c r="T506" s="241"/>
      <c r="U506" s="520"/>
      <c r="V506" s="241"/>
      <c r="W506" s="242"/>
      <c r="X506" s="241"/>
      <c r="Y506" s="242"/>
      <c r="Z506" s="241"/>
      <c r="AA506" s="241"/>
      <c r="AB506" s="275"/>
      <c r="AC506" s="524"/>
      <c r="AD506" s="241"/>
      <c r="AE506" s="241"/>
      <c r="AF506" s="241"/>
      <c r="AG506" s="241"/>
      <c r="AH506" s="241"/>
      <c r="AI506" s="241"/>
      <c r="AJ506" s="529"/>
      <c r="AK506" s="258"/>
      <c r="AL506" s="241"/>
      <c r="AM506" s="242"/>
      <c r="AN506" s="241"/>
      <c r="AO506" s="242"/>
      <c r="AP506" s="241"/>
      <c r="AQ506" s="242"/>
      <c r="AR506" s="241"/>
      <c r="AS506" s="242"/>
      <c r="AT506" s="241"/>
      <c r="AU506" s="241"/>
      <c r="AV506" s="256"/>
      <c r="AW506" s="241"/>
      <c r="AX506" s="256"/>
      <c r="AY506" s="241"/>
      <c r="AZ506" s="256"/>
      <c r="BA506" s="239"/>
      <c r="BB506" s="242"/>
      <c r="BC506" s="239"/>
      <c r="BD506" s="242"/>
      <c r="BE506" s="239"/>
      <c r="BF506" s="241"/>
      <c r="BG506" s="239"/>
      <c r="BH506" s="241"/>
      <c r="BI506" s="260"/>
      <c r="BJ506" s="241"/>
      <c r="BK506" s="260"/>
      <c r="BL506" s="239"/>
      <c r="BM506" s="256"/>
      <c r="BN506" s="241"/>
      <c r="BO506" s="243"/>
      <c r="BP506" s="241"/>
      <c r="BQ506" s="239"/>
      <c r="BR506" s="276"/>
      <c r="BS506" s="256"/>
      <c r="BT506" s="260"/>
      <c r="BU506" s="261"/>
      <c r="BV506" s="260"/>
      <c r="BW506" s="239"/>
      <c r="BX506" s="260"/>
      <c r="BY506" s="260"/>
      <c r="BZ506" s="239"/>
      <c r="CA506" s="260"/>
      <c r="CB506" s="239"/>
      <c r="CC506" s="260"/>
      <c r="CD506" s="539"/>
      <c r="CE506" s="239"/>
      <c r="CF506" s="276"/>
      <c r="CG506" s="256"/>
      <c r="CH506" s="259"/>
      <c r="CI506" s="347"/>
      <c r="CJ506" s="540"/>
      <c r="CK506" s="256"/>
      <c r="CL506" s="244">
        <v>1</v>
      </c>
      <c r="CM506" s="274">
        <f t="shared" si="7"/>
        <v>2015</v>
      </c>
      <c r="CN506" s="244">
        <f>IF('Grille de saisie'!CM506&lt;18,0,IF('Grille de saisie'!CM506&lt;40,1,IF('Grille de saisie'!CM506&lt;65,2,IF('Grille de saisie'!CM506&lt;100,3,4))))</f>
        <v>4</v>
      </c>
      <c r="CO506" s="236">
        <f>IF(AND('Grille de saisie'!C506=1,'Grille de saisie'!BZ506=0),1,IF(AND('Grille de saisie'!C506="",'Grille de saisie'!BZ506=""),3,IF(AND('Grille de saisie'!C506=5),3,2)))</f>
        <v>3</v>
      </c>
      <c r="CP506" s="236">
        <f>IF(AND('Grille de saisie'!C506=1,'Grille de saisie'!BZ506=0),1,IF(AND('Grille de saisie'!C506=1,'Grille de saisie'!BZ506=1),2,IF(AND('Grille de saisie'!C506=2,'Grille de saisie'!BZ506=0),2,IF(AND('Grille de saisie'!C506=3,'Grille de saisie'!BZ506=0),3,IF(AND('Grille de saisie'!C506=2,'Grille de saisie'!BZ506=1),3,IF(AND('Grille de saisie'!C506=1,'Grille de saisie'!BZ506=2),3,IF(AND('Grille de saisie'!C506="",'Grille de saisie'!BZ506=""),5,IF(AND('Grille de saisie'!C506=5),5,4))))))))</f>
        <v>5</v>
      </c>
      <c r="CQ506" s="237">
        <f>IF('Grille de saisie'!BZ506="",3,IF('Grille de saisie'!C506=5,3,IF('Grille de saisie'!BZ506=0,1,2)))</f>
        <v>3</v>
      </c>
    </row>
    <row r="507" spans="1:95" ht="15">
      <c r="A507" s="511">
        <v>505</v>
      </c>
      <c r="B507" s="240"/>
      <c r="C507" s="513"/>
      <c r="D507" s="240"/>
      <c r="E507" s="517"/>
      <c r="F507" s="265"/>
      <c r="G507" s="513"/>
      <c r="H507" s="265"/>
      <c r="I507" s="520"/>
      <c r="J507" s="241"/>
      <c r="K507" s="520"/>
      <c r="L507" s="241"/>
      <c r="M507" s="521"/>
      <c r="N507" s="241"/>
      <c r="O507" s="521"/>
      <c r="P507" s="241"/>
      <c r="Q507" s="520"/>
      <c r="R507" s="241"/>
      <c r="S507" s="520"/>
      <c r="T507" s="241"/>
      <c r="U507" s="520"/>
      <c r="V507" s="241"/>
      <c r="W507" s="242"/>
      <c r="X507" s="241"/>
      <c r="Y507" s="242"/>
      <c r="Z507" s="241"/>
      <c r="AA507" s="241"/>
      <c r="AB507" s="275"/>
      <c r="AC507" s="524"/>
      <c r="AD507" s="241"/>
      <c r="AE507" s="241"/>
      <c r="AF507" s="241"/>
      <c r="AG507" s="241"/>
      <c r="AH507" s="241"/>
      <c r="AI507" s="241"/>
      <c r="AJ507" s="529"/>
      <c r="AK507" s="258"/>
      <c r="AL507" s="241"/>
      <c r="AM507" s="242"/>
      <c r="AN507" s="241"/>
      <c r="AO507" s="242"/>
      <c r="AP507" s="241"/>
      <c r="AQ507" s="242"/>
      <c r="AR507" s="241"/>
      <c r="AS507" s="242"/>
      <c r="AT507" s="241"/>
      <c r="AU507" s="241"/>
      <c r="AV507" s="256"/>
      <c r="AW507" s="241"/>
      <c r="AX507" s="256"/>
      <c r="AY507" s="241"/>
      <c r="AZ507" s="256"/>
      <c r="BA507" s="239"/>
      <c r="BB507" s="242"/>
      <c r="BC507" s="239"/>
      <c r="BD507" s="242"/>
      <c r="BE507" s="239"/>
      <c r="BF507" s="241"/>
      <c r="BG507" s="239"/>
      <c r="BH507" s="241"/>
      <c r="BI507" s="260"/>
      <c r="BJ507" s="241"/>
      <c r="BK507" s="260"/>
      <c r="BL507" s="239"/>
      <c r="BM507" s="256"/>
      <c r="BN507" s="241"/>
      <c r="BO507" s="243"/>
      <c r="BP507" s="241"/>
      <c r="BQ507" s="239"/>
      <c r="BR507" s="276"/>
      <c r="BS507" s="256"/>
      <c r="BT507" s="260"/>
      <c r="BU507" s="261"/>
      <c r="BV507" s="260"/>
      <c r="BW507" s="239"/>
      <c r="BX507" s="260"/>
      <c r="BY507" s="260"/>
      <c r="BZ507" s="239"/>
      <c r="CA507" s="260"/>
      <c r="CB507" s="239"/>
      <c r="CC507" s="260"/>
      <c r="CD507" s="539"/>
      <c r="CE507" s="239"/>
      <c r="CF507" s="276"/>
      <c r="CG507" s="256"/>
      <c r="CH507" s="259"/>
      <c r="CI507" s="347"/>
      <c r="CJ507" s="540"/>
      <c r="CK507" s="256"/>
      <c r="CL507" s="244">
        <v>1</v>
      </c>
      <c r="CM507" s="274">
        <f t="shared" si="7"/>
        <v>2015</v>
      </c>
      <c r="CN507" s="244">
        <f>IF('Grille de saisie'!CM507&lt;18,0,IF('Grille de saisie'!CM507&lt;40,1,IF('Grille de saisie'!CM507&lt;65,2,IF('Grille de saisie'!CM507&lt;100,3,4))))</f>
        <v>4</v>
      </c>
      <c r="CO507" s="236">
        <f>IF(AND('Grille de saisie'!C507=1,'Grille de saisie'!BZ507=0),1,IF(AND('Grille de saisie'!C507="",'Grille de saisie'!BZ507=""),3,IF(AND('Grille de saisie'!C507=5),3,2)))</f>
        <v>3</v>
      </c>
      <c r="CP507" s="236">
        <f>IF(AND('Grille de saisie'!C507=1,'Grille de saisie'!BZ507=0),1,IF(AND('Grille de saisie'!C507=1,'Grille de saisie'!BZ507=1),2,IF(AND('Grille de saisie'!C507=2,'Grille de saisie'!BZ507=0),2,IF(AND('Grille de saisie'!C507=3,'Grille de saisie'!BZ507=0),3,IF(AND('Grille de saisie'!C507=2,'Grille de saisie'!BZ507=1),3,IF(AND('Grille de saisie'!C507=1,'Grille de saisie'!BZ507=2),3,IF(AND('Grille de saisie'!C507="",'Grille de saisie'!BZ507=""),5,IF(AND('Grille de saisie'!C507=5),5,4))))))))</f>
        <v>5</v>
      </c>
      <c r="CQ507" s="237">
        <f>IF('Grille de saisie'!BZ507="",3,IF('Grille de saisie'!C507=5,3,IF('Grille de saisie'!BZ507=0,1,2)))</f>
        <v>3</v>
      </c>
    </row>
    <row r="508" spans="1:95" ht="15">
      <c r="A508" s="510">
        <v>506</v>
      </c>
      <c r="B508" s="240"/>
      <c r="C508" s="513"/>
      <c r="D508" s="240"/>
      <c r="E508" s="517"/>
      <c r="F508" s="265"/>
      <c r="G508" s="513"/>
      <c r="H508" s="265"/>
      <c r="I508" s="520"/>
      <c r="J508" s="241"/>
      <c r="K508" s="520"/>
      <c r="L508" s="241"/>
      <c r="M508" s="521"/>
      <c r="N508" s="241"/>
      <c r="O508" s="521"/>
      <c r="P508" s="241"/>
      <c r="Q508" s="520"/>
      <c r="R508" s="241"/>
      <c r="S508" s="520"/>
      <c r="T508" s="241"/>
      <c r="U508" s="520"/>
      <c r="V508" s="241"/>
      <c r="W508" s="242"/>
      <c r="X508" s="241"/>
      <c r="Y508" s="242"/>
      <c r="Z508" s="241"/>
      <c r="AA508" s="241"/>
      <c r="AB508" s="275"/>
      <c r="AC508" s="524"/>
      <c r="AD508" s="241"/>
      <c r="AE508" s="241"/>
      <c r="AF508" s="241"/>
      <c r="AG508" s="241"/>
      <c r="AH508" s="241"/>
      <c r="AI508" s="241"/>
      <c r="AJ508" s="529"/>
      <c r="AK508" s="258"/>
      <c r="AL508" s="241"/>
      <c r="AM508" s="242"/>
      <c r="AN508" s="241"/>
      <c r="AO508" s="242"/>
      <c r="AP508" s="241"/>
      <c r="AQ508" s="242"/>
      <c r="AR508" s="241"/>
      <c r="AS508" s="242"/>
      <c r="AT508" s="241"/>
      <c r="AU508" s="241"/>
      <c r="AV508" s="256"/>
      <c r="AW508" s="241"/>
      <c r="AX508" s="256"/>
      <c r="AY508" s="241"/>
      <c r="AZ508" s="256"/>
      <c r="BA508" s="239"/>
      <c r="BB508" s="242"/>
      <c r="BC508" s="239"/>
      <c r="BD508" s="242"/>
      <c r="BE508" s="239"/>
      <c r="BF508" s="241"/>
      <c r="BG508" s="239"/>
      <c r="BH508" s="241"/>
      <c r="BI508" s="260"/>
      <c r="BJ508" s="241"/>
      <c r="BK508" s="260"/>
      <c r="BL508" s="239"/>
      <c r="BM508" s="256"/>
      <c r="BN508" s="241"/>
      <c r="BO508" s="243"/>
      <c r="BP508" s="241"/>
      <c r="BQ508" s="239"/>
      <c r="BR508" s="276"/>
      <c r="BS508" s="256"/>
      <c r="BT508" s="260"/>
      <c r="BU508" s="261"/>
      <c r="BV508" s="260"/>
      <c r="BW508" s="239"/>
      <c r="BX508" s="260"/>
      <c r="BY508" s="260"/>
      <c r="BZ508" s="239"/>
      <c r="CA508" s="260"/>
      <c r="CB508" s="239"/>
      <c r="CC508" s="260"/>
      <c r="CD508" s="539"/>
      <c r="CE508" s="239"/>
      <c r="CF508" s="276"/>
      <c r="CG508" s="256"/>
      <c r="CH508" s="259"/>
      <c r="CI508" s="347"/>
      <c r="CJ508" s="540"/>
      <c r="CK508" s="256"/>
      <c r="CL508" s="244">
        <v>1</v>
      </c>
      <c r="CM508" s="274">
        <f t="shared" si="7"/>
        <v>2015</v>
      </c>
      <c r="CN508" s="244">
        <f>IF('Grille de saisie'!CM508&lt;18,0,IF('Grille de saisie'!CM508&lt;40,1,IF('Grille de saisie'!CM508&lt;65,2,IF('Grille de saisie'!CM508&lt;100,3,4))))</f>
        <v>4</v>
      </c>
      <c r="CO508" s="236">
        <f>IF(AND('Grille de saisie'!C508=1,'Grille de saisie'!BZ508=0),1,IF(AND('Grille de saisie'!C508="",'Grille de saisie'!BZ508=""),3,IF(AND('Grille de saisie'!C508=5),3,2)))</f>
        <v>3</v>
      </c>
      <c r="CP508" s="236">
        <f>IF(AND('Grille de saisie'!C508=1,'Grille de saisie'!BZ508=0),1,IF(AND('Grille de saisie'!C508=1,'Grille de saisie'!BZ508=1),2,IF(AND('Grille de saisie'!C508=2,'Grille de saisie'!BZ508=0),2,IF(AND('Grille de saisie'!C508=3,'Grille de saisie'!BZ508=0),3,IF(AND('Grille de saisie'!C508=2,'Grille de saisie'!BZ508=1),3,IF(AND('Grille de saisie'!C508=1,'Grille de saisie'!BZ508=2),3,IF(AND('Grille de saisie'!C508="",'Grille de saisie'!BZ508=""),5,IF(AND('Grille de saisie'!C508=5),5,4))))))))</f>
        <v>5</v>
      </c>
      <c r="CQ508" s="237">
        <f>IF('Grille de saisie'!BZ508="",3,IF('Grille de saisie'!C508=5,3,IF('Grille de saisie'!BZ508=0,1,2)))</f>
        <v>3</v>
      </c>
    </row>
    <row r="509" spans="1:95" ht="15">
      <c r="A509" s="510">
        <v>507</v>
      </c>
      <c r="B509" s="240"/>
      <c r="C509" s="513"/>
      <c r="D509" s="240"/>
      <c r="E509" s="517"/>
      <c r="F509" s="265"/>
      <c r="G509" s="513"/>
      <c r="H509" s="265"/>
      <c r="I509" s="520"/>
      <c r="J509" s="241"/>
      <c r="K509" s="520"/>
      <c r="L509" s="241"/>
      <c r="M509" s="521"/>
      <c r="N509" s="241"/>
      <c r="O509" s="521"/>
      <c r="P509" s="241"/>
      <c r="Q509" s="520"/>
      <c r="R509" s="241"/>
      <c r="S509" s="520"/>
      <c r="T509" s="241"/>
      <c r="U509" s="520"/>
      <c r="V509" s="241"/>
      <c r="W509" s="242"/>
      <c r="X509" s="241"/>
      <c r="Y509" s="242"/>
      <c r="Z509" s="241"/>
      <c r="AA509" s="241"/>
      <c r="AB509" s="275"/>
      <c r="AC509" s="524"/>
      <c r="AD509" s="241"/>
      <c r="AE509" s="241"/>
      <c r="AF509" s="241"/>
      <c r="AG509" s="241"/>
      <c r="AH509" s="241"/>
      <c r="AI509" s="241"/>
      <c r="AJ509" s="529"/>
      <c r="AK509" s="258"/>
      <c r="AL509" s="241"/>
      <c r="AM509" s="242"/>
      <c r="AN509" s="241"/>
      <c r="AO509" s="242"/>
      <c r="AP509" s="241"/>
      <c r="AQ509" s="242"/>
      <c r="AR509" s="241"/>
      <c r="AS509" s="242"/>
      <c r="AT509" s="241"/>
      <c r="AU509" s="241"/>
      <c r="AV509" s="256"/>
      <c r="AW509" s="241"/>
      <c r="AX509" s="256"/>
      <c r="AY509" s="241"/>
      <c r="AZ509" s="256"/>
      <c r="BA509" s="239"/>
      <c r="BB509" s="242"/>
      <c r="BC509" s="239"/>
      <c r="BD509" s="242"/>
      <c r="BE509" s="239"/>
      <c r="BF509" s="241"/>
      <c r="BG509" s="239"/>
      <c r="BH509" s="241"/>
      <c r="BI509" s="260"/>
      <c r="BJ509" s="241"/>
      <c r="BK509" s="260"/>
      <c r="BL509" s="239"/>
      <c r="BM509" s="256"/>
      <c r="BN509" s="241"/>
      <c r="BO509" s="243"/>
      <c r="BP509" s="241"/>
      <c r="BQ509" s="239"/>
      <c r="BR509" s="276"/>
      <c r="BS509" s="256"/>
      <c r="BT509" s="260"/>
      <c r="BU509" s="261"/>
      <c r="BV509" s="260"/>
      <c r="BW509" s="239"/>
      <c r="BX509" s="260"/>
      <c r="BY509" s="260"/>
      <c r="BZ509" s="239"/>
      <c r="CA509" s="260"/>
      <c r="CB509" s="239"/>
      <c r="CC509" s="260"/>
      <c r="CD509" s="539"/>
      <c r="CE509" s="239"/>
      <c r="CF509" s="276"/>
      <c r="CG509" s="256"/>
      <c r="CH509" s="259"/>
      <c r="CI509" s="347"/>
      <c r="CJ509" s="540"/>
      <c r="CK509" s="256"/>
      <c r="CL509" s="244">
        <v>1</v>
      </c>
      <c r="CM509" s="274">
        <f t="shared" si="7"/>
        <v>2015</v>
      </c>
      <c r="CN509" s="244">
        <f>IF('Grille de saisie'!CM509&lt;18,0,IF('Grille de saisie'!CM509&lt;40,1,IF('Grille de saisie'!CM509&lt;65,2,IF('Grille de saisie'!CM509&lt;100,3,4))))</f>
        <v>4</v>
      </c>
      <c r="CO509" s="236">
        <f>IF(AND('Grille de saisie'!C509=1,'Grille de saisie'!BZ509=0),1,IF(AND('Grille de saisie'!C509="",'Grille de saisie'!BZ509=""),3,IF(AND('Grille de saisie'!C509=5),3,2)))</f>
        <v>3</v>
      </c>
      <c r="CP509" s="236">
        <f>IF(AND('Grille de saisie'!C509=1,'Grille de saisie'!BZ509=0),1,IF(AND('Grille de saisie'!C509=1,'Grille de saisie'!BZ509=1),2,IF(AND('Grille de saisie'!C509=2,'Grille de saisie'!BZ509=0),2,IF(AND('Grille de saisie'!C509=3,'Grille de saisie'!BZ509=0),3,IF(AND('Grille de saisie'!C509=2,'Grille de saisie'!BZ509=1),3,IF(AND('Grille de saisie'!C509=1,'Grille de saisie'!BZ509=2),3,IF(AND('Grille de saisie'!C509="",'Grille de saisie'!BZ509=""),5,IF(AND('Grille de saisie'!C509=5),5,4))))))))</f>
        <v>5</v>
      </c>
      <c r="CQ509" s="237">
        <f>IF('Grille de saisie'!BZ509="",3,IF('Grille de saisie'!C509=5,3,IF('Grille de saisie'!BZ509=0,1,2)))</f>
        <v>3</v>
      </c>
    </row>
    <row r="510" spans="1:95" ht="15">
      <c r="A510" s="511">
        <v>508</v>
      </c>
      <c r="B510" s="240"/>
      <c r="C510" s="513"/>
      <c r="D510" s="240"/>
      <c r="E510" s="517"/>
      <c r="F510" s="265"/>
      <c r="G510" s="513"/>
      <c r="H510" s="265"/>
      <c r="I510" s="520"/>
      <c r="J510" s="241"/>
      <c r="K510" s="520"/>
      <c r="L510" s="241"/>
      <c r="M510" s="521"/>
      <c r="N510" s="241"/>
      <c r="O510" s="521"/>
      <c r="P510" s="241"/>
      <c r="Q510" s="520"/>
      <c r="R510" s="241"/>
      <c r="S510" s="520"/>
      <c r="T510" s="241"/>
      <c r="U510" s="520"/>
      <c r="V510" s="241"/>
      <c r="W510" s="242"/>
      <c r="X510" s="241"/>
      <c r="Y510" s="242"/>
      <c r="Z510" s="241"/>
      <c r="AA510" s="241"/>
      <c r="AB510" s="275"/>
      <c r="AC510" s="524"/>
      <c r="AD510" s="241"/>
      <c r="AE510" s="241"/>
      <c r="AF510" s="241"/>
      <c r="AG510" s="241"/>
      <c r="AH510" s="241"/>
      <c r="AI510" s="241"/>
      <c r="AJ510" s="529"/>
      <c r="AK510" s="258"/>
      <c r="AL510" s="241"/>
      <c r="AM510" s="242"/>
      <c r="AN510" s="241"/>
      <c r="AO510" s="242"/>
      <c r="AP510" s="241"/>
      <c r="AQ510" s="242"/>
      <c r="AR510" s="241"/>
      <c r="AS510" s="242"/>
      <c r="AT510" s="241"/>
      <c r="AU510" s="241"/>
      <c r="AV510" s="256"/>
      <c r="AW510" s="241"/>
      <c r="AX510" s="256"/>
      <c r="AY510" s="241"/>
      <c r="AZ510" s="256"/>
      <c r="BA510" s="239"/>
      <c r="BB510" s="242"/>
      <c r="BC510" s="239"/>
      <c r="BD510" s="242"/>
      <c r="BE510" s="239"/>
      <c r="BF510" s="241"/>
      <c r="BG510" s="239"/>
      <c r="BH510" s="241"/>
      <c r="BI510" s="260"/>
      <c r="BJ510" s="241"/>
      <c r="BK510" s="260"/>
      <c r="BL510" s="239"/>
      <c r="BM510" s="256"/>
      <c r="BN510" s="241"/>
      <c r="BO510" s="243"/>
      <c r="BP510" s="241"/>
      <c r="BQ510" s="239"/>
      <c r="BR510" s="276"/>
      <c r="BS510" s="256"/>
      <c r="BT510" s="260"/>
      <c r="BU510" s="261"/>
      <c r="BV510" s="260"/>
      <c r="BW510" s="239"/>
      <c r="BX510" s="260"/>
      <c r="BY510" s="260"/>
      <c r="BZ510" s="239"/>
      <c r="CA510" s="260"/>
      <c r="CB510" s="239"/>
      <c r="CC510" s="260"/>
      <c r="CD510" s="539"/>
      <c r="CE510" s="239"/>
      <c r="CF510" s="276"/>
      <c r="CG510" s="256"/>
      <c r="CH510" s="259"/>
      <c r="CI510" s="347"/>
      <c r="CJ510" s="540"/>
      <c r="CK510" s="256"/>
      <c r="CL510" s="244">
        <v>1</v>
      </c>
      <c r="CM510" s="274">
        <f t="shared" si="7"/>
        <v>2015</v>
      </c>
      <c r="CN510" s="244">
        <f>IF('Grille de saisie'!CM510&lt;18,0,IF('Grille de saisie'!CM510&lt;40,1,IF('Grille de saisie'!CM510&lt;65,2,IF('Grille de saisie'!CM510&lt;100,3,4))))</f>
        <v>4</v>
      </c>
      <c r="CO510" s="236">
        <f>IF(AND('Grille de saisie'!C510=1,'Grille de saisie'!BZ510=0),1,IF(AND('Grille de saisie'!C510="",'Grille de saisie'!BZ510=""),3,IF(AND('Grille de saisie'!C510=5),3,2)))</f>
        <v>3</v>
      </c>
      <c r="CP510" s="236">
        <f>IF(AND('Grille de saisie'!C510=1,'Grille de saisie'!BZ510=0),1,IF(AND('Grille de saisie'!C510=1,'Grille de saisie'!BZ510=1),2,IF(AND('Grille de saisie'!C510=2,'Grille de saisie'!BZ510=0),2,IF(AND('Grille de saisie'!C510=3,'Grille de saisie'!BZ510=0),3,IF(AND('Grille de saisie'!C510=2,'Grille de saisie'!BZ510=1),3,IF(AND('Grille de saisie'!C510=1,'Grille de saisie'!BZ510=2),3,IF(AND('Grille de saisie'!C510="",'Grille de saisie'!BZ510=""),5,IF(AND('Grille de saisie'!C510=5),5,4))))))))</f>
        <v>5</v>
      </c>
      <c r="CQ510" s="237">
        <f>IF('Grille de saisie'!BZ510="",3,IF('Grille de saisie'!C510=5,3,IF('Grille de saisie'!BZ510=0,1,2)))</f>
        <v>3</v>
      </c>
    </row>
    <row r="511" spans="1:95" ht="15">
      <c r="A511" s="510">
        <v>509</v>
      </c>
      <c r="B511" s="240"/>
      <c r="C511" s="513"/>
      <c r="D511" s="240"/>
      <c r="E511" s="517"/>
      <c r="F511" s="265"/>
      <c r="G511" s="513"/>
      <c r="H511" s="265"/>
      <c r="I511" s="520"/>
      <c r="J511" s="241"/>
      <c r="K511" s="520"/>
      <c r="L511" s="241"/>
      <c r="M511" s="521"/>
      <c r="N511" s="241"/>
      <c r="O511" s="521"/>
      <c r="P511" s="241"/>
      <c r="Q511" s="520"/>
      <c r="R511" s="241"/>
      <c r="S511" s="520"/>
      <c r="T511" s="241"/>
      <c r="U511" s="520"/>
      <c r="V511" s="241"/>
      <c r="W511" s="242"/>
      <c r="X511" s="241"/>
      <c r="Y511" s="242"/>
      <c r="Z511" s="241"/>
      <c r="AA511" s="241"/>
      <c r="AB511" s="275"/>
      <c r="AC511" s="524"/>
      <c r="AD511" s="241"/>
      <c r="AE511" s="241"/>
      <c r="AF511" s="241"/>
      <c r="AG511" s="241"/>
      <c r="AH511" s="241"/>
      <c r="AI511" s="241"/>
      <c r="AJ511" s="529"/>
      <c r="AK511" s="258"/>
      <c r="AL511" s="241"/>
      <c r="AM511" s="242"/>
      <c r="AN511" s="241"/>
      <c r="AO511" s="242"/>
      <c r="AP511" s="241"/>
      <c r="AQ511" s="242"/>
      <c r="AR511" s="241"/>
      <c r="AS511" s="242"/>
      <c r="AT511" s="241"/>
      <c r="AU511" s="241"/>
      <c r="AV511" s="256"/>
      <c r="AW511" s="241"/>
      <c r="AX511" s="256"/>
      <c r="AY511" s="241"/>
      <c r="AZ511" s="256"/>
      <c r="BA511" s="239"/>
      <c r="BB511" s="242"/>
      <c r="BC511" s="239"/>
      <c r="BD511" s="242"/>
      <c r="BE511" s="239"/>
      <c r="BF511" s="241"/>
      <c r="BG511" s="239"/>
      <c r="BH511" s="241"/>
      <c r="BI511" s="260"/>
      <c r="BJ511" s="241"/>
      <c r="BK511" s="260"/>
      <c r="BL511" s="239"/>
      <c r="BM511" s="256"/>
      <c r="BN511" s="241"/>
      <c r="BO511" s="243"/>
      <c r="BP511" s="241"/>
      <c r="BQ511" s="239"/>
      <c r="BR511" s="276"/>
      <c r="BS511" s="256"/>
      <c r="BT511" s="260"/>
      <c r="BU511" s="261"/>
      <c r="BV511" s="260"/>
      <c r="BW511" s="239"/>
      <c r="BX511" s="260"/>
      <c r="BY511" s="260"/>
      <c r="BZ511" s="239"/>
      <c r="CA511" s="260"/>
      <c r="CB511" s="239"/>
      <c r="CC511" s="260"/>
      <c r="CD511" s="539"/>
      <c r="CE511" s="239"/>
      <c r="CF511" s="276"/>
      <c r="CG511" s="256"/>
      <c r="CH511" s="259"/>
      <c r="CI511" s="347"/>
      <c r="CJ511" s="540"/>
      <c r="CK511" s="256"/>
      <c r="CL511" s="244">
        <v>1</v>
      </c>
      <c r="CM511" s="274">
        <f t="shared" si="7"/>
        <v>2015</v>
      </c>
      <c r="CN511" s="244">
        <f>IF('Grille de saisie'!CM511&lt;18,0,IF('Grille de saisie'!CM511&lt;40,1,IF('Grille de saisie'!CM511&lt;65,2,IF('Grille de saisie'!CM511&lt;100,3,4))))</f>
        <v>4</v>
      </c>
      <c r="CO511" s="236">
        <f>IF(AND('Grille de saisie'!C511=1,'Grille de saisie'!BZ511=0),1,IF(AND('Grille de saisie'!C511="",'Grille de saisie'!BZ511=""),3,IF(AND('Grille de saisie'!C511=5),3,2)))</f>
        <v>3</v>
      </c>
      <c r="CP511" s="236">
        <f>IF(AND('Grille de saisie'!C511=1,'Grille de saisie'!BZ511=0),1,IF(AND('Grille de saisie'!C511=1,'Grille de saisie'!BZ511=1),2,IF(AND('Grille de saisie'!C511=2,'Grille de saisie'!BZ511=0),2,IF(AND('Grille de saisie'!C511=3,'Grille de saisie'!BZ511=0),3,IF(AND('Grille de saisie'!C511=2,'Grille de saisie'!BZ511=1),3,IF(AND('Grille de saisie'!C511=1,'Grille de saisie'!BZ511=2),3,IF(AND('Grille de saisie'!C511="",'Grille de saisie'!BZ511=""),5,IF(AND('Grille de saisie'!C511=5),5,4))))))))</f>
        <v>5</v>
      </c>
      <c r="CQ511" s="237">
        <f>IF('Grille de saisie'!BZ511="",3,IF('Grille de saisie'!C511=5,3,IF('Grille de saisie'!BZ511=0,1,2)))</f>
        <v>3</v>
      </c>
    </row>
    <row r="512" spans="1:95" ht="15">
      <c r="A512" s="510">
        <v>510</v>
      </c>
      <c r="B512" s="240"/>
      <c r="C512" s="513"/>
      <c r="D512" s="240"/>
      <c r="E512" s="517"/>
      <c r="F512" s="265"/>
      <c r="G512" s="513"/>
      <c r="H512" s="265"/>
      <c r="I512" s="520"/>
      <c r="J512" s="241"/>
      <c r="K512" s="520"/>
      <c r="L512" s="241"/>
      <c r="M512" s="521"/>
      <c r="N512" s="241"/>
      <c r="O512" s="521"/>
      <c r="P512" s="241"/>
      <c r="Q512" s="520"/>
      <c r="R512" s="241"/>
      <c r="S512" s="520"/>
      <c r="T512" s="241"/>
      <c r="U512" s="520"/>
      <c r="V512" s="241"/>
      <c r="W512" s="242"/>
      <c r="X512" s="241"/>
      <c r="Y512" s="242"/>
      <c r="Z512" s="241"/>
      <c r="AA512" s="241"/>
      <c r="AB512" s="275"/>
      <c r="AC512" s="524"/>
      <c r="AD512" s="241"/>
      <c r="AE512" s="241"/>
      <c r="AF512" s="241"/>
      <c r="AG512" s="241"/>
      <c r="AH512" s="241"/>
      <c r="AI512" s="241"/>
      <c r="AJ512" s="529"/>
      <c r="AK512" s="258"/>
      <c r="AL512" s="241"/>
      <c r="AM512" s="242"/>
      <c r="AN512" s="241"/>
      <c r="AO512" s="242"/>
      <c r="AP512" s="241"/>
      <c r="AQ512" s="242"/>
      <c r="AR512" s="241"/>
      <c r="AS512" s="242"/>
      <c r="AT512" s="241"/>
      <c r="AU512" s="241"/>
      <c r="AV512" s="256"/>
      <c r="AW512" s="241"/>
      <c r="AX512" s="256"/>
      <c r="AY512" s="241"/>
      <c r="AZ512" s="256"/>
      <c r="BA512" s="239"/>
      <c r="BB512" s="242"/>
      <c r="BC512" s="239"/>
      <c r="BD512" s="242"/>
      <c r="BE512" s="239"/>
      <c r="BF512" s="241"/>
      <c r="BG512" s="239"/>
      <c r="BH512" s="241"/>
      <c r="BI512" s="260"/>
      <c r="BJ512" s="241"/>
      <c r="BK512" s="260"/>
      <c r="BL512" s="239"/>
      <c r="BM512" s="256"/>
      <c r="BN512" s="241"/>
      <c r="BO512" s="243"/>
      <c r="BP512" s="241"/>
      <c r="BQ512" s="239"/>
      <c r="BR512" s="276"/>
      <c r="BS512" s="256"/>
      <c r="BT512" s="260"/>
      <c r="BU512" s="261"/>
      <c r="BV512" s="260"/>
      <c r="BW512" s="239"/>
      <c r="BX512" s="260"/>
      <c r="BY512" s="260"/>
      <c r="BZ512" s="239"/>
      <c r="CA512" s="260"/>
      <c r="CB512" s="239"/>
      <c r="CC512" s="260"/>
      <c r="CD512" s="539"/>
      <c r="CE512" s="239"/>
      <c r="CF512" s="276"/>
      <c r="CG512" s="256"/>
      <c r="CH512" s="259"/>
      <c r="CI512" s="347"/>
      <c r="CJ512" s="540"/>
      <c r="CK512" s="256"/>
      <c r="CL512" s="244">
        <v>1</v>
      </c>
      <c r="CM512" s="274">
        <f t="shared" si="7"/>
        <v>2015</v>
      </c>
      <c r="CN512" s="244">
        <f>IF('Grille de saisie'!CM512&lt;18,0,IF('Grille de saisie'!CM512&lt;40,1,IF('Grille de saisie'!CM512&lt;65,2,IF('Grille de saisie'!CM512&lt;100,3,4))))</f>
        <v>4</v>
      </c>
      <c r="CO512" s="236">
        <f>IF(AND('Grille de saisie'!C512=1,'Grille de saisie'!BZ512=0),1,IF(AND('Grille de saisie'!C512="",'Grille de saisie'!BZ512=""),3,IF(AND('Grille de saisie'!C512=5),3,2)))</f>
        <v>3</v>
      </c>
      <c r="CP512" s="236">
        <f>IF(AND('Grille de saisie'!C512=1,'Grille de saisie'!BZ512=0),1,IF(AND('Grille de saisie'!C512=1,'Grille de saisie'!BZ512=1),2,IF(AND('Grille de saisie'!C512=2,'Grille de saisie'!BZ512=0),2,IF(AND('Grille de saisie'!C512=3,'Grille de saisie'!BZ512=0),3,IF(AND('Grille de saisie'!C512=2,'Grille de saisie'!BZ512=1),3,IF(AND('Grille de saisie'!C512=1,'Grille de saisie'!BZ512=2),3,IF(AND('Grille de saisie'!C512="",'Grille de saisie'!BZ512=""),5,IF(AND('Grille de saisie'!C512=5),5,4))))))))</f>
        <v>5</v>
      </c>
      <c r="CQ512" s="237">
        <f>IF('Grille de saisie'!BZ512="",3,IF('Grille de saisie'!C512=5,3,IF('Grille de saisie'!BZ512=0,1,2)))</f>
        <v>3</v>
      </c>
    </row>
    <row r="513" spans="1:95" ht="15">
      <c r="A513" s="511">
        <v>511</v>
      </c>
      <c r="B513" s="240"/>
      <c r="C513" s="513"/>
      <c r="D513" s="240"/>
      <c r="E513" s="517"/>
      <c r="F513" s="265"/>
      <c r="G513" s="513"/>
      <c r="H513" s="265"/>
      <c r="I513" s="520"/>
      <c r="J513" s="241"/>
      <c r="K513" s="520"/>
      <c r="L513" s="241"/>
      <c r="M513" s="521"/>
      <c r="N513" s="241"/>
      <c r="O513" s="521"/>
      <c r="P513" s="241"/>
      <c r="Q513" s="520"/>
      <c r="R513" s="241"/>
      <c r="S513" s="520"/>
      <c r="T513" s="241"/>
      <c r="U513" s="520"/>
      <c r="V513" s="241"/>
      <c r="W513" s="242"/>
      <c r="X513" s="241"/>
      <c r="Y513" s="242"/>
      <c r="Z513" s="241"/>
      <c r="AA513" s="241"/>
      <c r="AB513" s="275"/>
      <c r="AC513" s="524"/>
      <c r="AD513" s="241"/>
      <c r="AE513" s="241"/>
      <c r="AF513" s="241"/>
      <c r="AG513" s="241"/>
      <c r="AH513" s="241"/>
      <c r="AI513" s="241"/>
      <c r="AJ513" s="529"/>
      <c r="AK513" s="258"/>
      <c r="AL513" s="241"/>
      <c r="AM513" s="242"/>
      <c r="AN513" s="241"/>
      <c r="AO513" s="242"/>
      <c r="AP513" s="241"/>
      <c r="AQ513" s="242"/>
      <c r="AR513" s="241"/>
      <c r="AS513" s="242"/>
      <c r="AT513" s="241"/>
      <c r="AU513" s="241"/>
      <c r="AV513" s="256"/>
      <c r="AW513" s="241"/>
      <c r="AX513" s="256"/>
      <c r="AY513" s="241"/>
      <c r="AZ513" s="256"/>
      <c r="BA513" s="239"/>
      <c r="BB513" s="242"/>
      <c r="BC513" s="239"/>
      <c r="BD513" s="242"/>
      <c r="BE513" s="239"/>
      <c r="BF513" s="241"/>
      <c r="BG513" s="239"/>
      <c r="BH513" s="241"/>
      <c r="BI513" s="260"/>
      <c r="BJ513" s="241"/>
      <c r="BK513" s="260"/>
      <c r="BL513" s="239"/>
      <c r="BM513" s="256"/>
      <c r="BN513" s="241"/>
      <c r="BO513" s="243"/>
      <c r="BP513" s="241"/>
      <c r="BQ513" s="239"/>
      <c r="BR513" s="276"/>
      <c r="BS513" s="256"/>
      <c r="BT513" s="260"/>
      <c r="BU513" s="261"/>
      <c r="BV513" s="260"/>
      <c r="BW513" s="239"/>
      <c r="BX513" s="260"/>
      <c r="BY513" s="260"/>
      <c r="BZ513" s="239"/>
      <c r="CA513" s="260"/>
      <c r="CB513" s="239"/>
      <c r="CC513" s="260"/>
      <c r="CD513" s="539"/>
      <c r="CE513" s="239"/>
      <c r="CF513" s="276"/>
      <c r="CG513" s="256"/>
      <c r="CH513" s="259"/>
      <c r="CI513" s="347"/>
      <c r="CJ513" s="540"/>
      <c r="CK513" s="256"/>
      <c r="CL513" s="244">
        <v>1</v>
      </c>
      <c r="CM513" s="274">
        <f t="shared" si="7"/>
        <v>2015</v>
      </c>
      <c r="CN513" s="244">
        <f>IF('Grille de saisie'!CM513&lt;18,0,IF('Grille de saisie'!CM513&lt;40,1,IF('Grille de saisie'!CM513&lt;65,2,IF('Grille de saisie'!CM513&lt;100,3,4))))</f>
        <v>4</v>
      </c>
      <c r="CO513" s="236">
        <f>IF(AND('Grille de saisie'!C513=1,'Grille de saisie'!BZ513=0),1,IF(AND('Grille de saisie'!C513="",'Grille de saisie'!BZ513=""),3,IF(AND('Grille de saisie'!C513=5),3,2)))</f>
        <v>3</v>
      </c>
      <c r="CP513" s="236">
        <f>IF(AND('Grille de saisie'!C513=1,'Grille de saisie'!BZ513=0),1,IF(AND('Grille de saisie'!C513=1,'Grille de saisie'!BZ513=1),2,IF(AND('Grille de saisie'!C513=2,'Grille de saisie'!BZ513=0),2,IF(AND('Grille de saisie'!C513=3,'Grille de saisie'!BZ513=0),3,IF(AND('Grille de saisie'!C513=2,'Grille de saisie'!BZ513=1),3,IF(AND('Grille de saisie'!C513=1,'Grille de saisie'!BZ513=2),3,IF(AND('Grille de saisie'!C513="",'Grille de saisie'!BZ513=""),5,IF(AND('Grille de saisie'!C513=5),5,4))))))))</f>
        <v>5</v>
      </c>
      <c r="CQ513" s="237">
        <f>IF('Grille de saisie'!BZ513="",3,IF('Grille de saisie'!C513=5,3,IF('Grille de saisie'!BZ513=0,1,2)))</f>
        <v>3</v>
      </c>
    </row>
    <row r="514" spans="1:95" ht="15">
      <c r="A514" s="510">
        <v>512</v>
      </c>
      <c r="B514" s="240"/>
      <c r="C514" s="513"/>
      <c r="D514" s="240"/>
      <c r="E514" s="517"/>
      <c r="F514" s="265"/>
      <c r="G514" s="513"/>
      <c r="H514" s="265"/>
      <c r="I514" s="520"/>
      <c r="J514" s="241"/>
      <c r="K514" s="520"/>
      <c r="L514" s="241"/>
      <c r="M514" s="521"/>
      <c r="N514" s="241"/>
      <c r="O514" s="521"/>
      <c r="P514" s="241"/>
      <c r="Q514" s="520"/>
      <c r="R514" s="241"/>
      <c r="S514" s="520"/>
      <c r="T514" s="241"/>
      <c r="U514" s="520"/>
      <c r="V514" s="241"/>
      <c r="W514" s="242"/>
      <c r="X514" s="241"/>
      <c r="Y514" s="242"/>
      <c r="Z514" s="241"/>
      <c r="AA514" s="241"/>
      <c r="AB514" s="275"/>
      <c r="AC514" s="524"/>
      <c r="AD514" s="241"/>
      <c r="AE514" s="241"/>
      <c r="AF514" s="241"/>
      <c r="AG514" s="241"/>
      <c r="AH514" s="241"/>
      <c r="AI514" s="241"/>
      <c r="AJ514" s="529"/>
      <c r="AK514" s="258"/>
      <c r="AL514" s="241"/>
      <c r="AM514" s="242"/>
      <c r="AN514" s="241"/>
      <c r="AO514" s="242"/>
      <c r="AP514" s="241"/>
      <c r="AQ514" s="242"/>
      <c r="AR514" s="241"/>
      <c r="AS514" s="242"/>
      <c r="AT514" s="241"/>
      <c r="AU514" s="241"/>
      <c r="AV514" s="256"/>
      <c r="AW514" s="241"/>
      <c r="AX514" s="256"/>
      <c r="AY514" s="241"/>
      <c r="AZ514" s="256"/>
      <c r="BA514" s="239"/>
      <c r="BB514" s="242"/>
      <c r="BC514" s="239"/>
      <c r="BD514" s="242"/>
      <c r="BE514" s="239"/>
      <c r="BF514" s="241"/>
      <c r="BG514" s="239"/>
      <c r="BH514" s="241"/>
      <c r="BI514" s="260"/>
      <c r="BJ514" s="241"/>
      <c r="BK514" s="260"/>
      <c r="BL514" s="239"/>
      <c r="BM514" s="256"/>
      <c r="BN514" s="241"/>
      <c r="BO514" s="243"/>
      <c r="BP514" s="241"/>
      <c r="BQ514" s="239"/>
      <c r="BR514" s="276"/>
      <c r="BS514" s="256"/>
      <c r="BT514" s="260"/>
      <c r="BU514" s="261"/>
      <c r="BV514" s="260"/>
      <c r="BW514" s="239"/>
      <c r="BX514" s="260"/>
      <c r="BY514" s="260"/>
      <c r="BZ514" s="239"/>
      <c r="CA514" s="260"/>
      <c r="CB514" s="239"/>
      <c r="CC514" s="260"/>
      <c r="CD514" s="539"/>
      <c r="CE514" s="239"/>
      <c r="CF514" s="276"/>
      <c r="CG514" s="256"/>
      <c r="CH514" s="259"/>
      <c r="CI514" s="347"/>
      <c r="CJ514" s="540"/>
      <c r="CK514" s="256"/>
      <c r="CL514" s="244">
        <v>1</v>
      </c>
      <c r="CM514" s="274">
        <f t="shared" si="7"/>
        <v>2015</v>
      </c>
      <c r="CN514" s="244">
        <f>IF('Grille de saisie'!CM514&lt;18,0,IF('Grille de saisie'!CM514&lt;40,1,IF('Grille de saisie'!CM514&lt;65,2,IF('Grille de saisie'!CM514&lt;100,3,4))))</f>
        <v>4</v>
      </c>
      <c r="CO514" s="236">
        <f>IF(AND('Grille de saisie'!C514=1,'Grille de saisie'!BZ514=0),1,IF(AND('Grille de saisie'!C514="",'Grille de saisie'!BZ514=""),3,IF(AND('Grille de saisie'!C514=5),3,2)))</f>
        <v>3</v>
      </c>
      <c r="CP514" s="236">
        <f>IF(AND('Grille de saisie'!C514=1,'Grille de saisie'!BZ514=0),1,IF(AND('Grille de saisie'!C514=1,'Grille de saisie'!BZ514=1),2,IF(AND('Grille de saisie'!C514=2,'Grille de saisie'!BZ514=0),2,IF(AND('Grille de saisie'!C514=3,'Grille de saisie'!BZ514=0),3,IF(AND('Grille de saisie'!C514=2,'Grille de saisie'!BZ514=1),3,IF(AND('Grille de saisie'!C514=1,'Grille de saisie'!BZ514=2),3,IF(AND('Grille de saisie'!C514="",'Grille de saisie'!BZ514=""),5,IF(AND('Grille de saisie'!C514=5),5,4))))))))</f>
        <v>5</v>
      </c>
      <c r="CQ514" s="237">
        <f>IF('Grille de saisie'!BZ514="",3,IF('Grille de saisie'!C514=5,3,IF('Grille de saisie'!BZ514=0,1,2)))</f>
        <v>3</v>
      </c>
    </row>
    <row r="515" spans="1:95" ht="15">
      <c r="A515" s="510">
        <v>513</v>
      </c>
      <c r="B515" s="240"/>
      <c r="C515" s="513"/>
      <c r="D515" s="240"/>
      <c r="E515" s="517"/>
      <c r="F515" s="265"/>
      <c r="G515" s="513"/>
      <c r="H515" s="265"/>
      <c r="I515" s="520"/>
      <c r="J515" s="241"/>
      <c r="K515" s="520"/>
      <c r="L515" s="241"/>
      <c r="M515" s="521"/>
      <c r="N515" s="241"/>
      <c r="O515" s="521"/>
      <c r="P515" s="241"/>
      <c r="Q515" s="520"/>
      <c r="R515" s="241"/>
      <c r="S515" s="520"/>
      <c r="T515" s="241"/>
      <c r="U515" s="520"/>
      <c r="V515" s="241"/>
      <c r="W515" s="242"/>
      <c r="X515" s="241"/>
      <c r="Y515" s="242"/>
      <c r="Z515" s="241"/>
      <c r="AA515" s="241"/>
      <c r="AB515" s="275"/>
      <c r="AC515" s="524"/>
      <c r="AD515" s="241"/>
      <c r="AE515" s="241"/>
      <c r="AF515" s="241"/>
      <c r="AG515" s="241"/>
      <c r="AH515" s="241"/>
      <c r="AI515" s="241"/>
      <c r="AJ515" s="529"/>
      <c r="AK515" s="258"/>
      <c r="AL515" s="241"/>
      <c r="AM515" s="242"/>
      <c r="AN515" s="241"/>
      <c r="AO515" s="242"/>
      <c r="AP515" s="241"/>
      <c r="AQ515" s="242"/>
      <c r="AR515" s="241"/>
      <c r="AS515" s="242"/>
      <c r="AT515" s="241"/>
      <c r="AU515" s="241"/>
      <c r="AV515" s="256"/>
      <c r="AW515" s="241"/>
      <c r="AX515" s="256"/>
      <c r="AY515" s="241"/>
      <c r="AZ515" s="256"/>
      <c r="BA515" s="239"/>
      <c r="BB515" s="242"/>
      <c r="BC515" s="239"/>
      <c r="BD515" s="242"/>
      <c r="BE515" s="239"/>
      <c r="BF515" s="241"/>
      <c r="BG515" s="239"/>
      <c r="BH515" s="241"/>
      <c r="BI515" s="260"/>
      <c r="BJ515" s="241"/>
      <c r="BK515" s="260"/>
      <c r="BL515" s="239"/>
      <c r="BM515" s="256"/>
      <c r="BN515" s="241"/>
      <c r="BO515" s="243"/>
      <c r="BP515" s="241"/>
      <c r="BQ515" s="239"/>
      <c r="BR515" s="276"/>
      <c r="BS515" s="256"/>
      <c r="BT515" s="260"/>
      <c r="BU515" s="261"/>
      <c r="BV515" s="260"/>
      <c r="BW515" s="239"/>
      <c r="BX515" s="260"/>
      <c r="BY515" s="260"/>
      <c r="BZ515" s="239"/>
      <c r="CA515" s="260"/>
      <c r="CB515" s="239"/>
      <c r="CC515" s="260"/>
      <c r="CD515" s="539"/>
      <c r="CE515" s="239"/>
      <c r="CF515" s="276"/>
      <c r="CG515" s="256"/>
      <c r="CH515" s="259"/>
      <c r="CI515" s="347"/>
      <c r="CJ515" s="540"/>
      <c r="CK515" s="256"/>
      <c r="CL515" s="244">
        <v>1</v>
      </c>
      <c r="CM515" s="274">
        <f t="shared" si="7"/>
        <v>2015</v>
      </c>
      <c r="CN515" s="244">
        <f>IF('Grille de saisie'!CM515&lt;18,0,IF('Grille de saisie'!CM515&lt;40,1,IF('Grille de saisie'!CM515&lt;65,2,IF('Grille de saisie'!CM515&lt;100,3,4))))</f>
        <v>4</v>
      </c>
      <c r="CO515" s="236">
        <f>IF(AND('Grille de saisie'!C515=1,'Grille de saisie'!BZ515=0),1,IF(AND('Grille de saisie'!C515="",'Grille de saisie'!BZ515=""),3,IF(AND('Grille de saisie'!C515=5),3,2)))</f>
        <v>3</v>
      </c>
      <c r="CP515" s="236">
        <f>IF(AND('Grille de saisie'!C515=1,'Grille de saisie'!BZ515=0),1,IF(AND('Grille de saisie'!C515=1,'Grille de saisie'!BZ515=1),2,IF(AND('Grille de saisie'!C515=2,'Grille de saisie'!BZ515=0),2,IF(AND('Grille de saisie'!C515=3,'Grille de saisie'!BZ515=0),3,IF(AND('Grille de saisie'!C515=2,'Grille de saisie'!BZ515=1),3,IF(AND('Grille de saisie'!C515=1,'Grille de saisie'!BZ515=2),3,IF(AND('Grille de saisie'!C515="",'Grille de saisie'!BZ515=""),5,IF(AND('Grille de saisie'!C515=5),5,4))))))))</f>
        <v>5</v>
      </c>
      <c r="CQ515" s="237">
        <f>IF('Grille de saisie'!BZ515="",3,IF('Grille de saisie'!C515=5,3,IF('Grille de saisie'!BZ515=0,1,2)))</f>
        <v>3</v>
      </c>
    </row>
    <row r="516" spans="1:95" ht="15">
      <c r="A516" s="511">
        <v>514</v>
      </c>
      <c r="B516" s="240"/>
      <c r="C516" s="513"/>
      <c r="D516" s="240"/>
      <c r="E516" s="517"/>
      <c r="F516" s="265"/>
      <c r="G516" s="513"/>
      <c r="H516" s="265"/>
      <c r="I516" s="520"/>
      <c r="J516" s="241"/>
      <c r="K516" s="520"/>
      <c r="L516" s="241"/>
      <c r="M516" s="521"/>
      <c r="N516" s="241"/>
      <c r="O516" s="521"/>
      <c r="P516" s="241"/>
      <c r="Q516" s="520"/>
      <c r="R516" s="241"/>
      <c r="S516" s="520"/>
      <c r="T516" s="241"/>
      <c r="U516" s="520"/>
      <c r="V516" s="241"/>
      <c r="W516" s="242"/>
      <c r="X516" s="241"/>
      <c r="Y516" s="242"/>
      <c r="Z516" s="241"/>
      <c r="AA516" s="241"/>
      <c r="AB516" s="275"/>
      <c r="AC516" s="524"/>
      <c r="AD516" s="241"/>
      <c r="AE516" s="241"/>
      <c r="AF516" s="241"/>
      <c r="AG516" s="241"/>
      <c r="AH516" s="241"/>
      <c r="AI516" s="241"/>
      <c r="AJ516" s="529"/>
      <c r="AK516" s="258"/>
      <c r="AL516" s="241"/>
      <c r="AM516" s="242"/>
      <c r="AN516" s="241"/>
      <c r="AO516" s="242"/>
      <c r="AP516" s="241"/>
      <c r="AQ516" s="242"/>
      <c r="AR516" s="241"/>
      <c r="AS516" s="242"/>
      <c r="AT516" s="241"/>
      <c r="AU516" s="241"/>
      <c r="AV516" s="256"/>
      <c r="AW516" s="241"/>
      <c r="AX516" s="256"/>
      <c r="AY516" s="241"/>
      <c r="AZ516" s="256"/>
      <c r="BA516" s="239"/>
      <c r="BB516" s="242"/>
      <c r="BC516" s="239"/>
      <c r="BD516" s="242"/>
      <c r="BE516" s="239"/>
      <c r="BF516" s="241"/>
      <c r="BG516" s="239"/>
      <c r="BH516" s="241"/>
      <c r="BI516" s="260"/>
      <c r="BJ516" s="241"/>
      <c r="BK516" s="260"/>
      <c r="BL516" s="239"/>
      <c r="BM516" s="256"/>
      <c r="BN516" s="241"/>
      <c r="BO516" s="243"/>
      <c r="BP516" s="241"/>
      <c r="BQ516" s="239"/>
      <c r="BR516" s="276"/>
      <c r="BS516" s="256"/>
      <c r="BT516" s="260"/>
      <c r="BU516" s="261"/>
      <c r="BV516" s="260"/>
      <c r="BW516" s="239"/>
      <c r="BX516" s="260"/>
      <c r="BY516" s="260"/>
      <c r="BZ516" s="239"/>
      <c r="CA516" s="260"/>
      <c r="CB516" s="239"/>
      <c r="CC516" s="260"/>
      <c r="CD516" s="539"/>
      <c r="CE516" s="239"/>
      <c r="CF516" s="276"/>
      <c r="CG516" s="256"/>
      <c r="CH516" s="259"/>
      <c r="CI516" s="347"/>
      <c r="CJ516" s="540"/>
      <c r="CK516" s="256"/>
      <c r="CL516" s="244">
        <v>1</v>
      </c>
      <c r="CM516" s="274">
        <f t="shared" ref="CM516:CM579" si="8">$A$1-CB516</f>
        <v>2015</v>
      </c>
      <c r="CN516" s="244">
        <f>IF('Grille de saisie'!CM516&lt;18,0,IF('Grille de saisie'!CM516&lt;40,1,IF('Grille de saisie'!CM516&lt;65,2,IF('Grille de saisie'!CM516&lt;100,3,4))))</f>
        <v>4</v>
      </c>
      <c r="CO516" s="236">
        <f>IF(AND('Grille de saisie'!C516=1,'Grille de saisie'!BZ516=0),1,IF(AND('Grille de saisie'!C516="",'Grille de saisie'!BZ516=""),3,IF(AND('Grille de saisie'!C516=5),3,2)))</f>
        <v>3</v>
      </c>
      <c r="CP516" s="236">
        <f>IF(AND('Grille de saisie'!C516=1,'Grille de saisie'!BZ516=0),1,IF(AND('Grille de saisie'!C516=1,'Grille de saisie'!BZ516=1),2,IF(AND('Grille de saisie'!C516=2,'Grille de saisie'!BZ516=0),2,IF(AND('Grille de saisie'!C516=3,'Grille de saisie'!BZ516=0),3,IF(AND('Grille de saisie'!C516=2,'Grille de saisie'!BZ516=1),3,IF(AND('Grille de saisie'!C516=1,'Grille de saisie'!BZ516=2),3,IF(AND('Grille de saisie'!C516="",'Grille de saisie'!BZ516=""),5,IF(AND('Grille de saisie'!C516=5),5,4))))))))</f>
        <v>5</v>
      </c>
      <c r="CQ516" s="237">
        <f>IF('Grille de saisie'!BZ516="",3,IF('Grille de saisie'!C516=5,3,IF('Grille de saisie'!BZ516=0,1,2)))</f>
        <v>3</v>
      </c>
    </row>
    <row r="517" spans="1:95" ht="15">
      <c r="A517" s="510">
        <v>515</v>
      </c>
      <c r="B517" s="240"/>
      <c r="C517" s="513"/>
      <c r="D517" s="240"/>
      <c r="E517" s="517"/>
      <c r="F517" s="265"/>
      <c r="G517" s="513"/>
      <c r="H517" s="265"/>
      <c r="I517" s="520"/>
      <c r="J517" s="241"/>
      <c r="K517" s="520"/>
      <c r="L517" s="241"/>
      <c r="M517" s="521"/>
      <c r="N517" s="241"/>
      <c r="O517" s="521"/>
      <c r="P517" s="241"/>
      <c r="Q517" s="520"/>
      <c r="R517" s="241"/>
      <c r="S517" s="520"/>
      <c r="T517" s="241"/>
      <c r="U517" s="520"/>
      <c r="V517" s="241"/>
      <c r="W517" s="242"/>
      <c r="X517" s="241"/>
      <c r="Y517" s="242"/>
      <c r="Z517" s="241"/>
      <c r="AA517" s="241"/>
      <c r="AB517" s="275"/>
      <c r="AC517" s="524"/>
      <c r="AD517" s="241"/>
      <c r="AE517" s="241"/>
      <c r="AF517" s="241"/>
      <c r="AG517" s="241"/>
      <c r="AH517" s="241"/>
      <c r="AI517" s="241"/>
      <c r="AJ517" s="529"/>
      <c r="AK517" s="258"/>
      <c r="AL517" s="241"/>
      <c r="AM517" s="242"/>
      <c r="AN517" s="241"/>
      <c r="AO517" s="242"/>
      <c r="AP517" s="241"/>
      <c r="AQ517" s="242"/>
      <c r="AR517" s="241"/>
      <c r="AS517" s="242"/>
      <c r="AT517" s="241"/>
      <c r="AU517" s="241"/>
      <c r="AV517" s="256"/>
      <c r="AW517" s="241"/>
      <c r="AX517" s="256"/>
      <c r="AY517" s="241"/>
      <c r="AZ517" s="256"/>
      <c r="BA517" s="239"/>
      <c r="BB517" s="242"/>
      <c r="BC517" s="239"/>
      <c r="BD517" s="242"/>
      <c r="BE517" s="239"/>
      <c r="BF517" s="241"/>
      <c r="BG517" s="239"/>
      <c r="BH517" s="241"/>
      <c r="BI517" s="260"/>
      <c r="BJ517" s="241"/>
      <c r="BK517" s="260"/>
      <c r="BL517" s="239"/>
      <c r="BM517" s="256"/>
      <c r="BN517" s="241"/>
      <c r="BO517" s="243"/>
      <c r="BP517" s="241"/>
      <c r="BQ517" s="239"/>
      <c r="BR517" s="276"/>
      <c r="BS517" s="256"/>
      <c r="BT517" s="260"/>
      <c r="BU517" s="261"/>
      <c r="BV517" s="260"/>
      <c r="BW517" s="239"/>
      <c r="BX517" s="260"/>
      <c r="BY517" s="260"/>
      <c r="BZ517" s="239"/>
      <c r="CA517" s="260"/>
      <c r="CB517" s="239"/>
      <c r="CC517" s="260"/>
      <c r="CD517" s="539"/>
      <c r="CE517" s="239"/>
      <c r="CF517" s="276"/>
      <c r="CG517" s="256"/>
      <c r="CH517" s="259"/>
      <c r="CI517" s="347"/>
      <c r="CJ517" s="540"/>
      <c r="CK517" s="256"/>
      <c r="CL517" s="244">
        <v>1</v>
      </c>
      <c r="CM517" s="274">
        <f t="shared" si="8"/>
        <v>2015</v>
      </c>
      <c r="CN517" s="244">
        <f>IF('Grille de saisie'!CM517&lt;18,0,IF('Grille de saisie'!CM517&lt;40,1,IF('Grille de saisie'!CM517&lt;65,2,IF('Grille de saisie'!CM517&lt;100,3,4))))</f>
        <v>4</v>
      </c>
      <c r="CO517" s="236">
        <f>IF(AND('Grille de saisie'!C517=1,'Grille de saisie'!BZ517=0),1,IF(AND('Grille de saisie'!C517="",'Grille de saisie'!BZ517=""),3,IF(AND('Grille de saisie'!C517=5),3,2)))</f>
        <v>3</v>
      </c>
      <c r="CP517" s="236">
        <f>IF(AND('Grille de saisie'!C517=1,'Grille de saisie'!BZ517=0),1,IF(AND('Grille de saisie'!C517=1,'Grille de saisie'!BZ517=1),2,IF(AND('Grille de saisie'!C517=2,'Grille de saisie'!BZ517=0),2,IF(AND('Grille de saisie'!C517=3,'Grille de saisie'!BZ517=0),3,IF(AND('Grille de saisie'!C517=2,'Grille de saisie'!BZ517=1),3,IF(AND('Grille de saisie'!C517=1,'Grille de saisie'!BZ517=2),3,IF(AND('Grille de saisie'!C517="",'Grille de saisie'!BZ517=""),5,IF(AND('Grille de saisie'!C517=5),5,4))))))))</f>
        <v>5</v>
      </c>
      <c r="CQ517" s="237">
        <f>IF('Grille de saisie'!BZ517="",3,IF('Grille de saisie'!C517=5,3,IF('Grille de saisie'!BZ517=0,1,2)))</f>
        <v>3</v>
      </c>
    </row>
    <row r="518" spans="1:95" ht="15">
      <c r="A518" s="510">
        <v>516</v>
      </c>
      <c r="B518" s="240"/>
      <c r="C518" s="513"/>
      <c r="D518" s="240"/>
      <c r="E518" s="517"/>
      <c r="F518" s="265"/>
      <c r="G518" s="513"/>
      <c r="H518" s="265"/>
      <c r="I518" s="520"/>
      <c r="J518" s="241"/>
      <c r="K518" s="520"/>
      <c r="L518" s="241"/>
      <c r="M518" s="521"/>
      <c r="N518" s="241"/>
      <c r="O518" s="521"/>
      <c r="P518" s="241"/>
      <c r="Q518" s="520"/>
      <c r="R518" s="241"/>
      <c r="S518" s="520"/>
      <c r="T518" s="241"/>
      <c r="U518" s="520"/>
      <c r="V518" s="241"/>
      <c r="W518" s="242"/>
      <c r="X518" s="241"/>
      <c r="Y518" s="242"/>
      <c r="Z518" s="241"/>
      <c r="AA518" s="241"/>
      <c r="AB518" s="275"/>
      <c r="AC518" s="524"/>
      <c r="AD518" s="241"/>
      <c r="AE518" s="241"/>
      <c r="AF518" s="241"/>
      <c r="AG518" s="241"/>
      <c r="AH518" s="241"/>
      <c r="AI518" s="241"/>
      <c r="AJ518" s="529"/>
      <c r="AK518" s="258"/>
      <c r="AL518" s="241"/>
      <c r="AM518" s="242"/>
      <c r="AN518" s="241"/>
      <c r="AO518" s="242"/>
      <c r="AP518" s="241"/>
      <c r="AQ518" s="242"/>
      <c r="AR518" s="241"/>
      <c r="AS518" s="242"/>
      <c r="AT518" s="241"/>
      <c r="AU518" s="241"/>
      <c r="AV518" s="256"/>
      <c r="AW518" s="241"/>
      <c r="AX518" s="256"/>
      <c r="AY518" s="241"/>
      <c r="AZ518" s="256"/>
      <c r="BA518" s="239"/>
      <c r="BB518" s="242"/>
      <c r="BC518" s="239"/>
      <c r="BD518" s="242"/>
      <c r="BE518" s="239"/>
      <c r="BF518" s="241"/>
      <c r="BG518" s="239"/>
      <c r="BH518" s="241"/>
      <c r="BI518" s="260"/>
      <c r="BJ518" s="241"/>
      <c r="BK518" s="260"/>
      <c r="BL518" s="239"/>
      <c r="BM518" s="256"/>
      <c r="BN518" s="241"/>
      <c r="BO518" s="243"/>
      <c r="BP518" s="241"/>
      <c r="BQ518" s="239"/>
      <c r="BR518" s="276"/>
      <c r="BS518" s="256"/>
      <c r="BT518" s="260"/>
      <c r="BU518" s="261"/>
      <c r="BV518" s="260"/>
      <c r="BW518" s="239"/>
      <c r="BX518" s="260"/>
      <c r="BY518" s="260"/>
      <c r="BZ518" s="239"/>
      <c r="CA518" s="260"/>
      <c r="CB518" s="239"/>
      <c r="CC518" s="260"/>
      <c r="CD518" s="539"/>
      <c r="CE518" s="239"/>
      <c r="CF518" s="276"/>
      <c r="CG518" s="256"/>
      <c r="CH518" s="259"/>
      <c r="CI518" s="347"/>
      <c r="CJ518" s="540"/>
      <c r="CK518" s="256"/>
      <c r="CL518" s="244">
        <v>1</v>
      </c>
      <c r="CM518" s="274">
        <f t="shared" si="8"/>
        <v>2015</v>
      </c>
      <c r="CN518" s="244">
        <f>IF('Grille de saisie'!CM518&lt;18,0,IF('Grille de saisie'!CM518&lt;40,1,IF('Grille de saisie'!CM518&lt;65,2,IF('Grille de saisie'!CM518&lt;100,3,4))))</f>
        <v>4</v>
      </c>
      <c r="CO518" s="236">
        <f>IF(AND('Grille de saisie'!C518=1,'Grille de saisie'!BZ518=0),1,IF(AND('Grille de saisie'!C518="",'Grille de saisie'!BZ518=""),3,IF(AND('Grille de saisie'!C518=5),3,2)))</f>
        <v>3</v>
      </c>
      <c r="CP518" s="236">
        <f>IF(AND('Grille de saisie'!C518=1,'Grille de saisie'!BZ518=0),1,IF(AND('Grille de saisie'!C518=1,'Grille de saisie'!BZ518=1),2,IF(AND('Grille de saisie'!C518=2,'Grille de saisie'!BZ518=0),2,IF(AND('Grille de saisie'!C518=3,'Grille de saisie'!BZ518=0),3,IF(AND('Grille de saisie'!C518=2,'Grille de saisie'!BZ518=1),3,IF(AND('Grille de saisie'!C518=1,'Grille de saisie'!BZ518=2),3,IF(AND('Grille de saisie'!C518="",'Grille de saisie'!BZ518=""),5,IF(AND('Grille de saisie'!C518=5),5,4))))))))</f>
        <v>5</v>
      </c>
      <c r="CQ518" s="237">
        <f>IF('Grille de saisie'!BZ518="",3,IF('Grille de saisie'!C518=5,3,IF('Grille de saisie'!BZ518=0,1,2)))</f>
        <v>3</v>
      </c>
    </row>
    <row r="519" spans="1:95" ht="15">
      <c r="A519" s="511">
        <v>517</v>
      </c>
      <c r="B519" s="240"/>
      <c r="C519" s="513"/>
      <c r="D519" s="240"/>
      <c r="E519" s="517"/>
      <c r="F519" s="265"/>
      <c r="G519" s="513"/>
      <c r="H519" s="265"/>
      <c r="I519" s="520"/>
      <c r="J519" s="241"/>
      <c r="K519" s="520"/>
      <c r="L519" s="241"/>
      <c r="M519" s="521"/>
      <c r="N519" s="241"/>
      <c r="O519" s="521"/>
      <c r="P519" s="241"/>
      <c r="Q519" s="520"/>
      <c r="R519" s="241"/>
      <c r="S519" s="520"/>
      <c r="T519" s="241"/>
      <c r="U519" s="520"/>
      <c r="V519" s="241"/>
      <c r="W519" s="242"/>
      <c r="X519" s="241"/>
      <c r="Y519" s="242"/>
      <c r="Z519" s="241"/>
      <c r="AA519" s="241"/>
      <c r="AB519" s="275"/>
      <c r="AC519" s="524"/>
      <c r="AD519" s="241"/>
      <c r="AE519" s="241"/>
      <c r="AF519" s="241"/>
      <c r="AG519" s="241"/>
      <c r="AH519" s="241"/>
      <c r="AI519" s="241"/>
      <c r="AJ519" s="529"/>
      <c r="AK519" s="258"/>
      <c r="AL519" s="241"/>
      <c r="AM519" s="242"/>
      <c r="AN519" s="241"/>
      <c r="AO519" s="242"/>
      <c r="AP519" s="241"/>
      <c r="AQ519" s="242"/>
      <c r="AR519" s="241"/>
      <c r="AS519" s="242"/>
      <c r="AT519" s="241"/>
      <c r="AU519" s="241"/>
      <c r="AV519" s="256"/>
      <c r="AW519" s="241"/>
      <c r="AX519" s="256"/>
      <c r="AY519" s="241"/>
      <c r="AZ519" s="256"/>
      <c r="BA519" s="239"/>
      <c r="BB519" s="242"/>
      <c r="BC519" s="239"/>
      <c r="BD519" s="242"/>
      <c r="BE519" s="239"/>
      <c r="BF519" s="241"/>
      <c r="BG519" s="239"/>
      <c r="BH519" s="241"/>
      <c r="BI519" s="260"/>
      <c r="BJ519" s="241"/>
      <c r="BK519" s="260"/>
      <c r="BL519" s="239"/>
      <c r="BM519" s="256"/>
      <c r="BN519" s="241"/>
      <c r="BO519" s="243"/>
      <c r="BP519" s="241"/>
      <c r="BQ519" s="239"/>
      <c r="BR519" s="276"/>
      <c r="BS519" s="256"/>
      <c r="BT519" s="260"/>
      <c r="BU519" s="261"/>
      <c r="BV519" s="260"/>
      <c r="BW519" s="239"/>
      <c r="BX519" s="260"/>
      <c r="BY519" s="260"/>
      <c r="BZ519" s="239"/>
      <c r="CA519" s="260"/>
      <c r="CB519" s="239"/>
      <c r="CC519" s="260"/>
      <c r="CD519" s="539"/>
      <c r="CE519" s="239"/>
      <c r="CF519" s="276"/>
      <c r="CG519" s="256"/>
      <c r="CH519" s="259"/>
      <c r="CI519" s="347"/>
      <c r="CJ519" s="540"/>
      <c r="CK519" s="256"/>
      <c r="CL519" s="244">
        <v>1</v>
      </c>
      <c r="CM519" s="274">
        <f t="shared" si="8"/>
        <v>2015</v>
      </c>
      <c r="CN519" s="244">
        <f>IF('Grille de saisie'!CM519&lt;18,0,IF('Grille de saisie'!CM519&lt;40,1,IF('Grille de saisie'!CM519&lt;65,2,IF('Grille de saisie'!CM519&lt;100,3,4))))</f>
        <v>4</v>
      </c>
      <c r="CO519" s="236">
        <f>IF(AND('Grille de saisie'!C519=1,'Grille de saisie'!BZ519=0),1,IF(AND('Grille de saisie'!C519="",'Grille de saisie'!BZ519=""),3,IF(AND('Grille de saisie'!C519=5),3,2)))</f>
        <v>3</v>
      </c>
      <c r="CP519" s="236">
        <f>IF(AND('Grille de saisie'!C519=1,'Grille de saisie'!BZ519=0),1,IF(AND('Grille de saisie'!C519=1,'Grille de saisie'!BZ519=1),2,IF(AND('Grille de saisie'!C519=2,'Grille de saisie'!BZ519=0),2,IF(AND('Grille de saisie'!C519=3,'Grille de saisie'!BZ519=0),3,IF(AND('Grille de saisie'!C519=2,'Grille de saisie'!BZ519=1),3,IF(AND('Grille de saisie'!C519=1,'Grille de saisie'!BZ519=2),3,IF(AND('Grille de saisie'!C519="",'Grille de saisie'!BZ519=""),5,IF(AND('Grille de saisie'!C519=5),5,4))))))))</f>
        <v>5</v>
      </c>
      <c r="CQ519" s="237">
        <f>IF('Grille de saisie'!BZ519="",3,IF('Grille de saisie'!C519=5,3,IF('Grille de saisie'!BZ519=0,1,2)))</f>
        <v>3</v>
      </c>
    </row>
    <row r="520" spans="1:95" ht="15">
      <c r="A520" s="510">
        <v>518</v>
      </c>
      <c r="B520" s="240"/>
      <c r="C520" s="513"/>
      <c r="D520" s="240"/>
      <c r="E520" s="517"/>
      <c r="F520" s="265"/>
      <c r="G520" s="513"/>
      <c r="H520" s="265"/>
      <c r="I520" s="520"/>
      <c r="J520" s="241"/>
      <c r="K520" s="520"/>
      <c r="L520" s="241"/>
      <c r="M520" s="521"/>
      <c r="N520" s="241"/>
      <c r="O520" s="521"/>
      <c r="P520" s="241"/>
      <c r="Q520" s="520"/>
      <c r="R520" s="241"/>
      <c r="S520" s="520"/>
      <c r="T520" s="241"/>
      <c r="U520" s="520"/>
      <c r="V520" s="241"/>
      <c r="W520" s="242"/>
      <c r="X520" s="241"/>
      <c r="Y520" s="242"/>
      <c r="Z520" s="241"/>
      <c r="AA520" s="241"/>
      <c r="AB520" s="275"/>
      <c r="AC520" s="524"/>
      <c r="AD520" s="241"/>
      <c r="AE520" s="241"/>
      <c r="AF520" s="241"/>
      <c r="AG520" s="241"/>
      <c r="AH520" s="241"/>
      <c r="AI520" s="241"/>
      <c r="AJ520" s="529"/>
      <c r="AK520" s="258"/>
      <c r="AL520" s="241"/>
      <c r="AM520" s="242"/>
      <c r="AN520" s="241"/>
      <c r="AO520" s="242"/>
      <c r="AP520" s="241"/>
      <c r="AQ520" s="242"/>
      <c r="AR520" s="241"/>
      <c r="AS520" s="242"/>
      <c r="AT520" s="241"/>
      <c r="AU520" s="241"/>
      <c r="AV520" s="256"/>
      <c r="AW520" s="241"/>
      <c r="AX520" s="256"/>
      <c r="AY520" s="241"/>
      <c r="AZ520" s="256"/>
      <c r="BA520" s="239"/>
      <c r="BB520" s="242"/>
      <c r="BC520" s="239"/>
      <c r="BD520" s="242"/>
      <c r="BE520" s="239"/>
      <c r="BF520" s="241"/>
      <c r="BG520" s="239"/>
      <c r="BH520" s="241"/>
      <c r="BI520" s="260"/>
      <c r="BJ520" s="241"/>
      <c r="BK520" s="260"/>
      <c r="BL520" s="239"/>
      <c r="BM520" s="256"/>
      <c r="BN520" s="241"/>
      <c r="BO520" s="243"/>
      <c r="BP520" s="241"/>
      <c r="BQ520" s="239"/>
      <c r="BR520" s="276"/>
      <c r="BS520" s="256"/>
      <c r="BT520" s="260"/>
      <c r="BU520" s="261"/>
      <c r="BV520" s="260"/>
      <c r="BW520" s="239"/>
      <c r="BX520" s="260"/>
      <c r="BY520" s="260"/>
      <c r="BZ520" s="239"/>
      <c r="CA520" s="260"/>
      <c r="CB520" s="239"/>
      <c r="CC520" s="260"/>
      <c r="CD520" s="539"/>
      <c r="CE520" s="239"/>
      <c r="CF520" s="276"/>
      <c r="CG520" s="256"/>
      <c r="CH520" s="259"/>
      <c r="CI520" s="347"/>
      <c r="CJ520" s="540"/>
      <c r="CK520" s="256"/>
      <c r="CL520" s="244">
        <v>1</v>
      </c>
      <c r="CM520" s="274">
        <f t="shared" si="8"/>
        <v>2015</v>
      </c>
      <c r="CN520" s="244">
        <f>IF('Grille de saisie'!CM520&lt;18,0,IF('Grille de saisie'!CM520&lt;40,1,IF('Grille de saisie'!CM520&lt;65,2,IF('Grille de saisie'!CM520&lt;100,3,4))))</f>
        <v>4</v>
      </c>
      <c r="CO520" s="236">
        <f>IF(AND('Grille de saisie'!C520=1,'Grille de saisie'!BZ520=0),1,IF(AND('Grille de saisie'!C520="",'Grille de saisie'!BZ520=""),3,IF(AND('Grille de saisie'!C520=5),3,2)))</f>
        <v>3</v>
      </c>
      <c r="CP520" s="236">
        <f>IF(AND('Grille de saisie'!C520=1,'Grille de saisie'!BZ520=0),1,IF(AND('Grille de saisie'!C520=1,'Grille de saisie'!BZ520=1),2,IF(AND('Grille de saisie'!C520=2,'Grille de saisie'!BZ520=0),2,IF(AND('Grille de saisie'!C520=3,'Grille de saisie'!BZ520=0),3,IF(AND('Grille de saisie'!C520=2,'Grille de saisie'!BZ520=1),3,IF(AND('Grille de saisie'!C520=1,'Grille de saisie'!BZ520=2),3,IF(AND('Grille de saisie'!C520="",'Grille de saisie'!BZ520=""),5,IF(AND('Grille de saisie'!C520=5),5,4))))))))</f>
        <v>5</v>
      </c>
      <c r="CQ520" s="237">
        <f>IF('Grille de saisie'!BZ520="",3,IF('Grille de saisie'!C520=5,3,IF('Grille de saisie'!BZ520=0,1,2)))</f>
        <v>3</v>
      </c>
    </row>
    <row r="521" spans="1:95" ht="15">
      <c r="A521" s="510">
        <v>519</v>
      </c>
      <c r="B521" s="240"/>
      <c r="C521" s="513"/>
      <c r="D521" s="240"/>
      <c r="E521" s="517"/>
      <c r="F521" s="265"/>
      <c r="G521" s="513"/>
      <c r="H521" s="265"/>
      <c r="I521" s="520"/>
      <c r="J521" s="241"/>
      <c r="K521" s="520"/>
      <c r="L521" s="241"/>
      <c r="M521" s="521"/>
      <c r="N521" s="241"/>
      <c r="O521" s="521"/>
      <c r="P521" s="241"/>
      <c r="Q521" s="520"/>
      <c r="R521" s="241"/>
      <c r="S521" s="520"/>
      <c r="T521" s="241"/>
      <c r="U521" s="520"/>
      <c r="V521" s="241"/>
      <c r="W521" s="242"/>
      <c r="X521" s="241"/>
      <c r="Y521" s="242"/>
      <c r="Z521" s="241"/>
      <c r="AA521" s="241"/>
      <c r="AB521" s="275"/>
      <c r="AC521" s="524"/>
      <c r="AD521" s="241"/>
      <c r="AE521" s="241"/>
      <c r="AF521" s="241"/>
      <c r="AG521" s="241"/>
      <c r="AH521" s="241"/>
      <c r="AI521" s="241"/>
      <c r="AJ521" s="529"/>
      <c r="AK521" s="258"/>
      <c r="AL521" s="241"/>
      <c r="AM521" s="242"/>
      <c r="AN521" s="241"/>
      <c r="AO521" s="242"/>
      <c r="AP521" s="241"/>
      <c r="AQ521" s="242"/>
      <c r="AR521" s="241"/>
      <c r="AS521" s="242"/>
      <c r="AT521" s="241"/>
      <c r="AU521" s="241"/>
      <c r="AV521" s="256"/>
      <c r="AW521" s="241"/>
      <c r="AX521" s="256"/>
      <c r="AY521" s="241"/>
      <c r="AZ521" s="256"/>
      <c r="BA521" s="239"/>
      <c r="BB521" s="242"/>
      <c r="BC521" s="239"/>
      <c r="BD521" s="242"/>
      <c r="BE521" s="239"/>
      <c r="BF521" s="241"/>
      <c r="BG521" s="239"/>
      <c r="BH521" s="241"/>
      <c r="BI521" s="260"/>
      <c r="BJ521" s="241"/>
      <c r="BK521" s="260"/>
      <c r="BL521" s="239"/>
      <c r="BM521" s="256"/>
      <c r="BN521" s="241"/>
      <c r="BO521" s="243"/>
      <c r="BP521" s="241"/>
      <c r="BQ521" s="239"/>
      <c r="BR521" s="276"/>
      <c r="BS521" s="256"/>
      <c r="BT521" s="260"/>
      <c r="BU521" s="261"/>
      <c r="BV521" s="260"/>
      <c r="BW521" s="239"/>
      <c r="BX521" s="260"/>
      <c r="BY521" s="260"/>
      <c r="BZ521" s="239"/>
      <c r="CA521" s="260"/>
      <c r="CB521" s="239"/>
      <c r="CC521" s="260"/>
      <c r="CD521" s="539"/>
      <c r="CE521" s="239"/>
      <c r="CF521" s="276"/>
      <c r="CG521" s="256"/>
      <c r="CH521" s="259"/>
      <c r="CI521" s="347"/>
      <c r="CJ521" s="540"/>
      <c r="CK521" s="256"/>
      <c r="CL521" s="244">
        <v>1</v>
      </c>
      <c r="CM521" s="274">
        <f t="shared" si="8"/>
        <v>2015</v>
      </c>
      <c r="CN521" s="244">
        <f>IF('Grille de saisie'!CM521&lt;18,0,IF('Grille de saisie'!CM521&lt;40,1,IF('Grille de saisie'!CM521&lt;65,2,IF('Grille de saisie'!CM521&lt;100,3,4))))</f>
        <v>4</v>
      </c>
      <c r="CO521" s="236">
        <f>IF(AND('Grille de saisie'!C521=1,'Grille de saisie'!BZ521=0),1,IF(AND('Grille de saisie'!C521="",'Grille de saisie'!BZ521=""),3,IF(AND('Grille de saisie'!C521=5),3,2)))</f>
        <v>3</v>
      </c>
      <c r="CP521" s="236">
        <f>IF(AND('Grille de saisie'!C521=1,'Grille de saisie'!BZ521=0),1,IF(AND('Grille de saisie'!C521=1,'Grille de saisie'!BZ521=1),2,IF(AND('Grille de saisie'!C521=2,'Grille de saisie'!BZ521=0),2,IF(AND('Grille de saisie'!C521=3,'Grille de saisie'!BZ521=0),3,IF(AND('Grille de saisie'!C521=2,'Grille de saisie'!BZ521=1),3,IF(AND('Grille de saisie'!C521=1,'Grille de saisie'!BZ521=2),3,IF(AND('Grille de saisie'!C521="",'Grille de saisie'!BZ521=""),5,IF(AND('Grille de saisie'!C521=5),5,4))))))))</f>
        <v>5</v>
      </c>
      <c r="CQ521" s="237">
        <f>IF('Grille de saisie'!BZ521="",3,IF('Grille de saisie'!C521=5,3,IF('Grille de saisie'!BZ521=0,1,2)))</f>
        <v>3</v>
      </c>
    </row>
    <row r="522" spans="1:95" ht="15">
      <c r="A522" s="511">
        <v>520</v>
      </c>
      <c r="B522" s="240"/>
      <c r="C522" s="513"/>
      <c r="D522" s="240"/>
      <c r="E522" s="517"/>
      <c r="F522" s="265"/>
      <c r="G522" s="513"/>
      <c r="H522" s="265"/>
      <c r="I522" s="520"/>
      <c r="J522" s="241"/>
      <c r="K522" s="520"/>
      <c r="L522" s="241"/>
      <c r="M522" s="521"/>
      <c r="N522" s="241"/>
      <c r="O522" s="521"/>
      <c r="P522" s="241"/>
      <c r="Q522" s="520"/>
      <c r="R522" s="241"/>
      <c r="S522" s="520"/>
      <c r="T522" s="241"/>
      <c r="U522" s="520"/>
      <c r="V522" s="241"/>
      <c r="W522" s="242"/>
      <c r="X522" s="241"/>
      <c r="Y522" s="242"/>
      <c r="Z522" s="241"/>
      <c r="AA522" s="241"/>
      <c r="AB522" s="275"/>
      <c r="AC522" s="524"/>
      <c r="AD522" s="241"/>
      <c r="AE522" s="241"/>
      <c r="AF522" s="241"/>
      <c r="AG522" s="241"/>
      <c r="AH522" s="241"/>
      <c r="AI522" s="241"/>
      <c r="AJ522" s="529"/>
      <c r="AK522" s="258"/>
      <c r="AL522" s="241"/>
      <c r="AM522" s="242"/>
      <c r="AN522" s="241"/>
      <c r="AO522" s="242"/>
      <c r="AP522" s="241"/>
      <c r="AQ522" s="242"/>
      <c r="AR522" s="241"/>
      <c r="AS522" s="242"/>
      <c r="AT522" s="241"/>
      <c r="AU522" s="241"/>
      <c r="AV522" s="256"/>
      <c r="AW522" s="241"/>
      <c r="AX522" s="256"/>
      <c r="AY522" s="241"/>
      <c r="AZ522" s="256"/>
      <c r="BA522" s="239"/>
      <c r="BB522" s="242"/>
      <c r="BC522" s="239"/>
      <c r="BD522" s="242"/>
      <c r="BE522" s="239"/>
      <c r="BF522" s="241"/>
      <c r="BG522" s="239"/>
      <c r="BH522" s="241"/>
      <c r="BI522" s="260"/>
      <c r="BJ522" s="241"/>
      <c r="BK522" s="260"/>
      <c r="BL522" s="239"/>
      <c r="BM522" s="256"/>
      <c r="BN522" s="241"/>
      <c r="BO522" s="243"/>
      <c r="BP522" s="241"/>
      <c r="BQ522" s="239"/>
      <c r="BR522" s="276"/>
      <c r="BS522" s="256"/>
      <c r="BT522" s="260"/>
      <c r="BU522" s="261"/>
      <c r="BV522" s="260"/>
      <c r="BW522" s="239"/>
      <c r="BX522" s="260"/>
      <c r="BY522" s="260"/>
      <c r="BZ522" s="239"/>
      <c r="CA522" s="260"/>
      <c r="CB522" s="239"/>
      <c r="CC522" s="260"/>
      <c r="CD522" s="539"/>
      <c r="CE522" s="239"/>
      <c r="CF522" s="276"/>
      <c r="CG522" s="256"/>
      <c r="CH522" s="259"/>
      <c r="CI522" s="347"/>
      <c r="CJ522" s="540"/>
      <c r="CK522" s="256"/>
      <c r="CL522" s="244">
        <v>1</v>
      </c>
      <c r="CM522" s="274">
        <f t="shared" si="8"/>
        <v>2015</v>
      </c>
      <c r="CN522" s="244">
        <f>IF('Grille de saisie'!CM522&lt;18,0,IF('Grille de saisie'!CM522&lt;40,1,IF('Grille de saisie'!CM522&lt;65,2,IF('Grille de saisie'!CM522&lt;100,3,4))))</f>
        <v>4</v>
      </c>
      <c r="CO522" s="236">
        <f>IF(AND('Grille de saisie'!C522=1,'Grille de saisie'!BZ522=0),1,IF(AND('Grille de saisie'!C522="",'Grille de saisie'!BZ522=""),3,IF(AND('Grille de saisie'!C522=5),3,2)))</f>
        <v>3</v>
      </c>
      <c r="CP522" s="236">
        <f>IF(AND('Grille de saisie'!C522=1,'Grille de saisie'!BZ522=0),1,IF(AND('Grille de saisie'!C522=1,'Grille de saisie'!BZ522=1),2,IF(AND('Grille de saisie'!C522=2,'Grille de saisie'!BZ522=0),2,IF(AND('Grille de saisie'!C522=3,'Grille de saisie'!BZ522=0),3,IF(AND('Grille de saisie'!C522=2,'Grille de saisie'!BZ522=1),3,IF(AND('Grille de saisie'!C522=1,'Grille de saisie'!BZ522=2),3,IF(AND('Grille de saisie'!C522="",'Grille de saisie'!BZ522=""),5,IF(AND('Grille de saisie'!C522=5),5,4))))))))</f>
        <v>5</v>
      </c>
      <c r="CQ522" s="237">
        <f>IF('Grille de saisie'!BZ522="",3,IF('Grille de saisie'!C522=5,3,IF('Grille de saisie'!BZ522=0,1,2)))</f>
        <v>3</v>
      </c>
    </row>
    <row r="523" spans="1:95" ht="15">
      <c r="A523" s="510">
        <v>521</v>
      </c>
      <c r="B523" s="240"/>
      <c r="C523" s="513"/>
      <c r="D523" s="240"/>
      <c r="E523" s="517"/>
      <c r="F523" s="265"/>
      <c r="G523" s="513"/>
      <c r="H523" s="265"/>
      <c r="I523" s="520"/>
      <c r="J523" s="241"/>
      <c r="K523" s="520"/>
      <c r="L523" s="241"/>
      <c r="M523" s="521"/>
      <c r="N523" s="241"/>
      <c r="O523" s="521"/>
      <c r="P523" s="241"/>
      <c r="Q523" s="520"/>
      <c r="R523" s="241"/>
      <c r="S523" s="520"/>
      <c r="T523" s="241"/>
      <c r="U523" s="520"/>
      <c r="V523" s="241"/>
      <c r="W523" s="242"/>
      <c r="X523" s="241"/>
      <c r="Y523" s="242"/>
      <c r="Z523" s="241"/>
      <c r="AA523" s="241"/>
      <c r="AB523" s="275"/>
      <c r="AC523" s="524"/>
      <c r="AD523" s="241"/>
      <c r="AE523" s="241"/>
      <c r="AF523" s="241"/>
      <c r="AG523" s="241"/>
      <c r="AH523" s="241"/>
      <c r="AI523" s="241"/>
      <c r="AJ523" s="529"/>
      <c r="AK523" s="258"/>
      <c r="AL523" s="241"/>
      <c r="AM523" s="242"/>
      <c r="AN523" s="241"/>
      <c r="AO523" s="242"/>
      <c r="AP523" s="241"/>
      <c r="AQ523" s="242"/>
      <c r="AR523" s="241"/>
      <c r="AS523" s="242"/>
      <c r="AT523" s="241"/>
      <c r="AU523" s="241"/>
      <c r="AV523" s="256"/>
      <c r="AW523" s="241"/>
      <c r="AX523" s="256"/>
      <c r="AY523" s="241"/>
      <c r="AZ523" s="256"/>
      <c r="BA523" s="239"/>
      <c r="BB523" s="242"/>
      <c r="BC523" s="239"/>
      <c r="BD523" s="242"/>
      <c r="BE523" s="239"/>
      <c r="BF523" s="241"/>
      <c r="BG523" s="239"/>
      <c r="BH523" s="241"/>
      <c r="BI523" s="260"/>
      <c r="BJ523" s="241"/>
      <c r="BK523" s="260"/>
      <c r="BL523" s="239"/>
      <c r="BM523" s="256"/>
      <c r="BN523" s="241"/>
      <c r="BO523" s="243"/>
      <c r="BP523" s="241"/>
      <c r="BQ523" s="239"/>
      <c r="BR523" s="276"/>
      <c r="BS523" s="256"/>
      <c r="BT523" s="260"/>
      <c r="BU523" s="261"/>
      <c r="BV523" s="260"/>
      <c r="BW523" s="239"/>
      <c r="BX523" s="260"/>
      <c r="BY523" s="260"/>
      <c r="BZ523" s="239"/>
      <c r="CA523" s="260"/>
      <c r="CB523" s="239"/>
      <c r="CC523" s="260"/>
      <c r="CD523" s="539"/>
      <c r="CE523" s="239"/>
      <c r="CF523" s="276"/>
      <c r="CG523" s="256"/>
      <c r="CH523" s="259"/>
      <c r="CI523" s="347"/>
      <c r="CJ523" s="540"/>
      <c r="CK523" s="256"/>
      <c r="CL523" s="244">
        <v>1</v>
      </c>
      <c r="CM523" s="274">
        <f t="shared" si="8"/>
        <v>2015</v>
      </c>
      <c r="CN523" s="244">
        <f>IF('Grille de saisie'!CM523&lt;18,0,IF('Grille de saisie'!CM523&lt;40,1,IF('Grille de saisie'!CM523&lt;65,2,IF('Grille de saisie'!CM523&lt;100,3,4))))</f>
        <v>4</v>
      </c>
      <c r="CO523" s="236">
        <f>IF(AND('Grille de saisie'!C523=1,'Grille de saisie'!BZ523=0),1,IF(AND('Grille de saisie'!C523="",'Grille de saisie'!BZ523=""),3,IF(AND('Grille de saisie'!C523=5),3,2)))</f>
        <v>3</v>
      </c>
      <c r="CP523" s="236">
        <f>IF(AND('Grille de saisie'!C523=1,'Grille de saisie'!BZ523=0),1,IF(AND('Grille de saisie'!C523=1,'Grille de saisie'!BZ523=1),2,IF(AND('Grille de saisie'!C523=2,'Grille de saisie'!BZ523=0),2,IF(AND('Grille de saisie'!C523=3,'Grille de saisie'!BZ523=0),3,IF(AND('Grille de saisie'!C523=2,'Grille de saisie'!BZ523=1),3,IF(AND('Grille de saisie'!C523=1,'Grille de saisie'!BZ523=2),3,IF(AND('Grille de saisie'!C523="",'Grille de saisie'!BZ523=""),5,IF(AND('Grille de saisie'!C523=5),5,4))))))))</f>
        <v>5</v>
      </c>
      <c r="CQ523" s="237">
        <f>IF('Grille de saisie'!BZ523="",3,IF('Grille de saisie'!C523=5,3,IF('Grille de saisie'!BZ523=0,1,2)))</f>
        <v>3</v>
      </c>
    </row>
    <row r="524" spans="1:95" ht="15">
      <c r="A524" s="510">
        <v>522</v>
      </c>
      <c r="B524" s="240"/>
      <c r="C524" s="513"/>
      <c r="D524" s="240"/>
      <c r="E524" s="517"/>
      <c r="F524" s="265"/>
      <c r="G524" s="513"/>
      <c r="H524" s="265"/>
      <c r="I524" s="520"/>
      <c r="J524" s="241"/>
      <c r="K524" s="520"/>
      <c r="L524" s="241"/>
      <c r="M524" s="521"/>
      <c r="N524" s="241"/>
      <c r="O524" s="521"/>
      <c r="P524" s="241"/>
      <c r="Q524" s="520"/>
      <c r="R524" s="241"/>
      <c r="S524" s="520"/>
      <c r="T524" s="241"/>
      <c r="U524" s="520"/>
      <c r="V524" s="241"/>
      <c r="W524" s="242"/>
      <c r="X524" s="241"/>
      <c r="Y524" s="242"/>
      <c r="Z524" s="241"/>
      <c r="AA524" s="241"/>
      <c r="AB524" s="275"/>
      <c r="AC524" s="524"/>
      <c r="AD524" s="241"/>
      <c r="AE524" s="241"/>
      <c r="AF524" s="241"/>
      <c r="AG524" s="241"/>
      <c r="AH524" s="241"/>
      <c r="AI524" s="241"/>
      <c r="AJ524" s="529"/>
      <c r="AK524" s="258"/>
      <c r="AL524" s="241"/>
      <c r="AM524" s="242"/>
      <c r="AN524" s="241"/>
      <c r="AO524" s="242"/>
      <c r="AP524" s="241"/>
      <c r="AQ524" s="242"/>
      <c r="AR524" s="241"/>
      <c r="AS524" s="242"/>
      <c r="AT524" s="241"/>
      <c r="AU524" s="241"/>
      <c r="AV524" s="256"/>
      <c r="AW524" s="241"/>
      <c r="AX524" s="256"/>
      <c r="AY524" s="241"/>
      <c r="AZ524" s="256"/>
      <c r="BA524" s="239"/>
      <c r="BB524" s="242"/>
      <c r="BC524" s="239"/>
      <c r="BD524" s="242"/>
      <c r="BE524" s="239"/>
      <c r="BF524" s="241"/>
      <c r="BG524" s="239"/>
      <c r="BH524" s="241"/>
      <c r="BI524" s="260"/>
      <c r="BJ524" s="241"/>
      <c r="BK524" s="260"/>
      <c r="BL524" s="239"/>
      <c r="BM524" s="256"/>
      <c r="BN524" s="241"/>
      <c r="BO524" s="243"/>
      <c r="BP524" s="241"/>
      <c r="BQ524" s="239"/>
      <c r="BR524" s="276"/>
      <c r="BS524" s="256"/>
      <c r="BT524" s="260"/>
      <c r="BU524" s="261"/>
      <c r="BV524" s="260"/>
      <c r="BW524" s="239"/>
      <c r="BX524" s="260"/>
      <c r="BY524" s="260"/>
      <c r="BZ524" s="239"/>
      <c r="CA524" s="260"/>
      <c r="CB524" s="239"/>
      <c r="CC524" s="260"/>
      <c r="CD524" s="539"/>
      <c r="CE524" s="239"/>
      <c r="CF524" s="276"/>
      <c r="CG524" s="256"/>
      <c r="CH524" s="259"/>
      <c r="CI524" s="347"/>
      <c r="CJ524" s="540"/>
      <c r="CK524" s="256"/>
      <c r="CL524" s="244">
        <v>1</v>
      </c>
      <c r="CM524" s="274">
        <f t="shared" si="8"/>
        <v>2015</v>
      </c>
      <c r="CN524" s="244">
        <f>IF('Grille de saisie'!CM524&lt;18,0,IF('Grille de saisie'!CM524&lt;40,1,IF('Grille de saisie'!CM524&lt;65,2,IF('Grille de saisie'!CM524&lt;100,3,4))))</f>
        <v>4</v>
      </c>
      <c r="CO524" s="236">
        <f>IF(AND('Grille de saisie'!C524=1,'Grille de saisie'!BZ524=0),1,IF(AND('Grille de saisie'!C524="",'Grille de saisie'!BZ524=""),3,IF(AND('Grille de saisie'!C524=5),3,2)))</f>
        <v>3</v>
      </c>
      <c r="CP524" s="236">
        <f>IF(AND('Grille de saisie'!C524=1,'Grille de saisie'!BZ524=0),1,IF(AND('Grille de saisie'!C524=1,'Grille de saisie'!BZ524=1),2,IF(AND('Grille de saisie'!C524=2,'Grille de saisie'!BZ524=0),2,IF(AND('Grille de saisie'!C524=3,'Grille de saisie'!BZ524=0),3,IF(AND('Grille de saisie'!C524=2,'Grille de saisie'!BZ524=1),3,IF(AND('Grille de saisie'!C524=1,'Grille de saisie'!BZ524=2),3,IF(AND('Grille de saisie'!C524="",'Grille de saisie'!BZ524=""),5,IF(AND('Grille de saisie'!C524=5),5,4))))))))</f>
        <v>5</v>
      </c>
      <c r="CQ524" s="237">
        <f>IF('Grille de saisie'!BZ524="",3,IF('Grille de saisie'!C524=5,3,IF('Grille de saisie'!BZ524=0,1,2)))</f>
        <v>3</v>
      </c>
    </row>
    <row r="525" spans="1:95" ht="15">
      <c r="A525" s="511">
        <v>523</v>
      </c>
      <c r="B525" s="240"/>
      <c r="C525" s="513"/>
      <c r="D525" s="240"/>
      <c r="E525" s="517"/>
      <c r="F525" s="265"/>
      <c r="G525" s="513"/>
      <c r="H525" s="265"/>
      <c r="I525" s="520"/>
      <c r="J525" s="241"/>
      <c r="K525" s="520"/>
      <c r="L525" s="241"/>
      <c r="M525" s="521"/>
      <c r="N525" s="241"/>
      <c r="O525" s="521"/>
      <c r="P525" s="241"/>
      <c r="Q525" s="520"/>
      <c r="R525" s="241"/>
      <c r="S525" s="520"/>
      <c r="T525" s="241"/>
      <c r="U525" s="520"/>
      <c r="V525" s="241"/>
      <c r="W525" s="242"/>
      <c r="X525" s="241"/>
      <c r="Y525" s="242"/>
      <c r="Z525" s="241"/>
      <c r="AA525" s="241"/>
      <c r="AB525" s="275"/>
      <c r="AC525" s="524"/>
      <c r="AD525" s="241"/>
      <c r="AE525" s="241"/>
      <c r="AF525" s="241"/>
      <c r="AG525" s="241"/>
      <c r="AH525" s="241"/>
      <c r="AI525" s="241"/>
      <c r="AJ525" s="529"/>
      <c r="AK525" s="258"/>
      <c r="AL525" s="241"/>
      <c r="AM525" s="242"/>
      <c r="AN525" s="241"/>
      <c r="AO525" s="242"/>
      <c r="AP525" s="241"/>
      <c r="AQ525" s="242"/>
      <c r="AR525" s="241"/>
      <c r="AS525" s="242"/>
      <c r="AT525" s="241"/>
      <c r="AU525" s="241"/>
      <c r="AV525" s="256"/>
      <c r="AW525" s="241"/>
      <c r="AX525" s="256"/>
      <c r="AY525" s="241"/>
      <c r="AZ525" s="256"/>
      <c r="BA525" s="239"/>
      <c r="BB525" s="242"/>
      <c r="BC525" s="239"/>
      <c r="BD525" s="242"/>
      <c r="BE525" s="239"/>
      <c r="BF525" s="241"/>
      <c r="BG525" s="239"/>
      <c r="BH525" s="241"/>
      <c r="BI525" s="260"/>
      <c r="BJ525" s="241"/>
      <c r="BK525" s="260"/>
      <c r="BL525" s="239"/>
      <c r="BM525" s="256"/>
      <c r="BN525" s="241"/>
      <c r="BO525" s="243"/>
      <c r="BP525" s="241"/>
      <c r="BQ525" s="239"/>
      <c r="BR525" s="276"/>
      <c r="BS525" s="256"/>
      <c r="BT525" s="260"/>
      <c r="BU525" s="261"/>
      <c r="BV525" s="260"/>
      <c r="BW525" s="239"/>
      <c r="BX525" s="260"/>
      <c r="BY525" s="260"/>
      <c r="BZ525" s="239"/>
      <c r="CA525" s="260"/>
      <c r="CB525" s="239"/>
      <c r="CC525" s="260"/>
      <c r="CD525" s="539"/>
      <c r="CE525" s="239"/>
      <c r="CF525" s="276"/>
      <c r="CG525" s="256"/>
      <c r="CH525" s="259"/>
      <c r="CI525" s="347"/>
      <c r="CJ525" s="540"/>
      <c r="CK525" s="256"/>
      <c r="CL525" s="244">
        <v>1</v>
      </c>
      <c r="CM525" s="274">
        <f t="shared" si="8"/>
        <v>2015</v>
      </c>
      <c r="CN525" s="244">
        <f>IF('Grille de saisie'!CM525&lt;18,0,IF('Grille de saisie'!CM525&lt;40,1,IF('Grille de saisie'!CM525&lt;65,2,IF('Grille de saisie'!CM525&lt;100,3,4))))</f>
        <v>4</v>
      </c>
      <c r="CO525" s="236">
        <f>IF(AND('Grille de saisie'!C525=1,'Grille de saisie'!BZ525=0),1,IF(AND('Grille de saisie'!C525="",'Grille de saisie'!BZ525=""),3,IF(AND('Grille de saisie'!C525=5),3,2)))</f>
        <v>3</v>
      </c>
      <c r="CP525" s="236">
        <f>IF(AND('Grille de saisie'!C525=1,'Grille de saisie'!BZ525=0),1,IF(AND('Grille de saisie'!C525=1,'Grille de saisie'!BZ525=1),2,IF(AND('Grille de saisie'!C525=2,'Grille de saisie'!BZ525=0),2,IF(AND('Grille de saisie'!C525=3,'Grille de saisie'!BZ525=0),3,IF(AND('Grille de saisie'!C525=2,'Grille de saisie'!BZ525=1),3,IF(AND('Grille de saisie'!C525=1,'Grille de saisie'!BZ525=2),3,IF(AND('Grille de saisie'!C525="",'Grille de saisie'!BZ525=""),5,IF(AND('Grille de saisie'!C525=5),5,4))))))))</f>
        <v>5</v>
      </c>
      <c r="CQ525" s="237">
        <f>IF('Grille de saisie'!BZ525="",3,IF('Grille de saisie'!C525=5,3,IF('Grille de saisie'!BZ525=0,1,2)))</f>
        <v>3</v>
      </c>
    </row>
    <row r="526" spans="1:95" ht="15">
      <c r="A526" s="510">
        <v>524</v>
      </c>
      <c r="B526" s="240"/>
      <c r="C526" s="513"/>
      <c r="D526" s="240"/>
      <c r="E526" s="517"/>
      <c r="F526" s="265"/>
      <c r="G526" s="513"/>
      <c r="H526" s="265"/>
      <c r="I526" s="520"/>
      <c r="J526" s="241"/>
      <c r="K526" s="520"/>
      <c r="L526" s="241"/>
      <c r="M526" s="521"/>
      <c r="N526" s="241"/>
      <c r="O526" s="521"/>
      <c r="P526" s="241"/>
      <c r="Q526" s="520"/>
      <c r="R526" s="241"/>
      <c r="S526" s="520"/>
      <c r="T526" s="241"/>
      <c r="U526" s="520"/>
      <c r="V526" s="241"/>
      <c r="W526" s="242"/>
      <c r="X526" s="241"/>
      <c r="Y526" s="242"/>
      <c r="Z526" s="241"/>
      <c r="AA526" s="241"/>
      <c r="AB526" s="275"/>
      <c r="AC526" s="524"/>
      <c r="AD526" s="241"/>
      <c r="AE526" s="241"/>
      <c r="AF526" s="241"/>
      <c r="AG526" s="241"/>
      <c r="AH526" s="241"/>
      <c r="AI526" s="241"/>
      <c r="AJ526" s="529"/>
      <c r="AK526" s="258"/>
      <c r="AL526" s="241"/>
      <c r="AM526" s="242"/>
      <c r="AN526" s="241"/>
      <c r="AO526" s="242"/>
      <c r="AP526" s="241"/>
      <c r="AQ526" s="242"/>
      <c r="AR526" s="241"/>
      <c r="AS526" s="242"/>
      <c r="AT526" s="241"/>
      <c r="AU526" s="241"/>
      <c r="AV526" s="256"/>
      <c r="AW526" s="241"/>
      <c r="AX526" s="256"/>
      <c r="AY526" s="241"/>
      <c r="AZ526" s="256"/>
      <c r="BA526" s="239"/>
      <c r="BB526" s="242"/>
      <c r="BC526" s="239"/>
      <c r="BD526" s="242"/>
      <c r="BE526" s="239"/>
      <c r="BF526" s="241"/>
      <c r="BG526" s="239"/>
      <c r="BH526" s="241"/>
      <c r="BI526" s="260"/>
      <c r="BJ526" s="241"/>
      <c r="BK526" s="260"/>
      <c r="BL526" s="239"/>
      <c r="BM526" s="256"/>
      <c r="BN526" s="241"/>
      <c r="BO526" s="243"/>
      <c r="BP526" s="241"/>
      <c r="BQ526" s="239"/>
      <c r="BR526" s="276"/>
      <c r="BS526" s="256"/>
      <c r="BT526" s="260"/>
      <c r="BU526" s="261"/>
      <c r="BV526" s="260"/>
      <c r="BW526" s="239"/>
      <c r="BX526" s="260"/>
      <c r="BY526" s="260"/>
      <c r="BZ526" s="239"/>
      <c r="CA526" s="260"/>
      <c r="CB526" s="239"/>
      <c r="CC526" s="260"/>
      <c r="CD526" s="539"/>
      <c r="CE526" s="239"/>
      <c r="CF526" s="276"/>
      <c r="CG526" s="256"/>
      <c r="CH526" s="259"/>
      <c r="CI526" s="347"/>
      <c r="CJ526" s="540"/>
      <c r="CK526" s="256"/>
      <c r="CL526" s="244">
        <v>1</v>
      </c>
      <c r="CM526" s="274">
        <f t="shared" si="8"/>
        <v>2015</v>
      </c>
      <c r="CN526" s="244">
        <f>IF('Grille de saisie'!CM526&lt;18,0,IF('Grille de saisie'!CM526&lt;40,1,IF('Grille de saisie'!CM526&lt;65,2,IF('Grille de saisie'!CM526&lt;100,3,4))))</f>
        <v>4</v>
      </c>
      <c r="CO526" s="236">
        <f>IF(AND('Grille de saisie'!C526=1,'Grille de saisie'!BZ526=0),1,IF(AND('Grille de saisie'!C526="",'Grille de saisie'!BZ526=""),3,IF(AND('Grille de saisie'!C526=5),3,2)))</f>
        <v>3</v>
      </c>
      <c r="CP526" s="236">
        <f>IF(AND('Grille de saisie'!C526=1,'Grille de saisie'!BZ526=0),1,IF(AND('Grille de saisie'!C526=1,'Grille de saisie'!BZ526=1),2,IF(AND('Grille de saisie'!C526=2,'Grille de saisie'!BZ526=0),2,IF(AND('Grille de saisie'!C526=3,'Grille de saisie'!BZ526=0),3,IF(AND('Grille de saisie'!C526=2,'Grille de saisie'!BZ526=1),3,IF(AND('Grille de saisie'!C526=1,'Grille de saisie'!BZ526=2),3,IF(AND('Grille de saisie'!C526="",'Grille de saisie'!BZ526=""),5,IF(AND('Grille de saisie'!C526=5),5,4))))))))</f>
        <v>5</v>
      </c>
      <c r="CQ526" s="237">
        <f>IF('Grille de saisie'!BZ526="",3,IF('Grille de saisie'!C526=5,3,IF('Grille de saisie'!BZ526=0,1,2)))</f>
        <v>3</v>
      </c>
    </row>
    <row r="527" spans="1:95" ht="15">
      <c r="A527" s="510">
        <v>525</v>
      </c>
      <c r="B527" s="240"/>
      <c r="C527" s="513"/>
      <c r="D527" s="240"/>
      <c r="E527" s="517"/>
      <c r="F527" s="265"/>
      <c r="G527" s="513"/>
      <c r="H527" s="265"/>
      <c r="I527" s="520"/>
      <c r="J527" s="241"/>
      <c r="K527" s="520"/>
      <c r="L527" s="241"/>
      <c r="M527" s="521"/>
      <c r="N527" s="241"/>
      <c r="O527" s="521"/>
      <c r="P527" s="241"/>
      <c r="Q527" s="520"/>
      <c r="R527" s="241"/>
      <c r="S527" s="520"/>
      <c r="T527" s="241"/>
      <c r="U527" s="520"/>
      <c r="V527" s="241"/>
      <c r="W527" s="242"/>
      <c r="X527" s="241"/>
      <c r="Y527" s="242"/>
      <c r="Z527" s="241"/>
      <c r="AA527" s="241"/>
      <c r="AB527" s="275"/>
      <c r="AC527" s="524"/>
      <c r="AD527" s="241"/>
      <c r="AE527" s="241"/>
      <c r="AF527" s="241"/>
      <c r="AG527" s="241"/>
      <c r="AH527" s="241"/>
      <c r="AI527" s="241"/>
      <c r="AJ527" s="529"/>
      <c r="AK527" s="258"/>
      <c r="AL527" s="241"/>
      <c r="AM527" s="242"/>
      <c r="AN527" s="241"/>
      <c r="AO527" s="242"/>
      <c r="AP527" s="241"/>
      <c r="AQ527" s="242"/>
      <c r="AR527" s="241"/>
      <c r="AS527" s="242"/>
      <c r="AT527" s="241"/>
      <c r="AU527" s="241"/>
      <c r="AV527" s="256"/>
      <c r="AW527" s="241"/>
      <c r="AX527" s="256"/>
      <c r="AY527" s="241"/>
      <c r="AZ527" s="256"/>
      <c r="BA527" s="239"/>
      <c r="BB527" s="242"/>
      <c r="BC527" s="239"/>
      <c r="BD527" s="242"/>
      <c r="BE527" s="239"/>
      <c r="BF527" s="241"/>
      <c r="BG527" s="239"/>
      <c r="BH527" s="241"/>
      <c r="BI527" s="260"/>
      <c r="BJ527" s="241"/>
      <c r="BK527" s="260"/>
      <c r="BL527" s="239"/>
      <c r="BM527" s="256"/>
      <c r="BN527" s="241"/>
      <c r="BO527" s="243"/>
      <c r="BP527" s="241"/>
      <c r="BQ527" s="239"/>
      <c r="BR527" s="276"/>
      <c r="BS527" s="256"/>
      <c r="BT527" s="260"/>
      <c r="BU527" s="261"/>
      <c r="BV527" s="260"/>
      <c r="BW527" s="239"/>
      <c r="BX527" s="260"/>
      <c r="BY527" s="260"/>
      <c r="BZ527" s="239"/>
      <c r="CA527" s="260"/>
      <c r="CB527" s="239"/>
      <c r="CC527" s="260"/>
      <c r="CD527" s="539"/>
      <c r="CE527" s="239"/>
      <c r="CF527" s="276"/>
      <c r="CG527" s="256"/>
      <c r="CH527" s="259"/>
      <c r="CI527" s="347"/>
      <c r="CJ527" s="540"/>
      <c r="CK527" s="256"/>
      <c r="CL527" s="244">
        <v>1</v>
      </c>
      <c r="CM527" s="274">
        <f t="shared" si="8"/>
        <v>2015</v>
      </c>
      <c r="CN527" s="244">
        <f>IF('Grille de saisie'!CM527&lt;18,0,IF('Grille de saisie'!CM527&lt;40,1,IF('Grille de saisie'!CM527&lt;65,2,IF('Grille de saisie'!CM527&lt;100,3,4))))</f>
        <v>4</v>
      </c>
      <c r="CO527" s="236">
        <f>IF(AND('Grille de saisie'!C527=1,'Grille de saisie'!BZ527=0),1,IF(AND('Grille de saisie'!C527="",'Grille de saisie'!BZ527=""),3,IF(AND('Grille de saisie'!C527=5),3,2)))</f>
        <v>3</v>
      </c>
      <c r="CP527" s="236">
        <f>IF(AND('Grille de saisie'!C527=1,'Grille de saisie'!BZ527=0),1,IF(AND('Grille de saisie'!C527=1,'Grille de saisie'!BZ527=1),2,IF(AND('Grille de saisie'!C527=2,'Grille de saisie'!BZ527=0),2,IF(AND('Grille de saisie'!C527=3,'Grille de saisie'!BZ527=0),3,IF(AND('Grille de saisie'!C527=2,'Grille de saisie'!BZ527=1),3,IF(AND('Grille de saisie'!C527=1,'Grille de saisie'!BZ527=2),3,IF(AND('Grille de saisie'!C527="",'Grille de saisie'!BZ527=""),5,IF(AND('Grille de saisie'!C527=5),5,4))))))))</f>
        <v>5</v>
      </c>
      <c r="CQ527" s="237">
        <f>IF('Grille de saisie'!BZ527="",3,IF('Grille de saisie'!C527=5,3,IF('Grille de saisie'!BZ527=0,1,2)))</f>
        <v>3</v>
      </c>
    </row>
    <row r="528" spans="1:95" ht="15">
      <c r="A528" s="511">
        <v>526</v>
      </c>
      <c r="B528" s="240"/>
      <c r="C528" s="513"/>
      <c r="D528" s="240"/>
      <c r="E528" s="517"/>
      <c r="F528" s="265"/>
      <c r="G528" s="513"/>
      <c r="H528" s="265"/>
      <c r="I528" s="520"/>
      <c r="J528" s="241"/>
      <c r="K528" s="520"/>
      <c r="L528" s="241"/>
      <c r="M528" s="521"/>
      <c r="N528" s="241"/>
      <c r="O528" s="521"/>
      <c r="P528" s="241"/>
      <c r="Q528" s="520"/>
      <c r="R528" s="241"/>
      <c r="S528" s="520"/>
      <c r="T528" s="241"/>
      <c r="U528" s="520"/>
      <c r="V528" s="241"/>
      <c r="W528" s="242"/>
      <c r="X528" s="241"/>
      <c r="Y528" s="242"/>
      <c r="Z528" s="241"/>
      <c r="AA528" s="241"/>
      <c r="AB528" s="275"/>
      <c r="AC528" s="524"/>
      <c r="AD528" s="241"/>
      <c r="AE528" s="241"/>
      <c r="AF528" s="241"/>
      <c r="AG528" s="241"/>
      <c r="AH528" s="241"/>
      <c r="AI528" s="241"/>
      <c r="AJ528" s="529"/>
      <c r="AK528" s="258"/>
      <c r="AL528" s="241"/>
      <c r="AM528" s="242"/>
      <c r="AN528" s="241"/>
      <c r="AO528" s="242"/>
      <c r="AP528" s="241"/>
      <c r="AQ528" s="242"/>
      <c r="AR528" s="241"/>
      <c r="AS528" s="242"/>
      <c r="AT528" s="241"/>
      <c r="AU528" s="241"/>
      <c r="AV528" s="256"/>
      <c r="AW528" s="241"/>
      <c r="AX528" s="256"/>
      <c r="AY528" s="241"/>
      <c r="AZ528" s="256"/>
      <c r="BA528" s="239"/>
      <c r="BB528" s="242"/>
      <c r="BC528" s="239"/>
      <c r="BD528" s="242"/>
      <c r="BE528" s="239"/>
      <c r="BF528" s="241"/>
      <c r="BG528" s="239"/>
      <c r="BH528" s="241"/>
      <c r="BI528" s="260"/>
      <c r="BJ528" s="241"/>
      <c r="BK528" s="260"/>
      <c r="BL528" s="239"/>
      <c r="BM528" s="256"/>
      <c r="BN528" s="241"/>
      <c r="BO528" s="243"/>
      <c r="BP528" s="241"/>
      <c r="BQ528" s="239"/>
      <c r="BR528" s="276"/>
      <c r="BS528" s="256"/>
      <c r="BT528" s="260"/>
      <c r="BU528" s="261"/>
      <c r="BV528" s="260"/>
      <c r="BW528" s="239"/>
      <c r="BX528" s="260"/>
      <c r="BY528" s="260"/>
      <c r="BZ528" s="239"/>
      <c r="CA528" s="260"/>
      <c r="CB528" s="239"/>
      <c r="CC528" s="260"/>
      <c r="CD528" s="539"/>
      <c r="CE528" s="239"/>
      <c r="CF528" s="276"/>
      <c r="CG528" s="256"/>
      <c r="CH528" s="259"/>
      <c r="CI528" s="347"/>
      <c r="CJ528" s="540"/>
      <c r="CK528" s="256"/>
      <c r="CL528" s="244">
        <v>1</v>
      </c>
      <c r="CM528" s="274">
        <f t="shared" si="8"/>
        <v>2015</v>
      </c>
      <c r="CN528" s="244">
        <f>IF('Grille de saisie'!CM528&lt;18,0,IF('Grille de saisie'!CM528&lt;40,1,IF('Grille de saisie'!CM528&lt;65,2,IF('Grille de saisie'!CM528&lt;100,3,4))))</f>
        <v>4</v>
      </c>
      <c r="CO528" s="236">
        <f>IF(AND('Grille de saisie'!C528=1,'Grille de saisie'!BZ528=0),1,IF(AND('Grille de saisie'!C528="",'Grille de saisie'!BZ528=""),3,IF(AND('Grille de saisie'!C528=5),3,2)))</f>
        <v>3</v>
      </c>
      <c r="CP528" s="236">
        <f>IF(AND('Grille de saisie'!C528=1,'Grille de saisie'!BZ528=0),1,IF(AND('Grille de saisie'!C528=1,'Grille de saisie'!BZ528=1),2,IF(AND('Grille de saisie'!C528=2,'Grille de saisie'!BZ528=0),2,IF(AND('Grille de saisie'!C528=3,'Grille de saisie'!BZ528=0),3,IF(AND('Grille de saisie'!C528=2,'Grille de saisie'!BZ528=1),3,IF(AND('Grille de saisie'!C528=1,'Grille de saisie'!BZ528=2),3,IF(AND('Grille de saisie'!C528="",'Grille de saisie'!BZ528=""),5,IF(AND('Grille de saisie'!C528=5),5,4))))))))</f>
        <v>5</v>
      </c>
      <c r="CQ528" s="237">
        <f>IF('Grille de saisie'!BZ528="",3,IF('Grille de saisie'!C528=5,3,IF('Grille de saisie'!BZ528=0,1,2)))</f>
        <v>3</v>
      </c>
    </row>
    <row r="529" spans="1:95" ht="15">
      <c r="A529" s="510">
        <v>527</v>
      </c>
      <c r="B529" s="240"/>
      <c r="C529" s="513"/>
      <c r="D529" s="240"/>
      <c r="E529" s="517"/>
      <c r="F529" s="265"/>
      <c r="G529" s="513"/>
      <c r="H529" s="265"/>
      <c r="I529" s="520"/>
      <c r="J529" s="241"/>
      <c r="K529" s="520"/>
      <c r="L529" s="241"/>
      <c r="M529" s="521"/>
      <c r="N529" s="241"/>
      <c r="O529" s="521"/>
      <c r="P529" s="241"/>
      <c r="Q529" s="520"/>
      <c r="R529" s="241"/>
      <c r="S529" s="520"/>
      <c r="T529" s="241"/>
      <c r="U529" s="520"/>
      <c r="V529" s="241"/>
      <c r="W529" s="242"/>
      <c r="X529" s="241"/>
      <c r="Y529" s="242"/>
      <c r="Z529" s="241"/>
      <c r="AA529" s="241"/>
      <c r="AB529" s="275"/>
      <c r="AC529" s="524"/>
      <c r="AD529" s="241"/>
      <c r="AE529" s="241"/>
      <c r="AF529" s="241"/>
      <c r="AG529" s="241"/>
      <c r="AH529" s="241"/>
      <c r="AI529" s="241"/>
      <c r="AJ529" s="529"/>
      <c r="AK529" s="258"/>
      <c r="AL529" s="241"/>
      <c r="AM529" s="242"/>
      <c r="AN529" s="241"/>
      <c r="AO529" s="242"/>
      <c r="AP529" s="241"/>
      <c r="AQ529" s="242"/>
      <c r="AR529" s="241"/>
      <c r="AS529" s="242"/>
      <c r="AT529" s="241"/>
      <c r="AU529" s="241"/>
      <c r="AV529" s="256"/>
      <c r="AW529" s="241"/>
      <c r="AX529" s="256"/>
      <c r="AY529" s="241"/>
      <c r="AZ529" s="256"/>
      <c r="BA529" s="239"/>
      <c r="BB529" s="242"/>
      <c r="BC529" s="239"/>
      <c r="BD529" s="242"/>
      <c r="BE529" s="239"/>
      <c r="BF529" s="241"/>
      <c r="BG529" s="239"/>
      <c r="BH529" s="241"/>
      <c r="BI529" s="260"/>
      <c r="BJ529" s="241"/>
      <c r="BK529" s="260"/>
      <c r="BL529" s="239"/>
      <c r="BM529" s="256"/>
      <c r="BN529" s="241"/>
      <c r="BO529" s="243"/>
      <c r="BP529" s="241"/>
      <c r="BQ529" s="239"/>
      <c r="BR529" s="276"/>
      <c r="BS529" s="256"/>
      <c r="BT529" s="260"/>
      <c r="BU529" s="261"/>
      <c r="BV529" s="260"/>
      <c r="BW529" s="239"/>
      <c r="BX529" s="260"/>
      <c r="BY529" s="260"/>
      <c r="BZ529" s="239"/>
      <c r="CA529" s="260"/>
      <c r="CB529" s="239"/>
      <c r="CC529" s="260"/>
      <c r="CD529" s="539"/>
      <c r="CE529" s="239"/>
      <c r="CF529" s="276"/>
      <c r="CG529" s="256"/>
      <c r="CH529" s="259"/>
      <c r="CI529" s="347"/>
      <c r="CJ529" s="540"/>
      <c r="CK529" s="256"/>
      <c r="CL529" s="244">
        <v>1</v>
      </c>
      <c r="CM529" s="274">
        <f t="shared" si="8"/>
        <v>2015</v>
      </c>
      <c r="CN529" s="244">
        <f>IF('Grille de saisie'!CM529&lt;18,0,IF('Grille de saisie'!CM529&lt;40,1,IF('Grille de saisie'!CM529&lt;65,2,IF('Grille de saisie'!CM529&lt;100,3,4))))</f>
        <v>4</v>
      </c>
      <c r="CO529" s="236">
        <f>IF(AND('Grille de saisie'!C529=1,'Grille de saisie'!BZ529=0),1,IF(AND('Grille de saisie'!C529="",'Grille de saisie'!BZ529=""),3,IF(AND('Grille de saisie'!C529=5),3,2)))</f>
        <v>3</v>
      </c>
      <c r="CP529" s="236">
        <f>IF(AND('Grille de saisie'!C529=1,'Grille de saisie'!BZ529=0),1,IF(AND('Grille de saisie'!C529=1,'Grille de saisie'!BZ529=1),2,IF(AND('Grille de saisie'!C529=2,'Grille de saisie'!BZ529=0),2,IF(AND('Grille de saisie'!C529=3,'Grille de saisie'!BZ529=0),3,IF(AND('Grille de saisie'!C529=2,'Grille de saisie'!BZ529=1),3,IF(AND('Grille de saisie'!C529=1,'Grille de saisie'!BZ529=2),3,IF(AND('Grille de saisie'!C529="",'Grille de saisie'!BZ529=""),5,IF(AND('Grille de saisie'!C529=5),5,4))))))))</f>
        <v>5</v>
      </c>
      <c r="CQ529" s="237">
        <f>IF('Grille de saisie'!BZ529="",3,IF('Grille de saisie'!C529=5,3,IF('Grille de saisie'!BZ529=0,1,2)))</f>
        <v>3</v>
      </c>
    </row>
    <row r="530" spans="1:95" ht="15">
      <c r="A530" s="510">
        <v>528</v>
      </c>
      <c r="B530" s="240"/>
      <c r="C530" s="513"/>
      <c r="D530" s="240"/>
      <c r="E530" s="517"/>
      <c r="F530" s="265"/>
      <c r="G530" s="513"/>
      <c r="H530" s="265"/>
      <c r="I530" s="520"/>
      <c r="J530" s="241"/>
      <c r="K530" s="520"/>
      <c r="L530" s="241"/>
      <c r="M530" s="521"/>
      <c r="N530" s="241"/>
      <c r="O530" s="521"/>
      <c r="P530" s="241"/>
      <c r="Q530" s="520"/>
      <c r="R530" s="241"/>
      <c r="S530" s="520"/>
      <c r="T530" s="241"/>
      <c r="U530" s="520"/>
      <c r="V530" s="241"/>
      <c r="W530" s="242"/>
      <c r="X530" s="241"/>
      <c r="Y530" s="242"/>
      <c r="Z530" s="241"/>
      <c r="AA530" s="241"/>
      <c r="AB530" s="275"/>
      <c r="AC530" s="524"/>
      <c r="AD530" s="241"/>
      <c r="AE530" s="241"/>
      <c r="AF530" s="241"/>
      <c r="AG530" s="241"/>
      <c r="AH530" s="241"/>
      <c r="AI530" s="241"/>
      <c r="AJ530" s="529"/>
      <c r="AK530" s="258"/>
      <c r="AL530" s="241"/>
      <c r="AM530" s="242"/>
      <c r="AN530" s="241"/>
      <c r="AO530" s="242"/>
      <c r="AP530" s="241"/>
      <c r="AQ530" s="242"/>
      <c r="AR530" s="241"/>
      <c r="AS530" s="242"/>
      <c r="AT530" s="241"/>
      <c r="AU530" s="241"/>
      <c r="AV530" s="256"/>
      <c r="AW530" s="241"/>
      <c r="AX530" s="256"/>
      <c r="AY530" s="241"/>
      <c r="AZ530" s="256"/>
      <c r="BA530" s="239"/>
      <c r="BB530" s="242"/>
      <c r="BC530" s="239"/>
      <c r="BD530" s="242"/>
      <c r="BE530" s="239"/>
      <c r="BF530" s="241"/>
      <c r="BG530" s="239"/>
      <c r="BH530" s="241"/>
      <c r="BI530" s="260"/>
      <c r="BJ530" s="241"/>
      <c r="BK530" s="260"/>
      <c r="BL530" s="239"/>
      <c r="BM530" s="256"/>
      <c r="BN530" s="241"/>
      <c r="BO530" s="243"/>
      <c r="BP530" s="241"/>
      <c r="BQ530" s="239"/>
      <c r="BR530" s="276"/>
      <c r="BS530" s="256"/>
      <c r="BT530" s="260"/>
      <c r="BU530" s="261"/>
      <c r="BV530" s="260"/>
      <c r="BW530" s="239"/>
      <c r="BX530" s="260"/>
      <c r="BY530" s="260"/>
      <c r="BZ530" s="239"/>
      <c r="CA530" s="260"/>
      <c r="CB530" s="239"/>
      <c r="CC530" s="260"/>
      <c r="CD530" s="539"/>
      <c r="CE530" s="239"/>
      <c r="CF530" s="276"/>
      <c r="CG530" s="256"/>
      <c r="CH530" s="259"/>
      <c r="CI530" s="347"/>
      <c r="CJ530" s="540"/>
      <c r="CK530" s="256"/>
      <c r="CL530" s="244">
        <v>1</v>
      </c>
      <c r="CM530" s="274">
        <f t="shared" si="8"/>
        <v>2015</v>
      </c>
      <c r="CN530" s="244">
        <f>IF('Grille de saisie'!CM530&lt;18,0,IF('Grille de saisie'!CM530&lt;40,1,IF('Grille de saisie'!CM530&lt;65,2,IF('Grille de saisie'!CM530&lt;100,3,4))))</f>
        <v>4</v>
      </c>
      <c r="CO530" s="236">
        <f>IF(AND('Grille de saisie'!C530=1,'Grille de saisie'!BZ530=0),1,IF(AND('Grille de saisie'!C530="",'Grille de saisie'!BZ530=""),3,IF(AND('Grille de saisie'!C530=5),3,2)))</f>
        <v>3</v>
      </c>
      <c r="CP530" s="236">
        <f>IF(AND('Grille de saisie'!C530=1,'Grille de saisie'!BZ530=0),1,IF(AND('Grille de saisie'!C530=1,'Grille de saisie'!BZ530=1),2,IF(AND('Grille de saisie'!C530=2,'Grille de saisie'!BZ530=0),2,IF(AND('Grille de saisie'!C530=3,'Grille de saisie'!BZ530=0),3,IF(AND('Grille de saisie'!C530=2,'Grille de saisie'!BZ530=1),3,IF(AND('Grille de saisie'!C530=1,'Grille de saisie'!BZ530=2),3,IF(AND('Grille de saisie'!C530="",'Grille de saisie'!BZ530=""),5,IF(AND('Grille de saisie'!C530=5),5,4))))))))</f>
        <v>5</v>
      </c>
      <c r="CQ530" s="237">
        <f>IF('Grille de saisie'!BZ530="",3,IF('Grille de saisie'!C530=5,3,IF('Grille de saisie'!BZ530=0,1,2)))</f>
        <v>3</v>
      </c>
    </row>
    <row r="531" spans="1:95" ht="15">
      <c r="A531" s="511">
        <v>529</v>
      </c>
      <c r="B531" s="240"/>
      <c r="C531" s="513"/>
      <c r="D531" s="240"/>
      <c r="E531" s="517"/>
      <c r="F531" s="265"/>
      <c r="G531" s="513"/>
      <c r="H531" s="265"/>
      <c r="I531" s="520"/>
      <c r="J531" s="241"/>
      <c r="K531" s="520"/>
      <c r="L531" s="241"/>
      <c r="M531" s="521"/>
      <c r="N531" s="241"/>
      <c r="O531" s="521"/>
      <c r="P531" s="241"/>
      <c r="Q531" s="520"/>
      <c r="R531" s="241"/>
      <c r="S531" s="520"/>
      <c r="T531" s="241"/>
      <c r="U531" s="520"/>
      <c r="V531" s="241"/>
      <c r="W531" s="242"/>
      <c r="X531" s="241"/>
      <c r="Y531" s="242"/>
      <c r="Z531" s="241"/>
      <c r="AA531" s="241"/>
      <c r="AB531" s="275"/>
      <c r="AC531" s="524"/>
      <c r="AD531" s="241"/>
      <c r="AE531" s="241"/>
      <c r="AF531" s="241"/>
      <c r="AG531" s="241"/>
      <c r="AH531" s="241"/>
      <c r="AI531" s="241"/>
      <c r="AJ531" s="529"/>
      <c r="AK531" s="258"/>
      <c r="AL531" s="241"/>
      <c r="AM531" s="242"/>
      <c r="AN531" s="241"/>
      <c r="AO531" s="242"/>
      <c r="AP531" s="241"/>
      <c r="AQ531" s="242"/>
      <c r="AR531" s="241"/>
      <c r="AS531" s="242"/>
      <c r="AT531" s="241"/>
      <c r="AU531" s="241"/>
      <c r="AV531" s="256"/>
      <c r="AW531" s="241"/>
      <c r="AX531" s="256"/>
      <c r="AY531" s="241"/>
      <c r="AZ531" s="256"/>
      <c r="BA531" s="239"/>
      <c r="BB531" s="242"/>
      <c r="BC531" s="239"/>
      <c r="BD531" s="242"/>
      <c r="BE531" s="239"/>
      <c r="BF531" s="241"/>
      <c r="BG531" s="239"/>
      <c r="BH531" s="241"/>
      <c r="BI531" s="260"/>
      <c r="BJ531" s="241"/>
      <c r="BK531" s="260"/>
      <c r="BL531" s="239"/>
      <c r="BM531" s="256"/>
      <c r="BN531" s="241"/>
      <c r="BO531" s="243"/>
      <c r="BP531" s="241"/>
      <c r="BQ531" s="239"/>
      <c r="BR531" s="276"/>
      <c r="BS531" s="256"/>
      <c r="BT531" s="260"/>
      <c r="BU531" s="261"/>
      <c r="BV531" s="260"/>
      <c r="BW531" s="239"/>
      <c r="BX531" s="260"/>
      <c r="BY531" s="260"/>
      <c r="BZ531" s="239"/>
      <c r="CA531" s="260"/>
      <c r="CB531" s="239"/>
      <c r="CC531" s="260"/>
      <c r="CD531" s="539"/>
      <c r="CE531" s="239"/>
      <c r="CF531" s="276"/>
      <c r="CG531" s="256"/>
      <c r="CH531" s="259"/>
      <c r="CI531" s="347"/>
      <c r="CJ531" s="540"/>
      <c r="CK531" s="256"/>
      <c r="CL531" s="244">
        <v>1</v>
      </c>
      <c r="CM531" s="274">
        <f t="shared" si="8"/>
        <v>2015</v>
      </c>
      <c r="CN531" s="244">
        <f>IF('Grille de saisie'!CM531&lt;18,0,IF('Grille de saisie'!CM531&lt;40,1,IF('Grille de saisie'!CM531&lt;65,2,IF('Grille de saisie'!CM531&lt;100,3,4))))</f>
        <v>4</v>
      </c>
      <c r="CO531" s="236">
        <f>IF(AND('Grille de saisie'!C531=1,'Grille de saisie'!BZ531=0),1,IF(AND('Grille de saisie'!C531="",'Grille de saisie'!BZ531=""),3,IF(AND('Grille de saisie'!C531=5),3,2)))</f>
        <v>3</v>
      </c>
      <c r="CP531" s="236">
        <f>IF(AND('Grille de saisie'!C531=1,'Grille de saisie'!BZ531=0),1,IF(AND('Grille de saisie'!C531=1,'Grille de saisie'!BZ531=1),2,IF(AND('Grille de saisie'!C531=2,'Grille de saisie'!BZ531=0),2,IF(AND('Grille de saisie'!C531=3,'Grille de saisie'!BZ531=0),3,IF(AND('Grille de saisie'!C531=2,'Grille de saisie'!BZ531=1),3,IF(AND('Grille de saisie'!C531=1,'Grille de saisie'!BZ531=2),3,IF(AND('Grille de saisie'!C531="",'Grille de saisie'!BZ531=""),5,IF(AND('Grille de saisie'!C531=5),5,4))))))))</f>
        <v>5</v>
      </c>
      <c r="CQ531" s="237">
        <f>IF('Grille de saisie'!BZ531="",3,IF('Grille de saisie'!C531=5,3,IF('Grille de saisie'!BZ531=0,1,2)))</f>
        <v>3</v>
      </c>
    </row>
    <row r="532" spans="1:95" ht="15">
      <c r="A532" s="510">
        <v>530</v>
      </c>
      <c r="B532" s="240"/>
      <c r="C532" s="513"/>
      <c r="D532" s="240"/>
      <c r="E532" s="517"/>
      <c r="F532" s="265"/>
      <c r="G532" s="513"/>
      <c r="H532" s="265"/>
      <c r="I532" s="520"/>
      <c r="J532" s="241"/>
      <c r="K532" s="520"/>
      <c r="L532" s="241"/>
      <c r="M532" s="521"/>
      <c r="N532" s="241"/>
      <c r="O532" s="521"/>
      <c r="P532" s="241"/>
      <c r="Q532" s="520"/>
      <c r="R532" s="241"/>
      <c r="S532" s="520"/>
      <c r="T532" s="241"/>
      <c r="U532" s="520"/>
      <c r="V532" s="241"/>
      <c r="W532" s="242"/>
      <c r="X532" s="241"/>
      <c r="Y532" s="242"/>
      <c r="Z532" s="241"/>
      <c r="AA532" s="241"/>
      <c r="AB532" s="275"/>
      <c r="AC532" s="524"/>
      <c r="AD532" s="241"/>
      <c r="AE532" s="241"/>
      <c r="AF532" s="241"/>
      <c r="AG532" s="241"/>
      <c r="AH532" s="241"/>
      <c r="AI532" s="241"/>
      <c r="AJ532" s="529"/>
      <c r="AK532" s="258"/>
      <c r="AL532" s="241"/>
      <c r="AM532" s="242"/>
      <c r="AN532" s="241"/>
      <c r="AO532" s="242"/>
      <c r="AP532" s="241"/>
      <c r="AQ532" s="242"/>
      <c r="AR532" s="241"/>
      <c r="AS532" s="242"/>
      <c r="AT532" s="241"/>
      <c r="AU532" s="241"/>
      <c r="AV532" s="256"/>
      <c r="AW532" s="241"/>
      <c r="AX532" s="256"/>
      <c r="AY532" s="241"/>
      <c r="AZ532" s="256"/>
      <c r="BA532" s="239"/>
      <c r="BB532" s="242"/>
      <c r="BC532" s="239"/>
      <c r="BD532" s="242"/>
      <c r="BE532" s="239"/>
      <c r="BF532" s="241"/>
      <c r="BG532" s="239"/>
      <c r="BH532" s="241"/>
      <c r="BI532" s="260"/>
      <c r="BJ532" s="241"/>
      <c r="BK532" s="260"/>
      <c r="BL532" s="239"/>
      <c r="BM532" s="256"/>
      <c r="BN532" s="241"/>
      <c r="BO532" s="243"/>
      <c r="BP532" s="241"/>
      <c r="BQ532" s="239"/>
      <c r="BR532" s="276"/>
      <c r="BS532" s="256"/>
      <c r="BT532" s="260"/>
      <c r="BU532" s="261"/>
      <c r="BV532" s="260"/>
      <c r="BW532" s="239"/>
      <c r="BX532" s="260"/>
      <c r="BY532" s="260"/>
      <c r="BZ532" s="239"/>
      <c r="CA532" s="260"/>
      <c r="CB532" s="239"/>
      <c r="CC532" s="260"/>
      <c r="CD532" s="539"/>
      <c r="CE532" s="239"/>
      <c r="CF532" s="276"/>
      <c r="CG532" s="256"/>
      <c r="CH532" s="259"/>
      <c r="CI532" s="347"/>
      <c r="CJ532" s="540"/>
      <c r="CK532" s="256"/>
      <c r="CL532" s="244">
        <v>1</v>
      </c>
      <c r="CM532" s="274">
        <f t="shared" si="8"/>
        <v>2015</v>
      </c>
      <c r="CN532" s="244">
        <f>IF('Grille de saisie'!CM532&lt;18,0,IF('Grille de saisie'!CM532&lt;40,1,IF('Grille de saisie'!CM532&lt;65,2,IF('Grille de saisie'!CM532&lt;100,3,4))))</f>
        <v>4</v>
      </c>
      <c r="CO532" s="236">
        <f>IF(AND('Grille de saisie'!C532=1,'Grille de saisie'!BZ532=0),1,IF(AND('Grille de saisie'!C532="",'Grille de saisie'!BZ532=""),3,IF(AND('Grille de saisie'!C532=5),3,2)))</f>
        <v>3</v>
      </c>
      <c r="CP532" s="236">
        <f>IF(AND('Grille de saisie'!C532=1,'Grille de saisie'!BZ532=0),1,IF(AND('Grille de saisie'!C532=1,'Grille de saisie'!BZ532=1),2,IF(AND('Grille de saisie'!C532=2,'Grille de saisie'!BZ532=0),2,IF(AND('Grille de saisie'!C532=3,'Grille de saisie'!BZ532=0),3,IF(AND('Grille de saisie'!C532=2,'Grille de saisie'!BZ532=1),3,IF(AND('Grille de saisie'!C532=1,'Grille de saisie'!BZ532=2),3,IF(AND('Grille de saisie'!C532="",'Grille de saisie'!BZ532=""),5,IF(AND('Grille de saisie'!C532=5),5,4))))))))</f>
        <v>5</v>
      </c>
      <c r="CQ532" s="237">
        <f>IF('Grille de saisie'!BZ532="",3,IF('Grille de saisie'!C532=5,3,IF('Grille de saisie'!BZ532=0,1,2)))</f>
        <v>3</v>
      </c>
    </row>
    <row r="533" spans="1:95" ht="15">
      <c r="A533" s="510">
        <v>531</v>
      </c>
      <c r="B533" s="240"/>
      <c r="C533" s="513"/>
      <c r="D533" s="240"/>
      <c r="E533" s="517"/>
      <c r="F533" s="265"/>
      <c r="G533" s="513"/>
      <c r="H533" s="265"/>
      <c r="I533" s="520"/>
      <c r="J533" s="241"/>
      <c r="K533" s="520"/>
      <c r="L533" s="241"/>
      <c r="M533" s="521"/>
      <c r="N533" s="241"/>
      <c r="O533" s="521"/>
      <c r="P533" s="241"/>
      <c r="Q533" s="520"/>
      <c r="R533" s="241"/>
      <c r="S533" s="520"/>
      <c r="T533" s="241"/>
      <c r="U533" s="520"/>
      <c r="V533" s="241"/>
      <c r="W533" s="242"/>
      <c r="X533" s="241"/>
      <c r="Y533" s="242"/>
      <c r="Z533" s="241"/>
      <c r="AA533" s="241"/>
      <c r="AB533" s="275"/>
      <c r="AC533" s="524"/>
      <c r="AD533" s="241"/>
      <c r="AE533" s="241"/>
      <c r="AF533" s="241"/>
      <c r="AG533" s="241"/>
      <c r="AH533" s="241"/>
      <c r="AI533" s="241"/>
      <c r="AJ533" s="529"/>
      <c r="AK533" s="258"/>
      <c r="AL533" s="241"/>
      <c r="AM533" s="242"/>
      <c r="AN533" s="241"/>
      <c r="AO533" s="242"/>
      <c r="AP533" s="241"/>
      <c r="AQ533" s="242"/>
      <c r="AR533" s="241"/>
      <c r="AS533" s="242"/>
      <c r="AT533" s="241"/>
      <c r="AU533" s="241"/>
      <c r="AV533" s="256"/>
      <c r="AW533" s="241"/>
      <c r="AX533" s="256"/>
      <c r="AY533" s="241"/>
      <c r="AZ533" s="256"/>
      <c r="BA533" s="239"/>
      <c r="BB533" s="242"/>
      <c r="BC533" s="239"/>
      <c r="BD533" s="242"/>
      <c r="BE533" s="239"/>
      <c r="BF533" s="241"/>
      <c r="BG533" s="239"/>
      <c r="BH533" s="241"/>
      <c r="BI533" s="260"/>
      <c r="BJ533" s="241"/>
      <c r="BK533" s="260"/>
      <c r="BL533" s="239"/>
      <c r="BM533" s="256"/>
      <c r="BN533" s="241"/>
      <c r="BO533" s="243"/>
      <c r="BP533" s="241"/>
      <c r="BQ533" s="239"/>
      <c r="BR533" s="276"/>
      <c r="BS533" s="256"/>
      <c r="BT533" s="260"/>
      <c r="BU533" s="261"/>
      <c r="BV533" s="260"/>
      <c r="BW533" s="239"/>
      <c r="BX533" s="260"/>
      <c r="BY533" s="260"/>
      <c r="BZ533" s="239"/>
      <c r="CA533" s="260"/>
      <c r="CB533" s="239"/>
      <c r="CC533" s="260"/>
      <c r="CD533" s="539"/>
      <c r="CE533" s="239"/>
      <c r="CF533" s="276"/>
      <c r="CG533" s="256"/>
      <c r="CH533" s="259"/>
      <c r="CI533" s="347"/>
      <c r="CJ533" s="540"/>
      <c r="CK533" s="256"/>
      <c r="CL533" s="244">
        <v>1</v>
      </c>
      <c r="CM533" s="274">
        <f t="shared" si="8"/>
        <v>2015</v>
      </c>
      <c r="CN533" s="244">
        <f>IF('Grille de saisie'!CM533&lt;18,0,IF('Grille de saisie'!CM533&lt;40,1,IF('Grille de saisie'!CM533&lt;65,2,IF('Grille de saisie'!CM533&lt;100,3,4))))</f>
        <v>4</v>
      </c>
      <c r="CO533" s="236">
        <f>IF(AND('Grille de saisie'!C533=1,'Grille de saisie'!BZ533=0),1,IF(AND('Grille de saisie'!C533="",'Grille de saisie'!BZ533=""),3,IF(AND('Grille de saisie'!C533=5),3,2)))</f>
        <v>3</v>
      </c>
      <c r="CP533" s="236">
        <f>IF(AND('Grille de saisie'!C533=1,'Grille de saisie'!BZ533=0),1,IF(AND('Grille de saisie'!C533=1,'Grille de saisie'!BZ533=1),2,IF(AND('Grille de saisie'!C533=2,'Grille de saisie'!BZ533=0),2,IF(AND('Grille de saisie'!C533=3,'Grille de saisie'!BZ533=0),3,IF(AND('Grille de saisie'!C533=2,'Grille de saisie'!BZ533=1),3,IF(AND('Grille de saisie'!C533=1,'Grille de saisie'!BZ533=2),3,IF(AND('Grille de saisie'!C533="",'Grille de saisie'!BZ533=""),5,IF(AND('Grille de saisie'!C533=5),5,4))))))))</f>
        <v>5</v>
      </c>
      <c r="CQ533" s="237">
        <f>IF('Grille de saisie'!BZ533="",3,IF('Grille de saisie'!C533=5,3,IF('Grille de saisie'!BZ533=0,1,2)))</f>
        <v>3</v>
      </c>
    </row>
    <row r="534" spans="1:95" ht="15">
      <c r="A534" s="511">
        <v>532</v>
      </c>
      <c r="B534" s="240"/>
      <c r="C534" s="513"/>
      <c r="D534" s="240"/>
      <c r="E534" s="517"/>
      <c r="F534" s="265"/>
      <c r="G534" s="513"/>
      <c r="H534" s="265"/>
      <c r="I534" s="520"/>
      <c r="J534" s="241"/>
      <c r="K534" s="520"/>
      <c r="L534" s="241"/>
      <c r="M534" s="521"/>
      <c r="N534" s="241"/>
      <c r="O534" s="521"/>
      <c r="P534" s="241"/>
      <c r="Q534" s="520"/>
      <c r="R534" s="241"/>
      <c r="S534" s="520"/>
      <c r="T534" s="241"/>
      <c r="U534" s="520"/>
      <c r="V534" s="241"/>
      <c r="W534" s="242"/>
      <c r="X534" s="241"/>
      <c r="Y534" s="242"/>
      <c r="Z534" s="241"/>
      <c r="AA534" s="241"/>
      <c r="AB534" s="275"/>
      <c r="AC534" s="524"/>
      <c r="AD534" s="241"/>
      <c r="AE534" s="241"/>
      <c r="AF534" s="241"/>
      <c r="AG534" s="241"/>
      <c r="AH534" s="241"/>
      <c r="AI534" s="241"/>
      <c r="AJ534" s="529"/>
      <c r="AK534" s="258"/>
      <c r="AL534" s="241"/>
      <c r="AM534" s="242"/>
      <c r="AN534" s="241"/>
      <c r="AO534" s="242"/>
      <c r="AP534" s="241"/>
      <c r="AQ534" s="242"/>
      <c r="AR534" s="241"/>
      <c r="AS534" s="242"/>
      <c r="AT534" s="241"/>
      <c r="AU534" s="241"/>
      <c r="AV534" s="256"/>
      <c r="AW534" s="241"/>
      <c r="AX534" s="256"/>
      <c r="AY534" s="241"/>
      <c r="AZ534" s="256"/>
      <c r="BA534" s="239"/>
      <c r="BB534" s="242"/>
      <c r="BC534" s="239"/>
      <c r="BD534" s="242"/>
      <c r="BE534" s="239"/>
      <c r="BF534" s="241"/>
      <c r="BG534" s="239"/>
      <c r="BH534" s="241"/>
      <c r="BI534" s="260"/>
      <c r="BJ534" s="241"/>
      <c r="BK534" s="260"/>
      <c r="BL534" s="239"/>
      <c r="BM534" s="256"/>
      <c r="BN534" s="241"/>
      <c r="BO534" s="243"/>
      <c r="BP534" s="241"/>
      <c r="BQ534" s="239"/>
      <c r="BR534" s="276"/>
      <c r="BS534" s="256"/>
      <c r="BT534" s="260"/>
      <c r="BU534" s="261"/>
      <c r="BV534" s="260"/>
      <c r="BW534" s="239"/>
      <c r="BX534" s="260"/>
      <c r="BY534" s="260"/>
      <c r="BZ534" s="239"/>
      <c r="CA534" s="260"/>
      <c r="CB534" s="239"/>
      <c r="CC534" s="260"/>
      <c r="CD534" s="539"/>
      <c r="CE534" s="239"/>
      <c r="CF534" s="276"/>
      <c r="CG534" s="256"/>
      <c r="CH534" s="259"/>
      <c r="CI534" s="347"/>
      <c r="CJ534" s="540"/>
      <c r="CK534" s="256"/>
      <c r="CL534" s="244">
        <v>1</v>
      </c>
      <c r="CM534" s="274">
        <f t="shared" si="8"/>
        <v>2015</v>
      </c>
      <c r="CN534" s="244">
        <f>IF('Grille de saisie'!CM534&lt;18,0,IF('Grille de saisie'!CM534&lt;40,1,IF('Grille de saisie'!CM534&lt;65,2,IF('Grille de saisie'!CM534&lt;100,3,4))))</f>
        <v>4</v>
      </c>
      <c r="CO534" s="236">
        <f>IF(AND('Grille de saisie'!C534=1,'Grille de saisie'!BZ534=0),1,IF(AND('Grille de saisie'!C534="",'Grille de saisie'!BZ534=""),3,IF(AND('Grille de saisie'!C534=5),3,2)))</f>
        <v>3</v>
      </c>
      <c r="CP534" s="236">
        <f>IF(AND('Grille de saisie'!C534=1,'Grille de saisie'!BZ534=0),1,IF(AND('Grille de saisie'!C534=1,'Grille de saisie'!BZ534=1),2,IF(AND('Grille de saisie'!C534=2,'Grille de saisie'!BZ534=0),2,IF(AND('Grille de saisie'!C534=3,'Grille de saisie'!BZ534=0),3,IF(AND('Grille de saisie'!C534=2,'Grille de saisie'!BZ534=1),3,IF(AND('Grille de saisie'!C534=1,'Grille de saisie'!BZ534=2),3,IF(AND('Grille de saisie'!C534="",'Grille de saisie'!BZ534=""),5,IF(AND('Grille de saisie'!C534=5),5,4))))))))</f>
        <v>5</v>
      </c>
      <c r="CQ534" s="237">
        <f>IF('Grille de saisie'!BZ534="",3,IF('Grille de saisie'!C534=5,3,IF('Grille de saisie'!BZ534=0,1,2)))</f>
        <v>3</v>
      </c>
    </row>
    <row r="535" spans="1:95" ht="15">
      <c r="A535" s="510">
        <v>533</v>
      </c>
      <c r="B535" s="240"/>
      <c r="C535" s="513"/>
      <c r="D535" s="240"/>
      <c r="E535" s="517"/>
      <c r="F535" s="265"/>
      <c r="G535" s="513"/>
      <c r="H535" s="265"/>
      <c r="I535" s="520"/>
      <c r="J535" s="241"/>
      <c r="K535" s="520"/>
      <c r="L535" s="241"/>
      <c r="M535" s="521"/>
      <c r="N535" s="241"/>
      <c r="O535" s="521"/>
      <c r="P535" s="241"/>
      <c r="Q535" s="520"/>
      <c r="R535" s="241"/>
      <c r="S535" s="520"/>
      <c r="T535" s="241"/>
      <c r="U535" s="520"/>
      <c r="V535" s="241"/>
      <c r="W535" s="242"/>
      <c r="X535" s="241"/>
      <c r="Y535" s="242"/>
      <c r="Z535" s="241"/>
      <c r="AA535" s="241"/>
      <c r="AB535" s="275"/>
      <c r="AC535" s="524"/>
      <c r="AD535" s="241"/>
      <c r="AE535" s="241"/>
      <c r="AF535" s="241"/>
      <c r="AG535" s="241"/>
      <c r="AH535" s="241"/>
      <c r="AI535" s="241"/>
      <c r="AJ535" s="529"/>
      <c r="AK535" s="258"/>
      <c r="AL535" s="241"/>
      <c r="AM535" s="242"/>
      <c r="AN535" s="241"/>
      <c r="AO535" s="242"/>
      <c r="AP535" s="241"/>
      <c r="AQ535" s="242"/>
      <c r="AR535" s="241"/>
      <c r="AS535" s="242"/>
      <c r="AT535" s="241"/>
      <c r="AU535" s="241"/>
      <c r="AV535" s="256"/>
      <c r="AW535" s="241"/>
      <c r="AX535" s="256"/>
      <c r="AY535" s="241"/>
      <c r="AZ535" s="256"/>
      <c r="BA535" s="239"/>
      <c r="BB535" s="242"/>
      <c r="BC535" s="239"/>
      <c r="BD535" s="242"/>
      <c r="BE535" s="239"/>
      <c r="BF535" s="241"/>
      <c r="BG535" s="239"/>
      <c r="BH535" s="241"/>
      <c r="BI535" s="260"/>
      <c r="BJ535" s="241"/>
      <c r="BK535" s="260"/>
      <c r="BL535" s="239"/>
      <c r="BM535" s="256"/>
      <c r="BN535" s="241"/>
      <c r="BO535" s="243"/>
      <c r="BP535" s="241"/>
      <c r="BQ535" s="239"/>
      <c r="BR535" s="276"/>
      <c r="BS535" s="256"/>
      <c r="BT535" s="260"/>
      <c r="BU535" s="261"/>
      <c r="BV535" s="260"/>
      <c r="BW535" s="239"/>
      <c r="BX535" s="260"/>
      <c r="BY535" s="260"/>
      <c r="BZ535" s="239"/>
      <c r="CA535" s="260"/>
      <c r="CB535" s="239"/>
      <c r="CC535" s="260"/>
      <c r="CD535" s="539"/>
      <c r="CE535" s="239"/>
      <c r="CF535" s="276"/>
      <c r="CG535" s="256"/>
      <c r="CH535" s="259"/>
      <c r="CI535" s="347"/>
      <c r="CJ535" s="540"/>
      <c r="CK535" s="256"/>
      <c r="CL535" s="244">
        <v>1</v>
      </c>
      <c r="CM535" s="274">
        <f t="shared" si="8"/>
        <v>2015</v>
      </c>
      <c r="CN535" s="244">
        <f>IF('Grille de saisie'!CM535&lt;18,0,IF('Grille de saisie'!CM535&lt;40,1,IF('Grille de saisie'!CM535&lt;65,2,IF('Grille de saisie'!CM535&lt;100,3,4))))</f>
        <v>4</v>
      </c>
      <c r="CO535" s="236">
        <f>IF(AND('Grille de saisie'!C535=1,'Grille de saisie'!BZ535=0),1,IF(AND('Grille de saisie'!C535="",'Grille de saisie'!BZ535=""),3,IF(AND('Grille de saisie'!C535=5),3,2)))</f>
        <v>3</v>
      </c>
      <c r="CP535" s="236">
        <f>IF(AND('Grille de saisie'!C535=1,'Grille de saisie'!BZ535=0),1,IF(AND('Grille de saisie'!C535=1,'Grille de saisie'!BZ535=1),2,IF(AND('Grille de saisie'!C535=2,'Grille de saisie'!BZ535=0),2,IF(AND('Grille de saisie'!C535=3,'Grille de saisie'!BZ535=0),3,IF(AND('Grille de saisie'!C535=2,'Grille de saisie'!BZ535=1),3,IF(AND('Grille de saisie'!C535=1,'Grille de saisie'!BZ535=2),3,IF(AND('Grille de saisie'!C535="",'Grille de saisie'!BZ535=""),5,IF(AND('Grille de saisie'!C535=5),5,4))))))))</f>
        <v>5</v>
      </c>
      <c r="CQ535" s="237">
        <f>IF('Grille de saisie'!BZ535="",3,IF('Grille de saisie'!C535=5,3,IF('Grille de saisie'!BZ535=0,1,2)))</f>
        <v>3</v>
      </c>
    </row>
    <row r="536" spans="1:95" ht="15">
      <c r="A536" s="510">
        <v>534</v>
      </c>
      <c r="B536" s="240"/>
      <c r="C536" s="513"/>
      <c r="D536" s="240"/>
      <c r="E536" s="517"/>
      <c r="F536" s="265"/>
      <c r="G536" s="513"/>
      <c r="H536" s="265"/>
      <c r="I536" s="520"/>
      <c r="J536" s="241"/>
      <c r="K536" s="520"/>
      <c r="L536" s="241"/>
      <c r="M536" s="521"/>
      <c r="N536" s="241"/>
      <c r="O536" s="521"/>
      <c r="P536" s="241"/>
      <c r="Q536" s="520"/>
      <c r="R536" s="241"/>
      <c r="S536" s="520"/>
      <c r="T536" s="241"/>
      <c r="U536" s="520"/>
      <c r="V536" s="241"/>
      <c r="W536" s="242"/>
      <c r="X536" s="241"/>
      <c r="Y536" s="242"/>
      <c r="Z536" s="241"/>
      <c r="AA536" s="241"/>
      <c r="AB536" s="275"/>
      <c r="AC536" s="524"/>
      <c r="AD536" s="241"/>
      <c r="AE536" s="241"/>
      <c r="AF536" s="241"/>
      <c r="AG536" s="241"/>
      <c r="AH536" s="241"/>
      <c r="AI536" s="241"/>
      <c r="AJ536" s="529"/>
      <c r="AK536" s="258"/>
      <c r="AL536" s="241"/>
      <c r="AM536" s="242"/>
      <c r="AN536" s="241"/>
      <c r="AO536" s="242"/>
      <c r="AP536" s="241"/>
      <c r="AQ536" s="242"/>
      <c r="AR536" s="241"/>
      <c r="AS536" s="242"/>
      <c r="AT536" s="241"/>
      <c r="AU536" s="241"/>
      <c r="AV536" s="256"/>
      <c r="AW536" s="241"/>
      <c r="AX536" s="256"/>
      <c r="AY536" s="241"/>
      <c r="AZ536" s="256"/>
      <c r="BA536" s="239"/>
      <c r="BB536" s="242"/>
      <c r="BC536" s="239"/>
      <c r="BD536" s="242"/>
      <c r="BE536" s="239"/>
      <c r="BF536" s="241"/>
      <c r="BG536" s="239"/>
      <c r="BH536" s="241"/>
      <c r="BI536" s="260"/>
      <c r="BJ536" s="241"/>
      <c r="BK536" s="260"/>
      <c r="BL536" s="239"/>
      <c r="BM536" s="256"/>
      <c r="BN536" s="241"/>
      <c r="BO536" s="243"/>
      <c r="BP536" s="241"/>
      <c r="BQ536" s="239"/>
      <c r="BR536" s="276"/>
      <c r="BS536" s="256"/>
      <c r="BT536" s="260"/>
      <c r="BU536" s="261"/>
      <c r="BV536" s="260"/>
      <c r="BW536" s="239"/>
      <c r="BX536" s="260"/>
      <c r="BY536" s="260"/>
      <c r="BZ536" s="239"/>
      <c r="CA536" s="260"/>
      <c r="CB536" s="239"/>
      <c r="CC536" s="260"/>
      <c r="CD536" s="539"/>
      <c r="CE536" s="239"/>
      <c r="CF536" s="276"/>
      <c r="CG536" s="256"/>
      <c r="CH536" s="259"/>
      <c r="CI536" s="347"/>
      <c r="CJ536" s="540"/>
      <c r="CK536" s="256"/>
      <c r="CL536" s="244">
        <v>1</v>
      </c>
      <c r="CM536" s="274">
        <f t="shared" si="8"/>
        <v>2015</v>
      </c>
      <c r="CN536" s="244">
        <f>IF('Grille de saisie'!CM536&lt;18,0,IF('Grille de saisie'!CM536&lt;40,1,IF('Grille de saisie'!CM536&lt;65,2,IF('Grille de saisie'!CM536&lt;100,3,4))))</f>
        <v>4</v>
      </c>
      <c r="CO536" s="236">
        <f>IF(AND('Grille de saisie'!C536=1,'Grille de saisie'!BZ536=0),1,IF(AND('Grille de saisie'!C536="",'Grille de saisie'!BZ536=""),3,IF(AND('Grille de saisie'!C536=5),3,2)))</f>
        <v>3</v>
      </c>
      <c r="CP536" s="236">
        <f>IF(AND('Grille de saisie'!C536=1,'Grille de saisie'!BZ536=0),1,IF(AND('Grille de saisie'!C536=1,'Grille de saisie'!BZ536=1),2,IF(AND('Grille de saisie'!C536=2,'Grille de saisie'!BZ536=0),2,IF(AND('Grille de saisie'!C536=3,'Grille de saisie'!BZ536=0),3,IF(AND('Grille de saisie'!C536=2,'Grille de saisie'!BZ536=1),3,IF(AND('Grille de saisie'!C536=1,'Grille de saisie'!BZ536=2),3,IF(AND('Grille de saisie'!C536="",'Grille de saisie'!BZ536=""),5,IF(AND('Grille de saisie'!C536=5),5,4))))))))</f>
        <v>5</v>
      </c>
      <c r="CQ536" s="237">
        <f>IF('Grille de saisie'!BZ536="",3,IF('Grille de saisie'!C536=5,3,IF('Grille de saisie'!BZ536=0,1,2)))</f>
        <v>3</v>
      </c>
    </row>
    <row r="537" spans="1:95" ht="15">
      <c r="A537" s="511">
        <v>535</v>
      </c>
      <c r="B537" s="240"/>
      <c r="C537" s="513"/>
      <c r="D537" s="240"/>
      <c r="E537" s="517"/>
      <c r="F537" s="265"/>
      <c r="G537" s="513"/>
      <c r="H537" s="265"/>
      <c r="I537" s="520"/>
      <c r="J537" s="241"/>
      <c r="K537" s="520"/>
      <c r="L537" s="241"/>
      <c r="M537" s="521"/>
      <c r="N537" s="241"/>
      <c r="O537" s="521"/>
      <c r="P537" s="241"/>
      <c r="Q537" s="520"/>
      <c r="R537" s="241"/>
      <c r="S537" s="520"/>
      <c r="T537" s="241"/>
      <c r="U537" s="520"/>
      <c r="V537" s="241"/>
      <c r="W537" s="242"/>
      <c r="X537" s="241"/>
      <c r="Y537" s="242"/>
      <c r="Z537" s="241"/>
      <c r="AA537" s="241"/>
      <c r="AB537" s="275"/>
      <c r="AC537" s="524"/>
      <c r="AD537" s="241"/>
      <c r="AE537" s="241"/>
      <c r="AF537" s="241"/>
      <c r="AG537" s="241"/>
      <c r="AH537" s="241"/>
      <c r="AI537" s="241"/>
      <c r="AJ537" s="529"/>
      <c r="AK537" s="258"/>
      <c r="AL537" s="241"/>
      <c r="AM537" s="242"/>
      <c r="AN537" s="241"/>
      <c r="AO537" s="242"/>
      <c r="AP537" s="241"/>
      <c r="AQ537" s="242"/>
      <c r="AR537" s="241"/>
      <c r="AS537" s="242"/>
      <c r="AT537" s="241"/>
      <c r="AU537" s="241"/>
      <c r="AV537" s="256"/>
      <c r="AW537" s="241"/>
      <c r="AX537" s="256"/>
      <c r="AY537" s="241"/>
      <c r="AZ537" s="256"/>
      <c r="BA537" s="239"/>
      <c r="BB537" s="242"/>
      <c r="BC537" s="239"/>
      <c r="BD537" s="242"/>
      <c r="BE537" s="239"/>
      <c r="BF537" s="241"/>
      <c r="BG537" s="239"/>
      <c r="BH537" s="241"/>
      <c r="BI537" s="260"/>
      <c r="BJ537" s="241"/>
      <c r="BK537" s="260"/>
      <c r="BL537" s="239"/>
      <c r="BM537" s="256"/>
      <c r="BN537" s="241"/>
      <c r="BO537" s="243"/>
      <c r="BP537" s="241"/>
      <c r="BQ537" s="239"/>
      <c r="BR537" s="276"/>
      <c r="BS537" s="256"/>
      <c r="BT537" s="260"/>
      <c r="BU537" s="261"/>
      <c r="BV537" s="260"/>
      <c r="BW537" s="239"/>
      <c r="BX537" s="260"/>
      <c r="BY537" s="260"/>
      <c r="BZ537" s="239"/>
      <c r="CA537" s="260"/>
      <c r="CB537" s="239"/>
      <c r="CC537" s="260"/>
      <c r="CD537" s="539"/>
      <c r="CE537" s="239"/>
      <c r="CF537" s="276"/>
      <c r="CG537" s="256"/>
      <c r="CH537" s="259"/>
      <c r="CI537" s="347"/>
      <c r="CJ537" s="540"/>
      <c r="CK537" s="256"/>
      <c r="CL537" s="244">
        <v>1</v>
      </c>
      <c r="CM537" s="274">
        <f t="shared" si="8"/>
        <v>2015</v>
      </c>
      <c r="CN537" s="244">
        <f>IF('Grille de saisie'!CM537&lt;18,0,IF('Grille de saisie'!CM537&lt;40,1,IF('Grille de saisie'!CM537&lt;65,2,IF('Grille de saisie'!CM537&lt;100,3,4))))</f>
        <v>4</v>
      </c>
      <c r="CO537" s="236">
        <f>IF(AND('Grille de saisie'!C537=1,'Grille de saisie'!BZ537=0),1,IF(AND('Grille de saisie'!C537="",'Grille de saisie'!BZ537=""),3,IF(AND('Grille de saisie'!C537=5),3,2)))</f>
        <v>3</v>
      </c>
      <c r="CP537" s="236">
        <f>IF(AND('Grille de saisie'!C537=1,'Grille de saisie'!BZ537=0),1,IF(AND('Grille de saisie'!C537=1,'Grille de saisie'!BZ537=1),2,IF(AND('Grille de saisie'!C537=2,'Grille de saisie'!BZ537=0),2,IF(AND('Grille de saisie'!C537=3,'Grille de saisie'!BZ537=0),3,IF(AND('Grille de saisie'!C537=2,'Grille de saisie'!BZ537=1),3,IF(AND('Grille de saisie'!C537=1,'Grille de saisie'!BZ537=2),3,IF(AND('Grille de saisie'!C537="",'Grille de saisie'!BZ537=""),5,IF(AND('Grille de saisie'!C537=5),5,4))))))))</f>
        <v>5</v>
      </c>
      <c r="CQ537" s="237">
        <f>IF('Grille de saisie'!BZ537="",3,IF('Grille de saisie'!C537=5,3,IF('Grille de saisie'!BZ537=0,1,2)))</f>
        <v>3</v>
      </c>
    </row>
    <row r="538" spans="1:95" ht="15">
      <c r="A538" s="510">
        <v>536</v>
      </c>
      <c r="B538" s="240"/>
      <c r="C538" s="513"/>
      <c r="D538" s="240"/>
      <c r="E538" s="517"/>
      <c r="F538" s="265"/>
      <c r="G538" s="513"/>
      <c r="H538" s="265"/>
      <c r="I538" s="520"/>
      <c r="J538" s="241"/>
      <c r="K538" s="520"/>
      <c r="L538" s="241"/>
      <c r="M538" s="521"/>
      <c r="N538" s="241"/>
      <c r="O538" s="521"/>
      <c r="P538" s="241"/>
      <c r="Q538" s="520"/>
      <c r="R538" s="241"/>
      <c r="S538" s="520"/>
      <c r="T538" s="241"/>
      <c r="U538" s="520"/>
      <c r="V538" s="241"/>
      <c r="W538" s="242"/>
      <c r="X538" s="241"/>
      <c r="Y538" s="242"/>
      <c r="Z538" s="241"/>
      <c r="AA538" s="241"/>
      <c r="AB538" s="275"/>
      <c r="AC538" s="524"/>
      <c r="AD538" s="241"/>
      <c r="AE538" s="241"/>
      <c r="AF538" s="241"/>
      <c r="AG538" s="241"/>
      <c r="AH538" s="241"/>
      <c r="AI538" s="241"/>
      <c r="AJ538" s="529"/>
      <c r="AK538" s="258"/>
      <c r="AL538" s="241"/>
      <c r="AM538" s="242"/>
      <c r="AN538" s="241"/>
      <c r="AO538" s="242"/>
      <c r="AP538" s="241"/>
      <c r="AQ538" s="242"/>
      <c r="AR538" s="241"/>
      <c r="AS538" s="242"/>
      <c r="AT538" s="241"/>
      <c r="AU538" s="241"/>
      <c r="AV538" s="256"/>
      <c r="AW538" s="241"/>
      <c r="AX538" s="256"/>
      <c r="AY538" s="241"/>
      <c r="AZ538" s="256"/>
      <c r="BA538" s="239"/>
      <c r="BB538" s="242"/>
      <c r="BC538" s="239"/>
      <c r="BD538" s="242"/>
      <c r="BE538" s="239"/>
      <c r="BF538" s="241"/>
      <c r="BG538" s="239"/>
      <c r="BH538" s="241"/>
      <c r="BI538" s="260"/>
      <c r="BJ538" s="241"/>
      <c r="BK538" s="260"/>
      <c r="BL538" s="239"/>
      <c r="BM538" s="256"/>
      <c r="BN538" s="241"/>
      <c r="BO538" s="243"/>
      <c r="BP538" s="241"/>
      <c r="BQ538" s="239"/>
      <c r="BR538" s="276"/>
      <c r="BS538" s="256"/>
      <c r="BT538" s="260"/>
      <c r="BU538" s="261"/>
      <c r="BV538" s="260"/>
      <c r="BW538" s="239"/>
      <c r="BX538" s="260"/>
      <c r="BY538" s="260"/>
      <c r="BZ538" s="239"/>
      <c r="CA538" s="260"/>
      <c r="CB538" s="239"/>
      <c r="CC538" s="260"/>
      <c r="CD538" s="539"/>
      <c r="CE538" s="239"/>
      <c r="CF538" s="276"/>
      <c r="CG538" s="256"/>
      <c r="CH538" s="259"/>
      <c r="CI538" s="347"/>
      <c r="CJ538" s="540"/>
      <c r="CK538" s="256"/>
      <c r="CL538" s="244">
        <v>1</v>
      </c>
      <c r="CM538" s="274">
        <f t="shared" si="8"/>
        <v>2015</v>
      </c>
      <c r="CN538" s="244">
        <f>IF('Grille de saisie'!CM538&lt;18,0,IF('Grille de saisie'!CM538&lt;40,1,IF('Grille de saisie'!CM538&lt;65,2,IF('Grille de saisie'!CM538&lt;100,3,4))))</f>
        <v>4</v>
      </c>
      <c r="CO538" s="236">
        <f>IF(AND('Grille de saisie'!C538=1,'Grille de saisie'!BZ538=0),1,IF(AND('Grille de saisie'!C538="",'Grille de saisie'!BZ538=""),3,IF(AND('Grille de saisie'!C538=5),3,2)))</f>
        <v>3</v>
      </c>
      <c r="CP538" s="236">
        <f>IF(AND('Grille de saisie'!C538=1,'Grille de saisie'!BZ538=0),1,IF(AND('Grille de saisie'!C538=1,'Grille de saisie'!BZ538=1),2,IF(AND('Grille de saisie'!C538=2,'Grille de saisie'!BZ538=0),2,IF(AND('Grille de saisie'!C538=3,'Grille de saisie'!BZ538=0),3,IF(AND('Grille de saisie'!C538=2,'Grille de saisie'!BZ538=1),3,IF(AND('Grille de saisie'!C538=1,'Grille de saisie'!BZ538=2),3,IF(AND('Grille de saisie'!C538="",'Grille de saisie'!BZ538=""),5,IF(AND('Grille de saisie'!C538=5),5,4))))))))</f>
        <v>5</v>
      </c>
      <c r="CQ538" s="237">
        <f>IF('Grille de saisie'!BZ538="",3,IF('Grille de saisie'!C538=5,3,IF('Grille de saisie'!BZ538=0,1,2)))</f>
        <v>3</v>
      </c>
    </row>
    <row r="539" spans="1:95" ht="15">
      <c r="A539" s="510">
        <v>537</v>
      </c>
      <c r="B539" s="240"/>
      <c r="C539" s="513"/>
      <c r="D539" s="240"/>
      <c r="E539" s="517"/>
      <c r="F539" s="265"/>
      <c r="G539" s="513"/>
      <c r="H539" s="265"/>
      <c r="I539" s="520"/>
      <c r="J539" s="241"/>
      <c r="K539" s="520"/>
      <c r="L539" s="241"/>
      <c r="M539" s="521"/>
      <c r="N539" s="241"/>
      <c r="O539" s="521"/>
      <c r="P539" s="241"/>
      <c r="Q539" s="520"/>
      <c r="R539" s="241"/>
      <c r="S539" s="520"/>
      <c r="T539" s="241"/>
      <c r="U539" s="520"/>
      <c r="V539" s="241"/>
      <c r="W539" s="242"/>
      <c r="X539" s="241"/>
      <c r="Y539" s="242"/>
      <c r="Z539" s="241"/>
      <c r="AA539" s="241"/>
      <c r="AB539" s="275"/>
      <c r="AC539" s="524"/>
      <c r="AD539" s="241"/>
      <c r="AE539" s="241"/>
      <c r="AF539" s="241"/>
      <c r="AG539" s="241"/>
      <c r="AH539" s="241"/>
      <c r="AI539" s="241"/>
      <c r="AJ539" s="529"/>
      <c r="AK539" s="258"/>
      <c r="AL539" s="241"/>
      <c r="AM539" s="242"/>
      <c r="AN539" s="241"/>
      <c r="AO539" s="242"/>
      <c r="AP539" s="241"/>
      <c r="AQ539" s="242"/>
      <c r="AR539" s="241"/>
      <c r="AS539" s="242"/>
      <c r="AT539" s="241"/>
      <c r="AU539" s="241"/>
      <c r="AV539" s="256"/>
      <c r="AW539" s="241"/>
      <c r="AX539" s="256"/>
      <c r="AY539" s="241"/>
      <c r="AZ539" s="256"/>
      <c r="BA539" s="239"/>
      <c r="BB539" s="242"/>
      <c r="BC539" s="239"/>
      <c r="BD539" s="242"/>
      <c r="BE539" s="239"/>
      <c r="BF539" s="241"/>
      <c r="BG539" s="239"/>
      <c r="BH539" s="241"/>
      <c r="BI539" s="260"/>
      <c r="BJ539" s="241"/>
      <c r="BK539" s="260"/>
      <c r="BL539" s="239"/>
      <c r="BM539" s="256"/>
      <c r="BN539" s="241"/>
      <c r="BO539" s="243"/>
      <c r="BP539" s="241"/>
      <c r="BQ539" s="239"/>
      <c r="BR539" s="276"/>
      <c r="BS539" s="256"/>
      <c r="BT539" s="260"/>
      <c r="BU539" s="261"/>
      <c r="BV539" s="260"/>
      <c r="BW539" s="239"/>
      <c r="BX539" s="260"/>
      <c r="BY539" s="260"/>
      <c r="BZ539" s="239"/>
      <c r="CA539" s="260"/>
      <c r="CB539" s="239"/>
      <c r="CC539" s="260"/>
      <c r="CD539" s="539"/>
      <c r="CE539" s="239"/>
      <c r="CF539" s="276"/>
      <c r="CG539" s="256"/>
      <c r="CH539" s="259"/>
      <c r="CI539" s="347"/>
      <c r="CJ539" s="540"/>
      <c r="CK539" s="256"/>
      <c r="CL539" s="244">
        <v>1</v>
      </c>
      <c r="CM539" s="274">
        <f t="shared" si="8"/>
        <v>2015</v>
      </c>
      <c r="CN539" s="244">
        <f>IF('Grille de saisie'!CM539&lt;18,0,IF('Grille de saisie'!CM539&lt;40,1,IF('Grille de saisie'!CM539&lt;65,2,IF('Grille de saisie'!CM539&lt;100,3,4))))</f>
        <v>4</v>
      </c>
      <c r="CO539" s="236">
        <f>IF(AND('Grille de saisie'!C539=1,'Grille de saisie'!BZ539=0),1,IF(AND('Grille de saisie'!C539="",'Grille de saisie'!BZ539=""),3,IF(AND('Grille de saisie'!C539=5),3,2)))</f>
        <v>3</v>
      </c>
      <c r="CP539" s="236">
        <f>IF(AND('Grille de saisie'!C539=1,'Grille de saisie'!BZ539=0),1,IF(AND('Grille de saisie'!C539=1,'Grille de saisie'!BZ539=1),2,IF(AND('Grille de saisie'!C539=2,'Grille de saisie'!BZ539=0),2,IF(AND('Grille de saisie'!C539=3,'Grille de saisie'!BZ539=0),3,IF(AND('Grille de saisie'!C539=2,'Grille de saisie'!BZ539=1),3,IF(AND('Grille de saisie'!C539=1,'Grille de saisie'!BZ539=2),3,IF(AND('Grille de saisie'!C539="",'Grille de saisie'!BZ539=""),5,IF(AND('Grille de saisie'!C539=5),5,4))))))))</f>
        <v>5</v>
      </c>
      <c r="CQ539" s="237">
        <f>IF('Grille de saisie'!BZ539="",3,IF('Grille de saisie'!C539=5,3,IF('Grille de saisie'!BZ539=0,1,2)))</f>
        <v>3</v>
      </c>
    </row>
    <row r="540" spans="1:95" ht="15">
      <c r="A540" s="511">
        <v>538</v>
      </c>
      <c r="B540" s="240"/>
      <c r="C540" s="513"/>
      <c r="D540" s="240"/>
      <c r="E540" s="517"/>
      <c r="F540" s="265"/>
      <c r="G540" s="513"/>
      <c r="H540" s="265"/>
      <c r="I540" s="520"/>
      <c r="J540" s="241"/>
      <c r="K540" s="520"/>
      <c r="L540" s="241"/>
      <c r="M540" s="521"/>
      <c r="N540" s="241"/>
      <c r="O540" s="521"/>
      <c r="P540" s="241"/>
      <c r="Q540" s="520"/>
      <c r="R540" s="241"/>
      <c r="S540" s="520"/>
      <c r="T540" s="241"/>
      <c r="U540" s="520"/>
      <c r="V540" s="241"/>
      <c r="W540" s="242"/>
      <c r="X540" s="241"/>
      <c r="Y540" s="242"/>
      <c r="Z540" s="241"/>
      <c r="AA540" s="241"/>
      <c r="AB540" s="275"/>
      <c r="AC540" s="524"/>
      <c r="AD540" s="241"/>
      <c r="AE540" s="241"/>
      <c r="AF540" s="241"/>
      <c r="AG540" s="241"/>
      <c r="AH540" s="241"/>
      <c r="AI540" s="241"/>
      <c r="AJ540" s="529"/>
      <c r="AK540" s="258"/>
      <c r="AL540" s="241"/>
      <c r="AM540" s="242"/>
      <c r="AN540" s="241"/>
      <c r="AO540" s="242"/>
      <c r="AP540" s="241"/>
      <c r="AQ540" s="242"/>
      <c r="AR540" s="241"/>
      <c r="AS540" s="242"/>
      <c r="AT540" s="241"/>
      <c r="AU540" s="241"/>
      <c r="AV540" s="256"/>
      <c r="AW540" s="241"/>
      <c r="AX540" s="256"/>
      <c r="AY540" s="241"/>
      <c r="AZ540" s="256"/>
      <c r="BA540" s="239"/>
      <c r="BB540" s="242"/>
      <c r="BC540" s="239"/>
      <c r="BD540" s="242"/>
      <c r="BE540" s="239"/>
      <c r="BF540" s="241"/>
      <c r="BG540" s="239"/>
      <c r="BH540" s="241"/>
      <c r="BI540" s="260"/>
      <c r="BJ540" s="241"/>
      <c r="BK540" s="260"/>
      <c r="BL540" s="239"/>
      <c r="BM540" s="256"/>
      <c r="BN540" s="241"/>
      <c r="BO540" s="243"/>
      <c r="BP540" s="241"/>
      <c r="BQ540" s="239"/>
      <c r="BR540" s="276"/>
      <c r="BS540" s="256"/>
      <c r="BT540" s="260"/>
      <c r="BU540" s="261"/>
      <c r="BV540" s="260"/>
      <c r="BW540" s="239"/>
      <c r="BX540" s="260"/>
      <c r="BY540" s="260"/>
      <c r="BZ540" s="239"/>
      <c r="CA540" s="260"/>
      <c r="CB540" s="239"/>
      <c r="CC540" s="260"/>
      <c r="CD540" s="539"/>
      <c r="CE540" s="239"/>
      <c r="CF540" s="276"/>
      <c r="CG540" s="256"/>
      <c r="CH540" s="259"/>
      <c r="CI540" s="347"/>
      <c r="CJ540" s="540"/>
      <c r="CK540" s="256"/>
      <c r="CL540" s="244">
        <v>1</v>
      </c>
      <c r="CM540" s="274">
        <f t="shared" si="8"/>
        <v>2015</v>
      </c>
      <c r="CN540" s="244">
        <f>IF('Grille de saisie'!CM540&lt;18,0,IF('Grille de saisie'!CM540&lt;40,1,IF('Grille de saisie'!CM540&lt;65,2,IF('Grille de saisie'!CM540&lt;100,3,4))))</f>
        <v>4</v>
      </c>
      <c r="CO540" s="236">
        <f>IF(AND('Grille de saisie'!C540=1,'Grille de saisie'!BZ540=0),1,IF(AND('Grille de saisie'!C540="",'Grille de saisie'!BZ540=""),3,IF(AND('Grille de saisie'!C540=5),3,2)))</f>
        <v>3</v>
      </c>
      <c r="CP540" s="236">
        <f>IF(AND('Grille de saisie'!C540=1,'Grille de saisie'!BZ540=0),1,IF(AND('Grille de saisie'!C540=1,'Grille de saisie'!BZ540=1),2,IF(AND('Grille de saisie'!C540=2,'Grille de saisie'!BZ540=0),2,IF(AND('Grille de saisie'!C540=3,'Grille de saisie'!BZ540=0),3,IF(AND('Grille de saisie'!C540=2,'Grille de saisie'!BZ540=1),3,IF(AND('Grille de saisie'!C540=1,'Grille de saisie'!BZ540=2),3,IF(AND('Grille de saisie'!C540="",'Grille de saisie'!BZ540=""),5,IF(AND('Grille de saisie'!C540=5),5,4))))))))</f>
        <v>5</v>
      </c>
      <c r="CQ540" s="237">
        <f>IF('Grille de saisie'!BZ540="",3,IF('Grille de saisie'!C540=5,3,IF('Grille de saisie'!BZ540=0,1,2)))</f>
        <v>3</v>
      </c>
    </row>
    <row r="541" spans="1:95" ht="15">
      <c r="A541" s="510">
        <v>539</v>
      </c>
      <c r="B541" s="240"/>
      <c r="C541" s="513"/>
      <c r="D541" s="240"/>
      <c r="E541" s="517"/>
      <c r="F541" s="265"/>
      <c r="G541" s="513"/>
      <c r="H541" s="265"/>
      <c r="I541" s="520"/>
      <c r="J541" s="241"/>
      <c r="K541" s="520"/>
      <c r="L541" s="241"/>
      <c r="M541" s="521"/>
      <c r="N541" s="241"/>
      <c r="O541" s="521"/>
      <c r="P541" s="241"/>
      <c r="Q541" s="520"/>
      <c r="R541" s="241"/>
      <c r="S541" s="520"/>
      <c r="T541" s="241"/>
      <c r="U541" s="520"/>
      <c r="V541" s="241"/>
      <c r="W541" s="242"/>
      <c r="X541" s="241"/>
      <c r="Y541" s="242"/>
      <c r="Z541" s="241"/>
      <c r="AA541" s="241"/>
      <c r="AB541" s="275"/>
      <c r="AC541" s="524"/>
      <c r="AD541" s="241"/>
      <c r="AE541" s="241"/>
      <c r="AF541" s="241"/>
      <c r="AG541" s="241"/>
      <c r="AH541" s="241"/>
      <c r="AI541" s="241"/>
      <c r="AJ541" s="529"/>
      <c r="AK541" s="258"/>
      <c r="AL541" s="241"/>
      <c r="AM541" s="242"/>
      <c r="AN541" s="241"/>
      <c r="AO541" s="242"/>
      <c r="AP541" s="241"/>
      <c r="AQ541" s="242"/>
      <c r="AR541" s="241"/>
      <c r="AS541" s="242"/>
      <c r="AT541" s="241"/>
      <c r="AU541" s="241"/>
      <c r="AV541" s="256"/>
      <c r="AW541" s="241"/>
      <c r="AX541" s="256"/>
      <c r="AY541" s="241"/>
      <c r="AZ541" s="256"/>
      <c r="BA541" s="239"/>
      <c r="BB541" s="242"/>
      <c r="BC541" s="239"/>
      <c r="BD541" s="242"/>
      <c r="BE541" s="239"/>
      <c r="BF541" s="241"/>
      <c r="BG541" s="239"/>
      <c r="BH541" s="241"/>
      <c r="BI541" s="260"/>
      <c r="BJ541" s="241"/>
      <c r="BK541" s="260"/>
      <c r="BL541" s="239"/>
      <c r="BM541" s="256"/>
      <c r="BN541" s="241"/>
      <c r="BO541" s="243"/>
      <c r="BP541" s="241"/>
      <c r="BQ541" s="239"/>
      <c r="BR541" s="276"/>
      <c r="BS541" s="256"/>
      <c r="BT541" s="260"/>
      <c r="BU541" s="261"/>
      <c r="BV541" s="260"/>
      <c r="BW541" s="239"/>
      <c r="BX541" s="260"/>
      <c r="BY541" s="260"/>
      <c r="BZ541" s="239"/>
      <c r="CA541" s="260"/>
      <c r="CB541" s="239"/>
      <c r="CC541" s="260"/>
      <c r="CD541" s="539"/>
      <c r="CE541" s="239"/>
      <c r="CF541" s="276"/>
      <c r="CG541" s="256"/>
      <c r="CH541" s="259"/>
      <c r="CI541" s="347"/>
      <c r="CJ541" s="540"/>
      <c r="CK541" s="256"/>
      <c r="CL541" s="244">
        <v>1</v>
      </c>
      <c r="CM541" s="274">
        <f t="shared" si="8"/>
        <v>2015</v>
      </c>
      <c r="CN541" s="244">
        <f>IF('Grille de saisie'!CM541&lt;18,0,IF('Grille de saisie'!CM541&lt;40,1,IF('Grille de saisie'!CM541&lt;65,2,IF('Grille de saisie'!CM541&lt;100,3,4))))</f>
        <v>4</v>
      </c>
      <c r="CO541" s="236">
        <f>IF(AND('Grille de saisie'!C541=1,'Grille de saisie'!BZ541=0),1,IF(AND('Grille de saisie'!C541="",'Grille de saisie'!BZ541=""),3,IF(AND('Grille de saisie'!C541=5),3,2)))</f>
        <v>3</v>
      </c>
      <c r="CP541" s="236">
        <f>IF(AND('Grille de saisie'!C541=1,'Grille de saisie'!BZ541=0),1,IF(AND('Grille de saisie'!C541=1,'Grille de saisie'!BZ541=1),2,IF(AND('Grille de saisie'!C541=2,'Grille de saisie'!BZ541=0),2,IF(AND('Grille de saisie'!C541=3,'Grille de saisie'!BZ541=0),3,IF(AND('Grille de saisie'!C541=2,'Grille de saisie'!BZ541=1),3,IF(AND('Grille de saisie'!C541=1,'Grille de saisie'!BZ541=2),3,IF(AND('Grille de saisie'!C541="",'Grille de saisie'!BZ541=""),5,IF(AND('Grille de saisie'!C541=5),5,4))))))))</f>
        <v>5</v>
      </c>
      <c r="CQ541" s="237">
        <f>IF('Grille de saisie'!BZ541="",3,IF('Grille de saisie'!C541=5,3,IF('Grille de saisie'!BZ541=0,1,2)))</f>
        <v>3</v>
      </c>
    </row>
    <row r="542" spans="1:95" ht="15">
      <c r="A542" s="510">
        <v>540</v>
      </c>
      <c r="B542" s="240"/>
      <c r="C542" s="513"/>
      <c r="D542" s="240"/>
      <c r="E542" s="517"/>
      <c r="F542" s="265"/>
      <c r="G542" s="513"/>
      <c r="H542" s="265"/>
      <c r="I542" s="520"/>
      <c r="J542" s="241"/>
      <c r="K542" s="520"/>
      <c r="L542" s="241"/>
      <c r="M542" s="521"/>
      <c r="N542" s="241"/>
      <c r="O542" s="521"/>
      <c r="P542" s="241"/>
      <c r="Q542" s="520"/>
      <c r="R542" s="241"/>
      <c r="S542" s="520"/>
      <c r="T542" s="241"/>
      <c r="U542" s="520"/>
      <c r="V542" s="241"/>
      <c r="W542" s="242"/>
      <c r="X542" s="241"/>
      <c r="Y542" s="242"/>
      <c r="Z542" s="241"/>
      <c r="AA542" s="241"/>
      <c r="AB542" s="275"/>
      <c r="AC542" s="524"/>
      <c r="AD542" s="241"/>
      <c r="AE542" s="241"/>
      <c r="AF542" s="241"/>
      <c r="AG542" s="241"/>
      <c r="AH542" s="241"/>
      <c r="AI542" s="241"/>
      <c r="AJ542" s="529"/>
      <c r="AK542" s="258"/>
      <c r="AL542" s="241"/>
      <c r="AM542" s="242"/>
      <c r="AN542" s="241"/>
      <c r="AO542" s="242"/>
      <c r="AP542" s="241"/>
      <c r="AQ542" s="242"/>
      <c r="AR542" s="241"/>
      <c r="AS542" s="242"/>
      <c r="AT542" s="241"/>
      <c r="AU542" s="241"/>
      <c r="AV542" s="256"/>
      <c r="AW542" s="241"/>
      <c r="AX542" s="256"/>
      <c r="AY542" s="241"/>
      <c r="AZ542" s="256"/>
      <c r="BA542" s="239"/>
      <c r="BB542" s="242"/>
      <c r="BC542" s="239"/>
      <c r="BD542" s="242"/>
      <c r="BE542" s="239"/>
      <c r="BF542" s="241"/>
      <c r="BG542" s="239"/>
      <c r="BH542" s="241"/>
      <c r="BI542" s="260"/>
      <c r="BJ542" s="241"/>
      <c r="BK542" s="260"/>
      <c r="BL542" s="239"/>
      <c r="BM542" s="256"/>
      <c r="BN542" s="241"/>
      <c r="BO542" s="243"/>
      <c r="BP542" s="241"/>
      <c r="BQ542" s="239"/>
      <c r="BR542" s="276"/>
      <c r="BS542" s="256"/>
      <c r="BT542" s="260"/>
      <c r="BU542" s="261"/>
      <c r="BV542" s="260"/>
      <c r="BW542" s="239"/>
      <c r="BX542" s="260"/>
      <c r="BY542" s="260"/>
      <c r="BZ542" s="239"/>
      <c r="CA542" s="260"/>
      <c r="CB542" s="239"/>
      <c r="CC542" s="260"/>
      <c r="CD542" s="539"/>
      <c r="CE542" s="239"/>
      <c r="CF542" s="276"/>
      <c r="CG542" s="256"/>
      <c r="CH542" s="259"/>
      <c r="CI542" s="347"/>
      <c r="CJ542" s="540"/>
      <c r="CK542" s="256"/>
      <c r="CL542" s="244">
        <v>1</v>
      </c>
      <c r="CM542" s="274">
        <f t="shared" si="8"/>
        <v>2015</v>
      </c>
      <c r="CN542" s="244">
        <f>IF('Grille de saisie'!CM542&lt;18,0,IF('Grille de saisie'!CM542&lt;40,1,IF('Grille de saisie'!CM542&lt;65,2,IF('Grille de saisie'!CM542&lt;100,3,4))))</f>
        <v>4</v>
      </c>
      <c r="CO542" s="236">
        <f>IF(AND('Grille de saisie'!C542=1,'Grille de saisie'!BZ542=0),1,IF(AND('Grille de saisie'!C542="",'Grille de saisie'!BZ542=""),3,IF(AND('Grille de saisie'!C542=5),3,2)))</f>
        <v>3</v>
      </c>
      <c r="CP542" s="236">
        <f>IF(AND('Grille de saisie'!C542=1,'Grille de saisie'!BZ542=0),1,IF(AND('Grille de saisie'!C542=1,'Grille de saisie'!BZ542=1),2,IF(AND('Grille de saisie'!C542=2,'Grille de saisie'!BZ542=0),2,IF(AND('Grille de saisie'!C542=3,'Grille de saisie'!BZ542=0),3,IF(AND('Grille de saisie'!C542=2,'Grille de saisie'!BZ542=1),3,IF(AND('Grille de saisie'!C542=1,'Grille de saisie'!BZ542=2),3,IF(AND('Grille de saisie'!C542="",'Grille de saisie'!BZ542=""),5,IF(AND('Grille de saisie'!C542=5),5,4))))))))</f>
        <v>5</v>
      </c>
      <c r="CQ542" s="237">
        <f>IF('Grille de saisie'!BZ542="",3,IF('Grille de saisie'!C542=5,3,IF('Grille de saisie'!BZ542=0,1,2)))</f>
        <v>3</v>
      </c>
    </row>
    <row r="543" spans="1:95" ht="15">
      <c r="A543" s="511">
        <v>541</v>
      </c>
      <c r="B543" s="240"/>
      <c r="C543" s="513"/>
      <c r="D543" s="240"/>
      <c r="E543" s="517"/>
      <c r="F543" s="265"/>
      <c r="G543" s="513"/>
      <c r="H543" s="265"/>
      <c r="I543" s="520"/>
      <c r="J543" s="241"/>
      <c r="K543" s="520"/>
      <c r="L543" s="241"/>
      <c r="M543" s="521"/>
      <c r="N543" s="241"/>
      <c r="O543" s="521"/>
      <c r="P543" s="241"/>
      <c r="Q543" s="520"/>
      <c r="R543" s="241"/>
      <c r="S543" s="520"/>
      <c r="T543" s="241"/>
      <c r="U543" s="520"/>
      <c r="V543" s="241"/>
      <c r="W543" s="242"/>
      <c r="X543" s="241"/>
      <c r="Y543" s="242"/>
      <c r="Z543" s="241"/>
      <c r="AA543" s="241"/>
      <c r="AB543" s="275"/>
      <c r="AC543" s="524"/>
      <c r="AD543" s="241"/>
      <c r="AE543" s="241"/>
      <c r="AF543" s="241"/>
      <c r="AG543" s="241"/>
      <c r="AH543" s="241"/>
      <c r="AI543" s="241"/>
      <c r="AJ543" s="529"/>
      <c r="AK543" s="258"/>
      <c r="AL543" s="241"/>
      <c r="AM543" s="242"/>
      <c r="AN543" s="241"/>
      <c r="AO543" s="242"/>
      <c r="AP543" s="241"/>
      <c r="AQ543" s="242"/>
      <c r="AR543" s="241"/>
      <c r="AS543" s="242"/>
      <c r="AT543" s="241"/>
      <c r="AU543" s="241"/>
      <c r="AV543" s="256"/>
      <c r="AW543" s="241"/>
      <c r="AX543" s="256"/>
      <c r="AY543" s="241"/>
      <c r="AZ543" s="256"/>
      <c r="BA543" s="239"/>
      <c r="BB543" s="242"/>
      <c r="BC543" s="239"/>
      <c r="BD543" s="242"/>
      <c r="BE543" s="239"/>
      <c r="BF543" s="241"/>
      <c r="BG543" s="239"/>
      <c r="BH543" s="241"/>
      <c r="BI543" s="260"/>
      <c r="BJ543" s="241"/>
      <c r="BK543" s="260"/>
      <c r="BL543" s="239"/>
      <c r="BM543" s="256"/>
      <c r="BN543" s="241"/>
      <c r="BO543" s="243"/>
      <c r="BP543" s="241"/>
      <c r="BQ543" s="239"/>
      <c r="BR543" s="276"/>
      <c r="BS543" s="256"/>
      <c r="BT543" s="260"/>
      <c r="BU543" s="261"/>
      <c r="BV543" s="260"/>
      <c r="BW543" s="239"/>
      <c r="BX543" s="260"/>
      <c r="BY543" s="260"/>
      <c r="BZ543" s="239"/>
      <c r="CA543" s="260"/>
      <c r="CB543" s="239"/>
      <c r="CC543" s="260"/>
      <c r="CD543" s="539"/>
      <c r="CE543" s="239"/>
      <c r="CF543" s="276"/>
      <c r="CG543" s="256"/>
      <c r="CH543" s="259"/>
      <c r="CI543" s="347"/>
      <c r="CJ543" s="540"/>
      <c r="CK543" s="256"/>
      <c r="CL543" s="244">
        <v>1</v>
      </c>
      <c r="CM543" s="274">
        <f t="shared" si="8"/>
        <v>2015</v>
      </c>
      <c r="CN543" s="244">
        <f>IF('Grille de saisie'!CM543&lt;18,0,IF('Grille de saisie'!CM543&lt;40,1,IF('Grille de saisie'!CM543&lt;65,2,IF('Grille de saisie'!CM543&lt;100,3,4))))</f>
        <v>4</v>
      </c>
      <c r="CO543" s="236">
        <f>IF(AND('Grille de saisie'!C543=1,'Grille de saisie'!BZ543=0),1,IF(AND('Grille de saisie'!C543="",'Grille de saisie'!BZ543=""),3,IF(AND('Grille de saisie'!C543=5),3,2)))</f>
        <v>3</v>
      </c>
      <c r="CP543" s="236">
        <f>IF(AND('Grille de saisie'!C543=1,'Grille de saisie'!BZ543=0),1,IF(AND('Grille de saisie'!C543=1,'Grille de saisie'!BZ543=1),2,IF(AND('Grille de saisie'!C543=2,'Grille de saisie'!BZ543=0),2,IF(AND('Grille de saisie'!C543=3,'Grille de saisie'!BZ543=0),3,IF(AND('Grille de saisie'!C543=2,'Grille de saisie'!BZ543=1),3,IF(AND('Grille de saisie'!C543=1,'Grille de saisie'!BZ543=2),3,IF(AND('Grille de saisie'!C543="",'Grille de saisie'!BZ543=""),5,IF(AND('Grille de saisie'!C543=5),5,4))))))))</f>
        <v>5</v>
      </c>
      <c r="CQ543" s="237">
        <f>IF('Grille de saisie'!BZ543="",3,IF('Grille de saisie'!C543=5,3,IF('Grille de saisie'!BZ543=0,1,2)))</f>
        <v>3</v>
      </c>
    </row>
    <row r="544" spans="1:95" ht="15">
      <c r="A544" s="510">
        <v>542</v>
      </c>
      <c r="B544" s="240"/>
      <c r="C544" s="513"/>
      <c r="D544" s="240"/>
      <c r="E544" s="517"/>
      <c r="F544" s="265"/>
      <c r="G544" s="513"/>
      <c r="H544" s="265"/>
      <c r="I544" s="520"/>
      <c r="J544" s="241"/>
      <c r="K544" s="520"/>
      <c r="L544" s="241"/>
      <c r="M544" s="521"/>
      <c r="N544" s="241"/>
      <c r="O544" s="521"/>
      <c r="P544" s="241"/>
      <c r="Q544" s="520"/>
      <c r="R544" s="241"/>
      <c r="S544" s="520"/>
      <c r="T544" s="241"/>
      <c r="U544" s="520"/>
      <c r="V544" s="241"/>
      <c r="W544" s="242"/>
      <c r="X544" s="241"/>
      <c r="Y544" s="242"/>
      <c r="Z544" s="241"/>
      <c r="AA544" s="241"/>
      <c r="AB544" s="275"/>
      <c r="AC544" s="524"/>
      <c r="AD544" s="241"/>
      <c r="AE544" s="241"/>
      <c r="AF544" s="241"/>
      <c r="AG544" s="241"/>
      <c r="AH544" s="241"/>
      <c r="AI544" s="241"/>
      <c r="AJ544" s="529"/>
      <c r="AK544" s="258"/>
      <c r="AL544" s="241"/>
      <c r="AM544" s="242"/>
      <c r="AN544" s="241"/>
      <c r="AO544" s="242"/>
      <c r="AP544" s="241"/>
      <c r="AQ544" s="242"/>
      <c r="AR544" s="241"/>
      <c r="AS544" s="242"/>
      <c r="AT544" s="241"/>
      <c r="AU544" s="241"/>
      <c r="AV544" s="256"/>
      <c r="AW544" s="241"/>
      <c r="AX544" s="256"/>
      <c r="AY544" s="241"/>
      <c r="AZ544" s="256"/>
      <c r="BA544" s="239"/>
      <c r="BB544" s="242"/>
      <c r="BC544" s="239"/>
      <c r="BD544" s="242"/>
      <c r="BE544" s="239"/>
      <c r="BF544" s="241"/>
      <c r="BG544" s="239"/>
      <c r="BH544" s="241"/>
      <c r="BI544" s="260"/>
      <c r="BJ544" s="241"/>
      <c r="BK544" s="260"/>
      <c r="BL544" s="239"/>
      <c r="BM544" s="256"/>
      <c r="BN544" s="241"/>
      <c r="BO544" s="243"/>
      <c r="BP544" s="241"/>
      <c r="BQ544" s="239"/>
      <c r="BR544" s="276"/>
      <c r="BS544" s="256"/>
      <c r="BT544" s="260"/>
      <c r="BU544" s="261"/>
      <c r="BV544" s="260"/>
      <c r="BW544" s="239"/>
      <c r="BX544" s="260"/>
      <c r="BY544" s="260"/>
      <c r="BZ544" s="239"/>
      <c r="CA544" s="260"/>
      <c r="CB544" s="239"/>
      <c r="CC544" s="260"/>
      <c r="CD544" s="539"/>
      <c r="CE544" s="239"/>
      <c r="CF544" s="276"/>
      <c r="CG544" s="256"/>
      <c r="CH544" s="259"/>
      <c r="CI544" s="347"/>
      <c r="CJ544" s="540"/>
      <c r="CK544" s="256"/>
      <c r="CL544" s="244">
        <v>1</v>
      </c>
      <c r="CM544" s="274">
        <f t="shared" si="8"/>
        <v>2015</v>
      </c>
      <c r="CN544" s="244">
        <f>IF('Grille de saisie'!CM544&lt;18,0,IF('Grille de saisie'!CM544&lt;40,1,IF('Grille de saisie'!CM544&lt;65,2,IF('Grille de saisie'!CM544&lt;100,3,4))))</f>
        <v>4</v>
      </c>
      <c r="CO544" s="236">
        <f>IF(AND('Grille de saisie'!C544=1,'Grille de saisie'!BZ544=0),1,IF(AND('Grille de saisie'!C544="",'Grille de saisie'!BZ544=""),3,IF(AND('Grille de saisie'!C544=5),3,2)))</f>
        <v>3</v>
      </c>
      <c r="CP544" s="236">
        <f>IF(AND('Grille de saisie'!C544=1,'Grille de saisie'!BZ544=0),1,IF(AND('Grille de saisie'!C544=1,'Grille de saisie'!BZ544=1),2,IF(AND('Grille de saisie'!C544=2,'Grille de saisie'!BZ544=0),2,IF(AND('Grille de saisie'!C544=3,'Grille de saisie'!BZ544=0),3,IF(AND('Grille de saisie'!C544=2,'Grille de saisie'!BZ544=1),3,IF(AND('Grille de saisie'!C544=1,'Grille de saisie'!BZ544=2),3,IF(AND('Grille de saisie'!C544="",'Grille de saisie'!BZ544=""),5,IF(AND('Grille de saisie'!C544=5),5,4))))))))</f>
        <v>5</v>
      </c>
      <c r="CQ544" s="237">
        <f>IF('Grille de saisie'!BZ544="",3,IF('Grille de saisie'!C544=5,3,IF('Grille de saisie'!BZ544=0,1,2)))</f>
        <v>3</v>
      </c>
    </row>
    <row r="545" spans="1:95" ht="15">
      <c r="A545" s="510">
        <v>543</v>
      </c>
      <c r="B545" s="240"/>
      <c r="C545" s="513"/>
      <c r="D545" s="240"/>
      <c r="E545" s="517"/>
      <c r="F545" s="265"/>
      <c r="G545" s="513"/>
      <c r="H545" s="265"/>
      <c r="I545" s="520"/>
      <c r="J545" s="241"/>
      <c r="K545" s="520"/>
      <c r="L545" s="241"/>
      <c r="M545" s="521"/>
      <c r="N545" s="241"/>
      <c r="O545" s="521"/>
      <c r="P545" s="241"/>
      <c r="Q545" s="520"/>
      <c r="R545" s="241"/>
      <c r="S545" s="520"/>
      <c r="T545" s="241"/>
      <c r="U545" s="520"/>
      <c r="V545" s="241"/>
      <c r="W545" s="242"/>
      <c r="X545" s="241"/>
      <c r="Y545" s="242"/>
      <c r="Z545" s="241"/>
      <c r="AA545" s="241"/>
      <c r="AB545" s="275"/>
      <c r="AC545" s="524"/>
      <c r="AD545" s="241"/>
      <c r="AE545" s="241"/>
      <c r="AF545" s="241"/>
      <c r="AG545" s="241"/>
      <c r="AH545" s="241"/>
      <c r="AI545" s="241"/>
      <c r="AJ545" s="529"/>
      <c r="AK545" s="258"/>
      <c r="AL545" s="241"/>
      <c r="AM545" s="242"/>
      <c r="AN545" s="241"/>
      <c r="AO545" s="242"/>
      <c r="AP545" s="241"/>
      <c r="AQ545" s="242"/>
      <c r="AR545" s="241"/>
      <c r="AS545" s="242"/>
      <c r="AT545" s="241"/>
      <c r="AU545" s="241"/>
      <c r="AV545" s="256"/>
      <c r="AW545" s="241"/>
      <c r="AX545" s="256"/>
      <c r="AY545" s="241"/>
      <c r="AZ545" s="256"/>
      <c r="BA545" s="239"/>
      <c r="BB545" s="242"/>
      <c r="BC545" s="239"/>
      <c r="BD545" s="242"/>
      <c r="BE545" s="239"/>
      <c r="BF545" s="241"/>
      <c r="BG545" s="239"/>
      <c r="BH545" s="241"/>
      <c r="BI545" s="260"/>
      <c r="BJ545" s="241"/>
      <c r="BK545" s="260"/>
      <c r="BL545" s="239"/>
      <c r="BM545" s="256"/>
      <c r="BN545" s="241"/>
      <c r="BO545" s="243"/>
      <c r="BP545" s="241"/>
      <c r="BQ545" s="239"/>
      <c r="BR545" s="276"/>
      <c r="BS545" s="256"/>
      <c r="BT545" s="260"/>
      <c r="BU545" s="261"/>
      <c r="BV545" s="260"/>
      <c r="BW545" s="239"/>
      <c r="BX545" s="260"/>
      <c r="BY545" s="260"/>
      <c r="BZ545" s="239"/>
      <c r="CA545" s="260"/>
      <c r="CB545" s="239"/>
      <c r="CC545" s="260"/>
      <c r="CD545" s="539"/>
      <c r="CE545" s="239"/>
      <c r="CF545" s="276"/>
      <c r="CG545" s="256"/>
      <c r="CH545" s="259"/>
      <c r="CI545" s="347"/>
      <c r="CJ545" s="540"/>
      <c r="CK545" s="256"/>
      <c r="CL545" s="244">
        <v>1</v>
      </c>
      <c r="CM545" s="274">
        <f t="shared" si="8"/>
        <v>2015</v>
      </c>
      <c r="CN545" s="244">
        <f>IF('Grille de saisie'!CM545&lt;18,0,IF('Grille de saisie'!CM545&lt;40,1,IF('Grille de saisie'!CM545&lt;65,2,IF('Grille de saisie'!CM545&lt;100,3,4))))</f>
        <v>4</v>
      </c>
      <c r="CO545" s="236">
        <f>IF(AND('Grille de saisie'!C545=1,'Grille de saisie'!BZ545=0),1,IF(AND('Grille de saisie'!C545="",'Grille de saisie'!BZ545=""),3,IF(AND('Grille de saisie'!C545=5),3,2)))</f>
        <v>3</v>
      </c>
      <c r="CP545" s="236">
        <f>IF(AND('Grille de saisie'!C545=1,'Grille de saisie'!BZ545=0),1,IF(AND('Grille de saisie'!C545=1,'Grille de saisie'!BZ545=1),2,IF(AND('Grille de saisie'!C545=2,'Grille de saisie'!BZ545=0),2,IF(AND('Grille de saisie'!C545=3,'Grille de saisie'!BZ545=0),3,IF(AND('Grille de saisie'!C545=2,'Grille de saisie'!BZ545=1),3,IF(AND('Grille de saisie'!C545=1,'Grille de saisie'!BZ545=2),3,IF(AND('Grille de saisie'!C545="",'Grille de saisie'!BZ545=""),5,IF(AND('Grille de saisie'!C545=5),5,4))))))))</f>
        <v>5</v>
      </c>
      <c r="CQ545" s="237">
        <f>IF('Grille de saisie'!BZ545="",3,IF('Grille de saisie'!C545=5,3,IF('Grille de saisie'!BZ545=0,1,2)))</f>
        <v>3</v>
      </c>
    </row>
    <row r="546" spans="1:95" ht="15">
      <c r="A546" s="511">
        <v>544</v>
      </c>
      <c r="B546" s="240"/>
      <c r="C546" s="513"/>
      <c r="D546" s="240"/>
      <c r="E546" s="517"/>
      <c r="F546" s="265"/>
      <c r="G546" s="513"/>
      <c r="H546" s="265"/>
      <c r="I546" s="520"/>
      <c r="J546" s="241"/>
      <c r="K546" s="520"/>
      <c r="L546" s="241"/>
      <c r="M546" s="521"/>
      <c r="N546" s="241"/>
      <c r="O546" s="521"/>
      <c r="P546" s="241"/>
      <c r="Q546" s="520"/>
      <c r="R546" s="241"/>
      <c r="S546" s="520"/>
      <c r="T546" s="241"/>
      <c r="U546" s="520"/>
      <c r="V546" s="241"/>
      <c r="W546" s="242"/>
      <c r="X546" s="241"/>
      <c r="Y546" s="242"/>
      <c r="Z546" s="241"/>
      <c r="AA546" s="241"/>
      <c r="AB546" s="275"/>
      <c r="AC546" s="524"/>
      <c r="AD546" s="241"/>
      <c r="AE546" s="241"/>
      <c r="AF546" s="241"/>
      <c r="AG546" s="241"/>
      <c r="AH546" s="241"/>
      <c r="AI546" s="241"/>
      <c r="AJ546" s="529"/>
      <c r="AK546" s="258"/>
      <c r="AL546" s="241"/>
      <c r="AM546" s="242"/>
      <c r="AN546" s="241"/>
      <c r="AO546" s="242"/>
      <c r="AP546" s="241"/>
      <c r="AQ546" s="242"/>
      <c r="AR546" s="241"/>
      <c r="AS546" s="242"/>
      <c r="AT546" s="241"/>
      <c r="AU546" s="241"/>
      <c r="AV546" s="256"/>
      <c r="AW546" s="241"/>
      <c r="AX546" s="256"/>
      <c r="AY546" s="241"/>
      <c r="AZ546" s="256"/>
      <c r="BA546" s="239"/>
      <c r="BB546" s="242"/>
      <c r="BC546" s="239"/>
      <c r="BD546" s="242"/>
      <c r="BE546" s="239"/>
      <c r="BF546" s="241"/>
      <c r="BG546" s="239"/>
      <c r="BH546" s="241"/>
      <c r="BI546" s="260"/>
      <c r="BJ546" s="241"/>
      <c r="BK546" s="260"/>
      <c r="BL546" s="239"/>
      <c r="BM546" s="256"/>
      <c r="BN546" s="241"/>
      <c r="BO546" s="243"/>
      <c r="BP546" s="241"/>
      <c r="BQ546" s="239"/>
      <c r="BR546" s="276"/>
      <c r="BS546" s="256"/>
      <c r="BT546" s="260"/>
      <c r="BU546" s="261"/>
      <c r="BV546" s="260"/>
      <c r="BW546" s="239"/>
      <c r="BX546" s="260"/>
      <c r="BY546" s="260"/>
      <c r="BZ546" s="239"/>
      <c r="CA546" s="260"/>
      <c r="CB546" s="239"/>
      <c r="CC546" s="260"/>
      <c r="CD546" s="539"/>
      <c r="CE546" s="239"/>
      <c r="CF546" s="276"/>
      <c r="CG546" s="256"/>
      <c r="CH546" s="259"/>
      <c r="CI546" s="347"/>
      <c r="CJ546" s="540"/>
      <c r="CK546" s="256"/>
      <c r="CL546" s="244">
        <v>1</v>
      </c>
      <c r="CM546" s="274">
        <f t="shared" si="8"/>
        <v>2015</v>
      </c>
      <c r="CN546" s="244">
        <f>IF('Grille de saisie'!CM546&lt;18,0,IF('Grille de saisie'!CM546&lt;40,1,IF('Grille de saisie'!CM546&lt;65,2,IF('Grille de saisie'!CM546&lt;100,3,4))))</f>
        <v>4</v>
      </c>
      <c r="CO546" s="236">
        <f>IF(AND('Grille de saisie'!C546=1,'Grille de saisie'!BZ546=0),1,IF(AND('Grille de saisie'!C546="",'Grille de saisie'!BZ546=""),3,IF(AND('Grille de saisie'!C546=5),3,2)))</f>
        <v>3</v>
      </c>
      <c r="CP546" s="236">
        <f>IF(AND('Grille de saisie'!C546=1,'Grille de saisie'!BZ546=0),1,IF(AND('Grille de saisie'!C546=1,'Grille de saisie'!BZ546=1),2,IF(AND('Grille de saisie'!C546=2,'Grille de saisie'!BZ546=0),2,IF(AND('Grille de saisie'!C546=3,'Grille de saisie'!BZ546=0),3,IF(AND('Grille de saisie'!C546=2,'Grille de saisie'!BZ546=1),3,IF(AND('Grille de saisie'!C546=1,'Grille de saisie'!BZ546=2),3,IF(AND('Grille de saisie'!C546="",'Grille de saisie'!BZ546=""),5,IF(AND('Grille de saisie'!C546=5),5,4))))))))</f>
        <v>5</v>
      </c>
      <c r="CQ546" s="237">
        <f>IF('Grille de saisie'!BZ546="",3,IF('Grille de saisie'!C546=5,3,IF('Grille de saisie'!BZ546=0,1,2)))</f>
        <v>3</v>
      </c>
    </row>
    <row r="547" spans="1:95" ht="15">
      <c r="A547" s="510">
        <v>545</v>
      </c>
      <c r="B547" s="240"/>
      <c r="C547" s="513"/>
      <c r="D547" s="240"/>
      <c r="E547" s="517"/>
      <c r="F547" s="265"/>
      <c r="G547" s="513"/>
      <c r="H547" s="265"/>
      <c r="I547" s="520"/>
      <c r="J547" s="241"/>
      <c r="K547" s="520"/>
      <c r="L547" s="241"/>
      <c r="M547" s="521"/>
      <c r="N547" s="241"/>
      <c r="O547" s="521"/>
      <c r="P547" s="241"/>
      <c r="Q547" s="520"/>
      <c r="R547" s="241"/>
      <c r="S547" s="520"/>
      <c r="T547" s="241"/>
      <c r="U547" s="520"/>
      <c r="V547" s="241"/>
      <c r="W547" s="242"/>
      <c r="X547" s="241"/>
      <c r="Y547" s="242"/>
      <c r="Z547" s="241"/>
      <c r="AA547" s="241"/>
      <c r="AB547" s="275"/>
      <c r="AC547" s="524"/>
      <c r="AD547" s="241"/>
      <c r="AE547" s="241"/>
      <c r="AF547" s="241"/>
      <c r="AG547" s="241"/>
      <c r="AH547" s="241"/>
      <c r="AI547" s="241"/>
      <c r="AJ547" s="529"/>
      <c r="AK547" s="258"/>
      <c r="AL547" s="241"/>
      <c r="AM547" s="242"/>
      <c r="AN547" s="241"/>
      <c r="AO547" s="242"/>
      <c r="AP547" s="241"/>
      <c r="AQ547" s="242"/>
      <c r="AR547" s="241"/>
      <c r="AS547" s="242"/>
      <c r="AT547" s="241"/>
      <c r="AU547" s="241"/>
      <c r="AV547" s="256"/>
      <c r="AW547" s="241"/>
      <c r="AX547" s="256"/>
      <c r="AY547" s="241"/>
      <c r="AZ547" s="256"/>
      <c r="BA547" s="239"/>
      <c r="BB547" s="242"/>
      <c r="BC547" s="239"/>
      <c r="BD547" s="242"/>
      <c r="BE547" s="239"/>
      <c r="BF547" s="241"/>
      <c r="BG547" s="239"/>
      <c r="BH547" s="241"/>
      <c r="BI547" s="260"/>
      <c r="BJ547" s="241"/>
      <c r="BK547" s="260"/>
      <c r="BL547" s="239"/>
      <c r="BM547" s="256"/>
      <c r="BN547" s="241"/>
      <c r="BO547" s="243"/>
      <c r="BP547" s="241"/>
      <c r="BQ547" s="239"/>
      <c r="BR547" s="276"/>
      <c r="BS547" s="256"/>
      <c r="BT547" s="260"/>
      <c r="BU547" s="261"/>
      <c r="BV547" s="260"/>
      <c r="BW547" s="239"/>
      <c r="BX547" s="260"/>
      <c r="BY547" s="260"/>
      <c r="BZ547" s="239"/>
      <c r="CA547" s="260"/>
      <c r="CB547" s="239"/>
      <c r="CC547" s="260"/>
      <c r="CD547" s="539"/>
      <c r="CE547" s="239"/>
      <c r="CF547" s="276"/>
      <c r="CG547" s="256"/>
      <c r="CH547" s="259"/>
      <c r="CI547" s="347"/>
      <c r="CJ547" s="540"/>
      <c r="CK547" s="256"/>
      <c r="CL547" s="244">
        <v>1</v>
      </c>
      <c r="CM547" s="274">
        <f t="shared" si="8"/>
        <v>2015</v>
      </c>
      <c r="CN547" s="244">
        <f>IF('Grille de saisie'!CM547&lt;18,0,IF('Grille de saisie'!CM547&lt;40,1,IF('Grille de saisie'!CM547&lt;65,2,IF('Grille de saisie'!CM547&lt;100,3,4))))</f>
        <v>4</v>
      </c>
      <c r="CO547" s="236">
        <f>IF(AND('Grille de saisie'!C547=1,'Grille de saisie'!BZ547=0),1,IF(AND('Grille de saisie'!C547="",'Grille de saisie'!BZ547=""),3,IF(AND('Grille de saisie'!C547=5),3,2)))</f>
        <v>3</v>
      </c>
      <c r="CP547" s="236">
        <f>IF(AND('Grille de saisie'!C547=1,'Grille de saisie'!BZ547=0),1,IF(AND('Grille de saisie'!C547=1,'Grille de saisie'!BZ547=1),2,IF(AND('Grille de saisie'!C547=2,'Grille de saisie'!BZ547=0),2,IF(AND('Grille de saisie'!C547=3,'Grille de saisie'!BZ547=0),3,IF(AND('Grille de saisie'!C547=2,'Grille de saisie'!BZ547=1),3,IF(AND('Grille de saisie'!C547=1,'Grille de saisie'!BZ547=2),3,IF(AND('Grille de saisie'!C547="",'Grille de saisie'!BZ547=""),5,IF(AND('Grille de saisie'!C547=5),5,4))))))))</f>
        <v>5</v>
      </c>
      <c r="CQ547" s="237">
        <f>IF('Grille de saisie'!BZ547="",3,IF('Grille de saisie'!C547=5,3,IF('Grille de saisie'!BZ547=0,1,2)))</f>
        <v>3</v>
      </c>
    </row>
    <row r="548" spans="1:95" ht="15">
      <c r="A548" s="510">
        <v>546</v>
      </c>
      <c r="B548" s="240"/>
      <c r="C548" s="513"/>
      <c r="D548" s="240"/>
      <c r="E548" s="517"/>
      <c r="F548" s="265"/>
      <c r="G548" s="513"/>
      <c r="H548" s="265"/>
      <c r="I548" s="520"/>
      <c r="J548" s="241"/>
      <c r="K548" s="520"/>
      <c r="L548" s="241"/>
      <c r="M548" s="521"/>
      <c r="N548" s="241"/>
      <c r="O548" s="521"/>
      <c r="P548" s="241"/>
      <c r="Q548" s="520"/>
      <c r="R548" s="241"/>
      <c r="S548" s="520"/>
      <c r="T548" s="241"/>
      <c r="U548" s="520"/>
      <c r="V548" s="241"/>
      <c r="W548" s="242"/>
      <c r="X548" s="241"/>
      <c r="Y548" s="242"/>
      <c r="Z548" s="241"/>
      <c r="AA548" s="241"/>
      <c r="AB548" s="275"/>
      <c r="AC548" s="524"/>
      <c r="AD548" s="241"/>
      <c r="AE548" s="241"/>
      <c r="AF548" s="241"/>
      <c r="AG548" s="241"/>
      <c r="AH548" s="241"/>
      <c r="AI548" s="241"/>
      <c r="AJ548" s="529"/>
      <c r="AK548" s="258"/>
      <c r="AL548" s="241"/>
      <c r="AM548" s="242"/>
      <c r="AN548" s="241"/>
      <c r="AO548" s="242"/>
      <c r="AP548" s="241"/>
      <c r="AQ548" s="242"/>
      <c r="AR548" s="241"/>
      <c r="AS548" s="242"/>
      <c r="AT548" s="241"/>
      <c r="AU548" s="241"/>
      <c r="AV548" s="256"/>
      <c r="AW548" s="241"/>
      <c r="AX548" s="256"/>
      <c r="AY548" s="241"/>
      <c r="AZ548" s="256"/>
      <c r="BA548" s="239"/>
      <c r="BB548" s="242"/>
      <c r="BC548" s="239"/>
      <c r="BD548" s="242"/>
      <c r="BE548" s="239"/>
      <c r="BF548" s="241"/>
      <c r="BG548" s="239"/>
      <c r="BH548" s="241"/>
      <c r="BI548" s="260"/>
      <c r="BJ548" s="241"/>
      <c r="BK548" s="260"/>
      <c r="BL548" s="239"/>
      <c r="BM548" s="256"/>
      <c r="BN548" s="241"/>
      <c r="BO548" s="243"/>
      <c r="BP548" s="241"/>
      <c r="BQ548" s="239"/>
      <c r="BR548" s="276"/>
      <c r="BS548" s="256"/>
      <c r="BT548" s="260"/>
      <c r="BU548" s="261"/>
      <c r="BV548" s="260"/>
      <c r="BW548" s="239"/>
      <c r="BX548" s="260"/>
      <c r="BY548" s="260"/>
      <c r="BZ548" s="239"/>
      <c r="CA548" s="260"/>
      <c r="CB548" s="239"/>
      <c r="CC548" s="260"/>
      <c r="CD548" s="539"/>
      <c r="CE548" s="239"/>
      <c r="CF548" s="276"/>
      <c r="CG548" s="256"/>
      <c r="CH548" s="259"/>
      <c r="CI548" s="347"/>
      <c r="CJ548" s="540"/>
      <c r="CK548" s="256"/>
      <c r="CL548" s="244">
        <v>1</v>
      </c>
      <c r="CM548" s="274">
        <f t="shared" si="8"/>
        <v>2015</v>
      </c>
      <c r="CN548" s="244">
        <f>IF('Grille de saisie'!CM548&lt;18,0,IF('Grille de saisie'!CM548&lt;40,1,IF('Grille de saisie'!CM548&lt;65,2,IF('Grille de saisie'!CM548&lt;100,3,4))))</f>
        <v>4</v>
      </c>
      <c r="CO548" s="236">
        <f>IF(AND('Grille de saisie'!C548=1,'Grille de saisie'!BZ548=0),1,IF(AND('Grille de saisie'!C548="",'Grille de saisie'!BZ548=""),3,IF(AND('Grille de saisie'!C548=5),3,2)))</f>
        <v>3</v>
      </c>
      <c r="CP548" s="236">
        <f>IF(AND('Grille de saisie'!C548=1,'Grille de saisie'!BZ548=0),1,IF(AND('Grille de saisie'!C548=1,'Grille de saisie'!BZ548=1),2,IF(AND('Grille de saisie'!C548=2,'Grille de saisie'!BZ548=0),2,IF(AND('Grille de saisie'!C548=3,'Grille de saisie'!BZ548=0),3,IF(AND('Grille de saisie'!C548=2,'Grille de saisie'!BZ548=1),3,IF(AND('Grille de saisie'!C548=1,'Grille de saisie'!BZ548=2),3,IF(AND('Grille de saisie'!C548="",'Grille de saisie'!BZ548=""),5,IF(AND('Grille de saisie'!C548=5),5,4))))))))</f>
        <v>5</v>
      </c>
      <c r="CQ548" s="237">
        <f>IF('Grille de saisie'!BZ548="",3,IF('Grille de saisie'!C548=5,3,IF('Grille de saisie'!BZ548=0,1,2)))</f>
        <v>3</v>
      </c>
    </row>
    <row r="549" spans="1:95" ht="15">
      <c r="A549" s="511">
        <v>547</v>
      </c>
      <c r="B549" s="240"/>
      <c r="C549" s="513"/>
      <c r="D549" s="240"/>
      <c r="E549" s="517"/>
      <c r="F549" s="265"/>
      <c r="G549" s="513"/>
      <c r="H549" s="265"/>
      <c r="I549" s="520"/>
      <c r="J549" s="241"/>
      <c r="K549" s="520"/>
      <c r="L549" s="241"/>
      <c r="M549" s="521"/>
      <c r="N549" s="241"/>
      <c r="O549" s="521"/>
      <c r="P549" s="241"/>
      <c r="Q549" s="520"/>
      <c r="R549" s="241"/>
      <c r="S549" s="520"/>
      <c r="T549" s="241"/>
      <c r="U549" s="520"/>
      <c r="V549" s="241"/>
      <c r="W549" s="242"/>
      <c r="X549" s="241"/>
      <c r="Y549" s="242"/>
      <c r="Z549" s="241"/>
      <c r="AA549" s="241"/>
      <c r="AB549" s="275"/>
      <c r="AC549" s="524"/>
      <c r="AD549" s="241"/>
      <c r="AE549" s="241"/>
      <c r="AF549" s="241"/>
      <c r="AG549" s="241"/>
      <c r="AH549" s="241"/>
      <c r="AI549" s="241"/>
      <c r="AJ549" s="529"/>
      <c r="AK549" s="258"/>
      <c r="AL549" s="241"/>
      <c r="AM549" s="242"/>
      <c r="AN549" s="241"/>
      <c r="AO549" s="242"/>
      <c r="AP549" s="241"/>
      <c r="AQ549" s="242"/>
      <c r="AR549" s="241"/>
      <c r="AS549" s="242"/>
      <c r="AT549" s="241"/>
      <c r="AU549" s="241"/>
      <c r="AV549" s="256"/>
      <c r="AW549" s="241"/>
      <c r="AX549" s="256"/>
      <c r="AY549" s="241"/>
      <c r="AZ549" s="256"/>
      <c r="BA549" s="239"/>
      <c r="BB549" s="242"/>
      <c r="BC549" s="239"/>
      <c r="BD549" s="242"/>
      <c r="BE549" s="239"/>
      <c r="BF549" s="241"/>
      <c r="BG549" s="239"/>
      <c r="BH549" s="241"/>
      <c r="BI549" s="260"/>
      <c r="BJ549" s="241"/>
      <c r="BK549" s="260"/>
      <c r="BL549" s="239"/>
      <c r="BM549" s="256"/>
      <c r="BN549" s="241"/>
      <c r="BO549" s="243"/>
      <c r="BP549" s="241"/>
      <c r="BQ549" s="239"/>
      <c r="BR549" s="276"/>
      <c r="BS549" s="256"/>
      <c r="BT549" s="260"/>
      <c r="BU549" s="261"/>
      <c r="BV549" s="260"/>
      <c r="BW549" s="239"/>
      <c r="BX549" s="260"/>
      <c r="BY549" s="260"/>
      <c r="BZ549" s="239"/>
      <c r="CA549" s="260"/>
      <c r="CB549" s="239"/>
      <c r="CC549" s="260"/>
      <c r="CD549" s="539"/>
      <c r="CE549" s="239"/>
      <c r="CF549" s="276"/>
      <c r="CG549" s="256"/>
      <c r="CH549" s="259"/>
      <c r="CI549" s="347"/>
      <c r="CJ549" s="540"/>
      <c r="CK549" s="256"/>
      <c r="CL549" s="244">
        <v>1</v>
      </c>
      <c r="CM549" s="274">
        <f t="shared" si="8"/>
        <v>2015</v>
      </c>
      <c r="CN549" s="244">
        <f>IF('Grille de saisie'!CM549&lt;18,0,IF('Grille de saisie'!CM549&lt;40,1,IF('Grille de saisie'!CM549&lt;65,2,IF('Grille de saisie'!CM549&lt;100,3,4))))</f>
        <v>4</v>
      </c>
      <c r="CO549" s="236">
        <f>IF(AND('Grille de saisie'!C549=1,'Grille de saisie'!BZ549=0),1,IF(AND('Grille de saisie'!C549="",'Grille de saisie'!BZ549=""),3,IF(AND('Grille de saisie'!C549=5),3,2)))</f>
        <v>3</v>
      </c>
      <c r="CP549" s="236">
        <f>IF(AND('Grille de saisie'!C549=1,'Grille de saisie'!BZ549=0),1,IF(AND('Grille de saisie'!C549=1,'Grille de saisie'!BZ549=1),2,IF(AND('Grille de saisie'!C549=2,'Grille de saisie'!BZ549=0),2,IF(AND('Grille de saisie'!C549=3,'Grille de saisie'!BZ549=0),3,IF(AND('Grille de saisie'!C549=2,'Grille de saisie'!BZ549=1),3,IF(AND('Grille de saisie'!C549=1,'Grille de saisie'!BZ549=2),3,IF(AND('Grille de saisie'!C549="",'Grille de saisie'!BZ549=""),5,IF(AND('Grille de saisie'!C549=5),5,4))))))))</f>
        <v>5</v>
      </c>
      <c r="CQ549" s="237">
        <f>IF('Grille de saisie'!BZ549="",3,IF('Grille de saisie'!C549=5,3,IF('Grille de saisie'!BZ549=0,1,2)))</f>
        <v>3</v>
      </c>
    </row>
    <row r="550" spans="1:95" ht="15">
      <c r="A550" s="510">
        <v>548</v>
      </c>
      <c r="B550" s="240"/>
      <c r="C550" s="513"/>
      <c r="D550" s="240"/>
      <c r="E550" s="517"/>
      <c r="F550" s="265"/>
      <c r="G550" s="513"/>
      <c r="H550" s="265"/>
      <c r="I550" s="520"/>
      <c r="J550" s="241"/>
      <c r="K550" s="520"/>
      <c r="L550" s="241"/>
      <c r="M550" s="521"/>
      <c r="N550" s="241"/>
      <c r="O550" s="521"/>
      <c r="P550" s="241"/>
      <c r="Q550" s="520"/>
      <c r="R550" s="241"/>
      <c r="S550" s="520"/>
      <c r="T550" s="241"/>
      <c r="U550" s="520"/>
      <c r="V550" s="241"/>
      <c r="W550" s="242"/>
      <c r="X550" s="241"/>
      <c r="Y550" s="242"/>
      <c r="Z550" s="241"/>
      <c r="AA550" s="241"/>
      <c r="AB550" s="275"/>
      <c r="AC550" s="524"/>
      <c r="AD550" s="241"/>
      <c r="AE550" s="241"/>
      <c r="AF550" s="241"/>
      <c r="AG550" s="241"/>
      <c r="AH550" s="241"/>
      <c r="AI550" s="241"/>
      <c r="AJ550" s="529"/>
      <c r="AK550" s="258"/>
      <c r="AL550" s="241"/>
      <c r="AM550" s="242"/>
      <c r="AN550" s="241"/>
      <c r="AO550" s="242"/>
      <c r="AP550" s="241"/>
      <c r="AQ550" s="242"/>
      <c r="AR550" s="241"/>
      <c r="AS550" s="242"/>
      <c r="AT550" s="241"/>
      <c r="AU550" s="241"/>
      <c r="AV550" s="256"/>
      <c r="AW550" s="241"/>
      <c r="AX550" s="256"/>
      <c r="AY550" s="241"/>
      <c r="AZ550" s="256"/>
      <c r="BA550" s="239"/>
      <c r="BB550" s="242"/>
      <c r="BC550" s="239"/>
      <c r="BD550" s="242"/>
      <c r="BE550" s="239"/>
      <c r="BF550" s="241"/>
      <c r="BG550" s="239"/>
      <c r="BH550" s="241"/>
      <c r="BI550" s="260"/>
      <c r="BJ550" s="241"/>
      <c r="BK550" s="260"/>
      <c r="BL550" s="239"/>
      <c r="BM550" s="256"/>
      <c r="BN550" s="241"/>
      <c r="BO550" s="243"/>
      <c r="BP550" s="241"/>
      <c r="BQ550" s="239"/>
      <c r="BR550" s="276"/>
      <c r="BS550" s="256"/>
      <c r="BT550" s="260"/>
      <c r="BU550" s="261"/>
      <c r="BV550" s="260"/>
      <c r="BW550" s="239"/>
      <c r="BX550" s="260"/>
      <c r="BY550" s="260"/>
      <c r="BZ550" s="239"/>
      <c r="CA550" s="260"/>
      <c r="CB550" s="239"/>
      <c r="CC550" s="260"/>
      <c r="CD550" s="539"/>
      <c r="CE550" s="239"/>
      <c r="CF550" s="276"/>
      <c r="CG550" s="256"/>
      <c r="CH550" s="259"/>
      <c r="CI550" s="347"/>
      <c r="CJ550" s="540"/>
      <c r="CK550" s="256"/>
      <c r="CL550" s="244">
        <v>1</v>
      </c>
      <c r="CM550" s="274">
        <f t="shared" si="8"/>
        <v>2015</v>
      </c>
      <c r="CN550" s="244">
        <f>IF('Grille de saisie'!CM550&lt;18,0,IF('Grille de saisie'!CM550&lt;40,1,IF('Grille de saisie'!CM550&lt;65,2,IF('Grille de saisie'!CM550&lt;100,3,4))))</f>
        <v>4</v>
      </c>
      <c r="CO550" s="236">
        <f>IF(AND('Grille de saisie'!C550=1,'Grille de saisie'!BZ550=0),1,IF(AND('Grille de saisie'!C550="",'Grille de saisie'!BZ550=""),3,IF(AND('Grille de saisie'!C550=5),3,2)))</f>
        <v>3</v>
      </c>
      <c r="CP550" s="236">
        <f>IF(AND('Grille de saisie'!C550=1,'Grille de saisie'!BZ550=0),1,IF(AND('Grille de saisie'!C550=1,'Grille de saisie'!BZ550=1),2,IF(AND('Grille de saisie'!C550=2,'Grille de saisie'!BZ550=0),2,IF(AND('Grille de saisie'!C550=3,'Grille de saisie'!BZ550=0),3,IF(AND('Grille de saisie'!C550=2,'Grille de saisie'!BZ550=1),3,IF(AND('Grille de saisie'!C550=1,'Grille de saisie'!BZ550=2),3,IF(AND('Grille de saisie'!C550="",'Grille de saisie'!BZ550=""),5,IF(AND('Grille de saisie'!C550=5),5,4))))))))</f>
        <v>5</v>
      </c>
      <c r="CQ550" s="237">
        <f>IF('Grille de saisie'!BZ550="",3,IF('Grille de saisie'!C550=5,3,IF('Grille de saisie'!BZ550=0,1,2)))</f>
        <v>3</v>
      </c>
    </row>
    <row r="551" spans="1:95" ht="15">
      <c r="A551" s="510">
        <v>549</v>
      </c>
      <c r="B551" s="240"/>
      <c r="C551" s="513"/>
      <c r="D551" s="240"/>
      <c r="E551" s="517"/>
      <c r="F551" s="265"/>
      <c r="G551" s="513"/>
      <c r="H551" s="265"/>
      <c r="I551" s="520"/>
      <c r="J551" s="241"/>
      <c r="K551" s="520"/>
      <c r="L551" s="241"/>
      <c r="M551" s="521"/>
      <c r="N551" s="241"/>
      <c r="O551" s="521"/>
      <c r="P551" s="241"/>
      <c r="Q551" s="520"/>
      <c r="R551" s="241"/>
      <c r="S551" s="520"/>
      <c r="T551" s="241"/>
      <c r="U551" s="520"/>
      <c r="V551" s="241"/>
      <c r="W551" s="242"/>
      <c r="X551" s="241"/>
      <c r="Y551" s="242"/>
      <c r="Z551" s="241"/>
      <c r="AA551" s="241"/>
      <c r="AB551" s="275"/>
      <c r="AC551" s="524"/>
      <c r="AD551" s="241"/>
      <c r="AE551" s="241"/>
      <c r="AF551" s="241"/>
      <c r="AG551" s="241"/>
      <c r="AH551" s="241"/>
      <c r="AI551" s="241"/>
      <c r="AJ551" s="529"/>
      <c r="AK551" s="258"/>
      <c r="AL551" s="241"/>
      <c r="AM551" s="242"/>
      <c r="AN551" s="241"/>
      <c r="AO551" s="242"/>
      <c r="AP551" s="241"/>
      <c r="AQ551" s="242"/>
      <c r="AR551" s="241"/>
      <c r="AS551" s="242"/>
      <c r="AT551" s="241"/>
      <c r="AU551" s="241"/>
      <c r="AV551" s="256"/>
      <c r="AW551" s="241"/>
      <c r="AX551" s="256"/>
      <c r="AY551" s="241"/>
      <c r="AZ551" s="256"/>
      <c r="BA551" s="239"/>
      <c r="BB551" s="242"/>
      <c r="BC551" s="239"/>
      <c r="BD551" s="242"/>
      <c r="BE551" s="239"/>
      <c r="BF551" s="241"/>
      <c r="BG551" s="239"/>
      <c r="BH551" s="241"/>
      <c r="BI551" s="260"/>
      <c r="BJ551" s="241"/>
      <c r="BK551" s="260"/>
      <c r="BL551" s="239"/>
      <c r="BM551" s="256"/>
      <c r="BN551" s="241"/>
      <c r="BO551" s="243"/>
      <c r="BP551" s="241"/>
      <c r="BQ551" s="239"/>
      <c r="BR551" s="276"/>
      <c r="BS551" s="256"/>
      <c r="BT551" s="260"/>
      <c r="BU551" s="261"/>
      <c r="BV551" s="260"/>
      <c r="BW551" s="239"/>
      <c r="BX551" s="260"/>
      <c r="BY551" s="260"/>
      <c r="BZ551" s="239"/>
      <c r="CA551" s="260"/>
      <c r="CB551" s="239"/>
      <c r="CC551" s="260"/>
      <c r="CD551" s="539"/>
      <c r="CE551" s="239"/>
      <c r="CF551" s="276"/>
      <c r="CG551" s="256"/>
      <c r="CH551" s="259"/>
      <c r="CI551" s="347"/>
      <c r="CJ551" s="540"/>
      <c r="CK551" s="256"/>
      <c r="CL551" s="244">
        <v>1</v>
      </c>
      <c r="CM551" s="274">
        <f t="shared" si="8"/>
        <v>2015</v>
      </c>
      <c r="CN551" s="244">
        <f>IF('Grille de saisie'!CM551&lt;18,0,IF('Grille de saisie'!CM551&lt;40,1,IF('Grille de saisie'!CM551&lt;65,2,IF('Grille de saisie'!CM551&lt;100,3,4))))</f>
        <v>4</v>
      </c>
      <c r="CO551" s="236">
        <f>IF(AND('Grille de saisie'!C551=1,'Grille de saisie'!BZ551=0),1,IF(AND('Grille de saisie'!C551="",'Grille de saisie'!BZ551=""),3,IF(AND('Grille de saisie'!C551=5),3,2)))</f>
        <v>3</v>
      </c>
      <c r="CP551" s="236">
        <f>IF(AND('Grille de saisie'!C551=1,'Grille de saisie'!BZ551=0),1,IF(AND('Grille de saisie'!C551=1,'Grille de saisie'!BZ551=1),2,IF(AND('Grille de saisie'!C551=2,'Grille de saisie'!BZ551=0),2,IF(AND('Grille de saisie'!C551=3,'Grille de saisie'!BZ551=0),3,IF(AND('Grille de saisie'!C551=2,'Grille de saisie'!BZ551=1),3,IF(AND('Grille de saisie'!C551=1,'Grille de saisie'!BZ551=2),3,IF(AND('Grille de saisie'!C551="",'Grille de saisie'!BZ551=""),5,IF(AND('Grille de saisie'!C551=5),5,4))))))))</f>
        <v>5</v>
      </c>
      <c r="CQ551" s="237">
        <f>IF('Grille de saisie'!BZ551="",3,IF('Grille de saisie'!C551=5,3,IF('Grille de saisie'!BZ551=0,1,2)))</f>
        <v>3</v>
      </c>
    </row>
    <row r="552" spans="1:95" ht="15">
      <c r="A552" s="511">
        <v>550</v>
      </c>
      <c r="B552" s="240"/>
      <c r="C552" s="513"/>
      <c r="D552" s="240"/>
      <c r="E552" s="517"/>
      <c r="F552" s="265"/>
      <c r="G552" s="513"/>
      <c r="H552" s="265"/>
      <c r="I552" s="520"/>
      <c r="J552" s="241"/>
      <c r="K552" s="520"/>
      <c r="L552" s="241"/>
      <c r="M552" s="521"/>
      <c r="N552" s="241"/>
      <c r="O552" s="521"/>
      <c r="P552" s="241"/>
      <c r="Q552" s="520"/>
      <c r="R552" s="241"/>
      <c r="S552" s="520"/>
      <c r="T552" s="241"/>
      <c r="U552" s="520"/>
      <c r="V552" s="241"/>
      <c r="W552" s="242"/>
      <c r="X552" s="241"/>
      <c r="Y552" s="242"/>
      <c r="Z552" s="241"/>
      <c r="AA552" s="241"/>
      <c r="AB552" s="275"/>
      <c r="AC552" s="524"/>
      <c r="AD552" s="241"/>
      <c r="AE552" s="241"/>
      <c r="AF552" s="241"/>
      <c r="AG552" s="241"/>
      <c r="AH552" s="241"/>
      <c r="AI552" s="241"/>
      <c r="AJ552" s="529"/>
      <c r="AK552" s="258"/>
      <c r="AL552" s="241"/>
      <c r="AM552" s="242"/>
      <c r="AN552" s="241"/>
      <c r="AO552" s="242"/>
      <c r="AP552" s="241"/>
      <c r="AQ552" s="242"/>
      <c r="AR552" s="241"/>
      <c r="AS552" s="242"/>
      <c r="AT552" s="241"/>
      <c r="AU552" s="241"/>
      <c r="AV552" s="256"/>
      <c r="AW552" s="241"/>
      <c r="AX552" s="256"/>
      <c r="AY552" s="241"/>
      <c r="AZ552" s="256"/>
      <c r="BA552" s="239"/>
      <c r="BB552" s="242"/>
      <c r="BC552" s="239"/>
      <c r="BD552" s="242"/>
      <c r="BE552" s="239"/>
      <c r="BF552" s="241"/>
      <c r="BG552" s="239"/>
      <c r="BH552" s="241"/>
      <c r="BI552" s="260"/>
      <c r="BJ552" s="241"/>
      <c r="BK552" s="260"/>
      <c r="BL552" s="239"/>
      <c r="BM552" s="256"/>
      <c r="BN552" s="241"/>
      <c r="BO552" s="243"/>
      <c r="BP552" s="241"/>
      <c r="BQ552" s="239"/>
      <c r="BR552" s="276"/>
      <c r="BS552" s="256"/>
      <c r="BT552" s="260"/>
      <c r="BU552" s="261"/>
      <c r="BV552" s="260"/>
      <c r="BW552" s="239"/>
      <c r="BX552" s="260"/>
      <c r="BY552" s="260"/>
      <c r="BZ552" s="239"/>
      <c r="CA552" s="260"/>
      <c r="CB552" s="239"/>
      <c r="CC552" s="260"/>
      <c r="CD552" s="539"/>
      <c r="CE552" s="239"/>
      <c r="CF552" s="276"/>
      <c r="CG552" s="256"/>
      <c r="CH552" s="259"/>
      <c r="CI552" s="347"/>
      <c r="CJ552" s="540"/>
      <c r="CK552" s="256"/>
      <c r="CL552" s="244">
        <v>1</v>
      </c>
      <c r="CM552" s="274">
        <f t="shared" si="8"/>
        <v>2015</v>
      </c>
      <c r="CN552" s="244">
        <f>IF('Grille de saisie'!CM552&lt;18,0,IF('Grille de saisie'!CM552&lt;40,1,IF('Grille de saisie'!CM552&lt;65,2,IF('Grille de saisie'!CM552&lt;100,3,4))))</f>
        <v>4</v>
      </c>
      <c r="CO552" s="236">
        <f>IF(AND('Grille de saisie'!C552=1,'Grille de saisie'!BZ552=0),1,IF(AND('Grille de saisie'!C552="",'Grille de saisie'!BZ552=""),3,IF(AND('Grille de saisie'!C552=5),3,2)))</f>
        <v>3</v>
      </c>
      <c r="CP552" s="236">
        <f>IF(AND('Grille de saisie'!C552=1,'Grille de saisie'!BZ552=0),1,IF(AND('Grille de saisie'!C552=1,'Grille de saisie'!BZ552=1),2,IF(AND('Grille de saisie'!C552=2,'Grille de saisie'!BZ552=0),2,IF(AND('Grille de saisie'!C552=3,'Grille de saisie'!BZ552=0),3,IF(AND('Grille de saisie'!C552=2,'Grille de saisie'!BZ552=1),3,IF(AND('Grille de saisie'!C552=1,'Grille de saisie'!BZ552=2),3,IF(AND('Grille de saisie'!C552="",'Grille de saisie'!BZ552=""),5,IF(AND('Grille de saisie'!C552=5),5,4))))))))</f>
        <v>5</v>
      </c>
      <c r="CQ552" s="237">
        <f>IF('Grille de saisie'!BZ552="",3,IF('Grille de saisie'!C552=5,3,IF('Grille de saisie'!BZ552=0,1,2)))</f>
        <v>3</v>
      </c>
    </row>
    <row r="553" spans="1:95" ht="15">
      <c r="A553" s="510">
        <v>551</v>
      </c>
      <c r="B553" s="240"/>
      <c r="C553" s="513"/>
      <c r="D553" s="240"/>
      <c r="E553" s="517"/>
      <c r="F553" s="265"/>
      <c r="G553" s="513"/>
      <c r="H553" s="265"/>
      <c r="I553" s="520"/>
      <c r="J553" s="241"/>
      <c r="K553" s="520"/>
      <c r="L553" s="241"/>
      <c r="M553" s="521"/>
      <c r="N553" s="241"/>
      <c r="O553" s="521"/>
      <c r="P553" s="241"/>
      <c r="Q553" s="520"/>
      <c r="R553" s="241"/>
      <c r="S553" s="520"/>
      <c r="T553" s="241"/>
      <c r="U553" s="520"/>
      <c r="V553" s="241"/>
      <c r="W553" s="242"/>
      <c r="X553" s="241"/>
      <c r="Y553" s="242"/>
      <c r="Z553" s="241"/>
      <c r="AA553" s="241"/>
      <c r="AB553" s="275"/>
      <c r="AC553" s="524"/>
      <c r="AD553" s="241"/>
      <c r="AE553" s="241"/>
      <c r="AF553" s="241"/>
      <c r="AG553" s="241"/>
      <c r="AH553" s="241"/>
      <c r="AI553" s="241"/>
      <c r="AJ553" s="529"/>
      <c r="AK553" s="258"/>
      <c r="AL553" s="241"/>
      <c r="AM553" s="242"/>
      <c r="AN553" s="241"/>
      <c r="AO553" s="242"/>
      <c r="AP553" s="241"/>
      <c r="AQ553" s="242"/>
      <c r="AR553" s="241"/>
      <c r="AS553" s="242"/>
      <c r="AT553" s="241"/>
      <c r="AU553" s="241"/>
      <c r="AV553" s="256"/>
      <c r="AW553" s="241"/>
      <c r="AX553" s="256"/>
      <c r="AY553" s="241"/>
      <c r="AZ553" s="256"/>
      <c r="BA553" s="239"/>
      <c r="BB553" s="242"/>
      <c r="BC553" s="239"/>
      <c r="BD553" s="242"/>
      <c r="BE553" s="239"/>
      <c r="BF553" s="241"/>
      <c r="BG553" s="239"/>
      <c r="BH553" s="241"/>
      <c r="BI553" s="260"/>
      <c r="BJ553" s="241"/>
      <c r="BK553" s="260"/>
      <c r="BL553" s="239"/>
      <c r="BM553" s="256"/>
      <c r="BN553" s="241"/>
      <c r="BO553" s="243"/>
      <c r="BP553" s="241"/>
      <c r="BQ553" s="239"/>
      <c r="BR553" s="276"/>
      <c r="BS553" s="256"/>
      <c r="BT553" s="260"/>
      <c r="BU553" s="261"/>
      <c r="BV553" s="260"/>
      <c r="BW553" s="239"/>
      <c r="BX553" s="260"/>
      <c r="BY553" s="260"/>
      <c r="BZ553" s="239"/>
      <c r="CA553" s="260"/>
      <c r="CB553" s="239"/>
      <c r="CC553" s="260"/>
      <c r="CD553" s="539"/>
      <c r="CE553" s="239"/>
      <c r="CF553" s="276"/>
      <c r="CG553" s="256"/>
      <c r="CH553" s="259"/>
      <c r="CI553" s="347"/>
      <c r="CJ553" s="540"/>
      <c r="CK553" s="256"/>
      <c r="CL553" s="244">
        <v>1</v>
      </c>
      <c r="CM553" s="274">
        <f t="shared" si="8"/>
        <v>2015</v>
      </c>
      <c r="CN553" s="244">
        <f>IF('Grille de saisie'!CM553&lt;18,0,IF('Grille de saisie'!CM553&lt;40,1,IF('Grille de saisie'!CM553&lt;65,2,IF('Grille de saisie'!CM553&lt;100,3,4))))</f>
        <v>4</v>
      </c>
      <c r="CO553" s="236">
        <f>IF(AND('Grille de saisie'!C553=1,'Grille de saisie'!BZ553=0),1,IF(AND('Grille de saisie'!C553="",'Grille de saisie'!BZ553=""),3,IF(AND('Grille de saisie'!C553=5),3,2)))</f>
        <v>3</v>
      </c>
      <c r="CP553" s="236">
        <f>IF(AND('Grille de saisie'!C553=1,'Grille de saisie'!BZ553=0),1,IF(AND('Grille de saisie'!C553=1,'Grille de saisie'!BZ553=1),2,IF(AND('Grille de saisie'!C553=2,'Grille de saisie'!BZ553=0),2,IF(AND('Grille de saisie'!C553=3,'Grille de saisie'!BZ553=0),3,IF(AND('Grille de saisie'!C553=2,'Grille de saisie'!BZ553=1),3,IF(AND('Grille de saisie'!C553=1,'Grille de saisie'!BZ553=2),3,IF(AND('Grille de saisie'!C553="",'Grille de saisie'!BZ553=""),5,IF(AND('Grille de saisie'!C553=5),5,4))))))))</f>
        <v>5</v>
      </c>
      <c r="CQ553" s="237">
        <f>IF('Grille de saisie'!BZ553="",3,IF('Grille de saisie'!C553=5,3,IF('Grille de saisie'!BZ553=0,1,2)))</f>
        <v>3</v>
      </c>
    </row>
    <row r="554" spans="1:95" ht="15">
      <c r="A554" s="510">
        <v>552</v>
      </c>
      <c r="B554" s="240"/>
      <c r="C554" s="513"/>
      <c r="D554" s="240"/>
      <c r="E554" s="517"/>
      <c r="F554" s="265"/>
      <c r="G554" s="513"/>
      <c r="H554" s="265"/>
      <c r="I554" s="520"/>
      <c r="J554" s="241"/>
      <c r="K554" s="520"/>
      <c r="L554" s="241"/>
      <c r="M554" s="521"/>
      <c r="N554" s="241"/>
      <c r="O554" s="521"/>
      <c r="P554" s="241"/>
      <c r="Q554" s="520"/>
      <c r="R554" s="241"/>
      <c r="S554" s="520"/>
      <c r="T554" s="241"/>
      <c r="U554" s="520"/>
      <c r="V554" s="241"/>
      <c r="W554" s="242"/>
      <c r="X554" s="241"/>
      <c r="Y554" s="242"/>
      <c r="Z554" s="241"/>
      <c r="AA554" s="241"/>
      <c r="AB554" s="275"/>
      <c r="AC554" s="524"/>
      <c r="AD554" s="241"/>
      <c r="AE554" s="241"/>
      <c r="AF554" s="241"/>
      <c r="AG554" s="241"/>
      <c r="AH554" s="241"/>
      <c r="AI554" s="241"/>
      <c r="AJ554" s="529"/>
      <c r="AK554" s="258"/>
      <c r="AL554" s="241"/>
      <c r="AM554" s="242"/>
      <c r="AN554" s="241"/>
      <c r="AO554" s="242"/>
      <c r="AP554" s="241"/>
      <c r="AQ554" s="242"/>
      <c r="AR554" s="241"/>
      <c r="AS554" s="242"/>
      <c r="AT554" s="241"/>
      <c r="AU554" s="241"/>
      <c r="AV554" s="256"/>
      <c r="AW554" s="241"/>
      <c r="AX554" s="256"/>
      <c r="AY554" s="241"/>
      <c r="AZ554" s="256"/>
      <c r="BA554" s="239"/>
      <c r="BB554" s="242"/>
      <c r="BC554" s="239"/>
      <c r="BD554" s="242"/>
      <c r="BE554" s="239"/>
      <c r="BF554" s="241"/>
      <c r="BG554" s="239"/>
      <c r="BH554" s="241"/>
      <c r="BI554" s="260"/>
      <c r="BJ554" s="241"/>
      <c r="BK554" s="260"/>
      <c r="BL554" s="239"/>
      <c r="BM554" s="256"/>
      <c r="BN554" s="241"/>
      <c r="BO554" s="243"/>
      <c r="BP554" s="241"/>
      <c r="BQ554" s="239"/>
      <c r="BR554" s="276"/>
      <c r="BS554" s="256"/>
      <c r="BT554" s="260"/>
      <c r="BU554" s="261"/>
      <c r="BV554" s="260"/>
      <c r="BW554" s="239"/>
      <c r="BX554" s="260"/>
      <c r="BY554" s="260"/>
      <c r="BZ554" s="239"/>
      <c r="CA554" s="260"/>
      <c r="CB554" s="239"/>
      <c r="CC554" s="260"/>
      <c r="CD554" s="539"/>
      <c r="CE554" s="239"/>
      <c r="CF554" s="276"/>
      <c r="CG554" s="256"/>
      <c r="CH554" s="259"/>
      <c r="CI554" s="347"/>
      <c r="CJ554" s="540"/>
      <c r="CK554" s="256"/>
      <c r="CL554" s="244">
        <v>1</v>
      </c>
      <c r="CM554" s="274">
        <f t="shared" si="8"/>
        <v>2015</v>
      </c>
      <c r="CN554" s="244">
        <f>IF('Grille de saisie'!CM554&lt;18,0,IF('Grille de saisie'!CM554&lt;40,1,IF('Grille de saisie'!CM554&lt;65,2,IF('Grille de saisie'!CM554&lt;100,3,4))))</f>
        <v>4</v>
      </c>
      <c r="CO554" s="236">
        <f>IF(AND('Grille de saisie'!C554=1,'Grille de saisie'!BZ554=0),1,IF(AND('Grille de saisie'!C554="",'Grille de saisie'!BZ554=""),3,IF(AND('Grille de saisie'!C554=5),3,2)))</f>
        <v>3</v>
      </c>
      <c r="CP554" s="236">
        <f>IF(AND('Grille de saisie'!C554=1,'Grille de saisie'!BZ554=0),1,IF(AND('Grille de saisie'!C554=1,'Grille de saisie'!BZ554=1),2,IF(AND('Grille de saisie'!C554=2,'Grille de saisie'!BZ554=0),2,IF(AND('Grille de saisie'!C554=3,'Grille de saisie'!BZ554=0),3,IF(AND('Grille de saisie'!C554=2,'Grille de saisie'!BZ554=1),3,IF(AND('Grille de saisie'!C554=1,'Grille de saisie'!BZ554=2),3,IF(AND('Grille de saisie'!C554="",'Grille de saisie'!BZ554=""),5,IF(AND('Grille de saisie'!C554=5),5,4))))))))</f>
        <v>5</v>
      </c>
      <c r="CQ554" s="237">
        <f>IF('Grille de saisie'!BZ554="",3,IF('Grille de saisie'!C554=5,3,IF('Grille de saisie'!BZ554=0,1,2)))</f>
        <v>3</v>
      </c>
    </row>
    <row r="555" spans="1:95" ht="15">
      <c r="A555" s="511">
        <v>553</v>
      </c>
      <c r="B555" s="240"/>
      <c r="C555" s="513"/>
      <c r="D555" s="240"/>
      <c r="E555" s="517"/>
      <c r="F555" s="265"/>
      <c r="G555" s="513"/>
      <c r="H555" s="265"/>
      <c r="I555" s="520"/>
      <c r="J555" s="241"/>
      <c r="K555" s="520"/>
      <c r="L555" s="241"/>
      <c r="M555" s="521"/>
      <c r="N555" s="241"/>
      <c r="O555" s="521"/>
      <c r="P555" s="241"/>
      <c r="Q555" s="520"/>
      <c r="R555" s="241"/>
      <c r="S555" s="520"/>
      <c r="T555" s="241"/>
      <c r="U555" s="520"/>
      <c r="V555" s="241"/>
      <c r="W555" s="242"/>
      <c r="X555" s="241"/>
      <c r="Y555" s="242"/>
      <c r="Z555" s="241"/>
      <c r="AA555" s="241"/>
      <c r="AB555" s="275"/>
      <c r="AC555" s="524"/>
      <c r="AD555" s="241"/>
      <c r="AE555" s="241"/>
      <c r="AF555" s="241"/>
      <c r="AG555" s="241"/>
      <c r="AH555" s="241"/>
      <c r="AI555" s="241"/>
      <c r="AJ555" s="529"/>
      <c r="AK555" s="258"/>
      <c r="AL555" s="241"/>
      <c r="AM555" s="242"/>
      <c r="AN555" s="241"/>
      <c r="AO555" s="242"/>
      <c r="AP555" s="241"/>
      <c r="AQ555" s="242"/>
      <c r="AR555" s="241"/>
      <c r="AS555" s="242"/>
      <c r="AT555" s="241"/>
      <c r="AU555" s="241"/>
      <c r="AV555" s="256"/>
      <c r="AW555" s="241"/>
      <c r="AX555" s="256"/>
      <c r="AY555" s="241"/>
      <c r="AZ555" s="256"/>
      <c r="BA555" s="239"/>
      <c r="BB555" s="242"/>
      <c r="BC555" s="239"/>
      <c r="BD555" s="242"/>
      <c r="BE555" s="239"/>
      <c r="BF555" s="241"/>
      <c r="BG555" s="239"/>
      <c r="BH555" s="241"/>
      <c r="BI555" s="260"/>
      <c r="BJ555" s="241"/>
      <c r="BK555" s="260"/>
      <c r="BL555" s="239"/>
      <c r="BM555" s="256"/>
      <c r="BN555" s="241"/>
      <c r="BO555" s="243"/>
      <c r="BP555" s="241"/>
      <c r="BQ555" s="239"/>
      <c r="BR555" s="276"/>
      <c r="BS555" s="256"/>
      <c r="BT555" s="260"/>
      <c r="BU555" s="261"/>
      <c r="BV555" s="260"/>
      <c r="BW555" s="239"/>
      <c r="BX555" s="260"/>
      <c r="BY555" s="260"/>
      <c r="BZ555" s="239"/>
      <c r="CA555" s="260"/>
      <c r="CB555" s="239"/>
      <c r="CC555" s="260"/>
      <c r="CD555" s="539"/>
      <c r="CE555" s="239"/>
      <c r="CF555" s="276"/>
      <c r="CG555" s="256"/>
      <c r="CH555" s="259"/>
      <c r="CI555" s="347"/>
      <c r="CJ555" s="540"/>
      <c r="CK555" s="256"/>
      <c r="CL555" s="244">
        <v>1</v>
      </c>
      <c r="CM555" s="274">
        <f t="shared" si="8"/>
        <v>2015</v>
      </c>
      <c r="CN555" s="244">
        <f>IF('Grille de saisie'!CM555&lt;18,0,IF('Grille de saisie'!CM555&lt;40,1,IF('Grille de saisie'!CM555&lt;65,2,IF('Grille de saisie'!CM555&lt;100,3,4))))</f>
        <v>4</v>
      </c>
      <c r="CO555" s="236">
        <f>IF(AND('Grille de saisie'!C555=1,'Grille de saisie'!BZ555=0),1,IF(AND('Grille de saisie'!C555="",'Grille de saisie'!BZ555=""),3,IF(AND('Grille de saisie'!C555=5),3,2)))</f>
        <v>3</v>
      </c>
      <c r="CP555" s="236">
        <f>IF(AND('Grille de saisie'!C555=1,'Grille de saisie'!BZ555=0),1,IF(AND('Grille de saisie'!C555=1,'Grille de saisie'!BZ555=1),2,IF(AND('Grille de saisie'!C555=2,'Grille de saisie'!BZ555=0),2,IF(AND('Grille de saisie'!C555=3,'Grille de saisie'!BZ555=0),3,IF(AND('Grille de saisie'!C555=2,'Grille de saisie'!BZ555=1),3,IF(AND('Grille de saisie'!C555=1,'Grille de saisie'!BZ555=2),3,IF(AND('Grille de saisie'!C555="",'Grille de saisie'!BZ555=""),5,IF(AND('Grille de saisie'!C555=5),5,4))))))))</f>
        <v>5</v>
      </c>
      <c r="CQ555" s="237">
        <f>IF('Grille de saisie'!BZ555="",3,IF('Grille de saisie'!C555=5,3,IF('Grille de saisie'!BZ555=0,1,2)))</f>
        <v>3</v>
      </c>
    </row>
    <row r="556" spans="1:95" ht="15">
      <c r="A556" s="510">
        <v>554</v>
      </c>
      <c r="B556" s="240"/>
      <c r="C556" s="513"/>
      <c r="D556" s="240"/>
      <c r="E556" s="517"/>
      <c r="F556" s="265"/>
      <c r="G556" s="513"/>
      <c r="H556" s="265"/>
      <c r="I556" s="520"/>
      <c r="J556" s="241"/>
      <c r="K556" s="520"/>
      <c r="L556" s="241"/>
      <c r="M556" s="521"/>
      <c r="N556" s="241"/>
      <c r="O556" s="521"/>
      <c r="P556" s="241"/>
      <c r="Q556" s="520"/>
      <c r="R556" s="241"/>
      <c r="S556" s="520"/>
      <c r="T556" s="241"/>
      <c r="U556" s="520"/>
      <c r="V556" s="241"/>
      <c r="W556" s="242"/>
      <c r="X556" s="241"/>
      <c r="Y556" s="242"/>
      <c r="Z556" s="241"/>
      <c r="AA556" s="241"/>
      <c r="AB556" s="275"/>
      <c r="AC556" s="524"/>
      <c r="AD556" s="241"/>
      <c r="AE556" s="241"/>
      <c r="AF556" s="241"/>
      <c r="AG556" s="241"/>
      <c r="AH556" s="241"/>
      <c r="AI556" s="241"/>
      <c r="AJ556" s="529"/>
      <c r="AK556" s="258"/>
      <c r="AL556" s="241"/>
      <c r="AM556" s="242"/>
      <c r="AN556" s="241"/>
      <c r="AO556" s="242"/>
      <c r="AP556" s="241"/>
      <c r="AQ556" s="242"/>
      <c r="AR556" s="241"/>
      <c r="AS556" s="242"/>
      <c r="AT556" s="241"/>
      <c r="AU556" s="241"/>
      <c r="AV556" s="256"/>
      <c r="AW556" s="241"/>
      <c r="AX556" s="256"/>
      <c r="AY556" s="241"/>
      <c r="AZ556" s="256"/>
      <c r="BA556" s="239"/>
      <c r="BB556" s="242"/>
      <c r="BC556" s="239"/>
      <c r="BD556" s="242"/>
      <c r="BE556" s="239"/>
      <c r="BF556" s="241"/>
      <c r="BG556" s="239"/>
      <c r="BH556" s="241"/>
      <c r="BI556" s="260"/>
      <c r="BJ556" s="241"/>
      <c r="BK556" s="260"/>
      <c r="BL556" s="239"/>
      <c r="BM556" s="256"/>
      <c r="BN556" s="241"/>
      <c r="BO556" s="243"/>
      <c r="BP556" s="241"/>
      <c r="BQ556" s="239"/>
      <c r="BR556" s="276"/>
      <c r="BS556" s="256"/>
      <c r="BT556" s="260"/>
      <c r="BU556" s="261"/>
      <c r="BV556" s="260"/>
      <c r="BW556" s="239"/>
      <c r="BX556" s="260"/>
      <c r="BY556" s="260"/>
      <c r="BZ556" s="239"/>
      <c r="CA556" s="260"/>
      <c r="CB556" s="239"/>
      <c r="CC556" s="260"/>
      <c r="CD556" s="539"/>
      <c r="CE556" s="239"/>
      <c r="CF556" s="276"/>
      <c r="CG556" s="256"/>
      <c r="CH556" s="259"/>
      <c r="CI556" s="347"/>
      <c r="CJ556" s="540"/>
      <c r="CK556" s="256"/>
      <c r="CL556" s="244">
        <v>1</v>
      </c>
      <c r="CM556" s="274">
        <f t="shared" si="8"/>
        <v>2015</v>
      </c>
      <c r="CN556" s="244">
        <f>IF('Grille de saisie'!CM556&lt;18,0,IF('Grille de saisie'!CM556&lt;40,1,IF('Grille de saisie'!CM556&lt;65,2,IF('Grille de saisie'!CM556&lt;100,3,4))))</f>
        <v>4</v>
      </c>
      <c r="CO556" s="236">
        <f>IF(AND('Grille de saisie'!C556=1,'Grille de saisie'!BZ556=0),1,IF(AND('Grille de saisie'!C556="",'Grille de saisie'!BZ556=""),3,IF(AND('Grille de saisie'!C556=5),3,2)))</f>
        <v>3</v>
      </c>
      <c r="CP556" s="236">
        <f>IF(AND('Grille de saisie'!C556=1,'Grille de saisie'!BZ556=0),1,IF(AND('Grille de saisie'!C556=1,'Grille de saisie'!BZ556=1),2,IF(AND('Grille de saisie'!C556=2,'Grille de saisie'!BZ556=0),2,IF(AND('Grille de saisie'!C556=3,'Grille de saisie'!BZ556=0),3,IF(AND('Grille de saisie'!C556=2,'Grille de saisie'!BZ556=1),3,IF(AND('Grille de saisie'!C556=1,'Grille de saisie'!BZ556=2),3,IF(AND('Grille de saisie'!C556="",'Grille de saisie'!BZ556=""),5,IF(AND('Grille de saisie'!C556=5),5,4))))))))</f>
        <v>5</v>
      </c>
      <c r="CQ556" s="237">
        <f>IF('Grille de saisie'!BZ556="",3,IF('Grille de saisie'!C556=5,3,IF('Grille de saisie'!BZ556=0,1,2)))</f>
        <v>3</v>
      </c>
    </row>
    <row r="557" spans="1:95" ht="15">
      <c r="A557" s="510">
        <v>555</v>
      </c>
      <c r="B557" s="240"/>
      <c r="C557" s="513"/>
      <c r="D557" s="240"/>
      <c r="E557" s="517"/>
      <c r="F557" s="265"/>
      <c r="G557" s="513"/>
      <c r="H557" s="265"/>
      <c r="I557" s="520"/>
      <c r="J557" s="241"/>
      <c r="K557" s="520"/>
      <c r="L557" s="241"/>
      <c r="M557" s="521"/>
      <c r="N557" s="241"/>
      <c r="O557" s="521"/>
      <c r="P557" s="241"/>
      <c r="Q557" s="520"/>
      <c r="R557" s="241"/>
      <c r="S557" s="520"/>
      <c r="T557" s="241"/>
      <c r="U557" s="520"/>
      <c r="V557" s="241"/>
      <c r="W557" s="242"/>
      <c r="X557" s="241"/>
      <c r="Y557" s="242"/>
      <c r="Z557" s="241"/>
      <c r="AA557" s="241"/>
      <c r="AB557" s="275"/>
      <c r="AC557" s="524"/>
      <c r="AD557" s="241"/>
      <c r="AE557" s="241"/>
      <c r="AF557" s="241"/>
      <c r="AG557" s="241"/>
      <c r="AH557" s="241"/>
      <c r="AI557" s="241"/>
      <c r="AJ557" s="529"/>
      <c r="AK557" s="258"/>
      <c r="AL557" s="241"/>
      <c r="AM557" s="242"/>
      <c r="AN557" s="241"/>
      <c r="AO557" s="242"/>
      <c r="AP557" s="241"/>
      <c r="AQ557" s="242"/>
      <c r="AR557" s="241"/>
      <c r="AS557" s="242"/>
      <c r="AT557" s="241"/>
      <c r="AU557" s="241"/>
      <c r="AV557" s="256"/>
      <c r="AW557" s="241"/>
      <c r="AX557" s="256"/>
      <c r="AY557" s="241"/>
      <c r="AZ557" s="256"/>
      <c r="BA557" s="239"/>
      <c r="BB557" s="242"/>
      <c r="BC557" s="239"/>
      <c r="BD557" s="242"/>
      <c r="BE557" s="239"/>
      <c r="BF557" s="241"/>
      <c r="BG557" s="239"/>
      <c r="BH557" s="241"/>
      <c r="BI557" s="260"/>
      <c r="BJ557" s="241"/>
      <c r="BK557" s="260"/>
      <c r="BL557" s="239"/>
      <c r="BM557" s="256"/>
      <c r="BN557" s="241"/>
      <c r="BO557" s="243"/>
      <c r="BP557" s="241"/>
      <c r="BQ557" s="239"/>
      <c r="BR557" s="276"/>
      <c r="BS557" s="256"/>
      <c r="BT557" s="260"/>
      <c r="BU557" s="261"/>
      <c r="BV557" s="260"/>
      <c r="BW557" s="239"/>
      <c r="BX557" s="260"/>
      <c r="BY557" s="260"/>
      <c r="BZ557" s="239"/>
      <c r="CA557" s="260"/>
      <c r="CB557" s="239"/>
      <c r="CC557" s="260"/>
      <c r="CD557" s="539"/>
      <c r="CE557" s="239"/>
      <c r="CF557" s="276"/>
      <c r="CG557" s="256"/>
      <c r="CH557" s="259"/>
      <c r="CI557" s="347"/>
      <c r="CJ557" s="540"/>
      <c r="CK557" s="256"/>
      <c r="CL557" s="244">
        <v>1</v>
      </c>
      <c r="CM557" s="274">
        <f t="shared" si="8"/>
        <v>2015</v>
      </c>
      <c r="CN557" s="244">
        <f>IF('Grille de saisie'!CM557&lt;18,0,IF('Grille de saisie'!CM557&lt;40,1,IF('Grille de saisie'!CM557&lt;65,2,IF('Grille de saisie'!CM557&lt;100,3,4))))</f>
        <v>4</v>
      </c>
      <c r="CO557" s="236">
        <f>IF(AND('Grille de saisie'!C557=1,'Grille de saisie'!BZ557=0),1,IF(AND('Grille de saisie'!C557="",'Grille de saisie'!BZ557=""),3,IF(AND('Grille de saisie'!C557=5),3,2)))</f>
        <v>3</v>
      </c>
      <c r="CP557" s="236">
        <f>IF(AND('Grille de saisie'!C557=1,'Grille de saisie'!BZ557=0),1,IF(AND('Grille de saisie'!C557=1,'Grille de saisie'!BZ557=1),2,IF(AND('Grille de saisie'!C557=2,'Grille de saisie'!BZ557=0),2,IF(AND('Grille de saisie'!C557=3,'Grille de saisie'!BZ557=0),3,IF(AND('Grille de saisie'!C557=2,'Grille de saisie'!BZ557=1),3,IF(AND('Grille de saisie'!C557=1,'Grille de saisie'!BZ557=2),3,IF(AND('Grille de saisie'!C557="",'Grille de saisie'!BZ557=""),5,IF(AND('Grille de saisie'!C557=5),5,4))))))))</f>
        <v>5</v>
      </c>
      <c r="CQ557" s="237">
        <f>IF('Grille de saisie'!BZ557="",3,IF('Grille de saisie'!C557=5,3,IF('Grille de saisie'!BZ557=0,1,2)))</f>
        <v>3</v>
      </c>
    </row>
    <row r="558" spans="1:95" ht="15">
      <c r="A558" s="511">
        <v>556</v>
      </c>
      <c r="B558" s="240"/>
      <c r="C558" s="513"/>
      <c r="D558" s="240"/>
      <c r="E558" s="517"/>
      <c r="F558" s="265"/>
      <c r="G558" s="513"/>
      <c r="H558" s="265"/>
      <c r="I558" s="520"/>
      <c r="J558" s="241"/>
      <c r="K558" s="520"/>
      <c r="L558" s="241"/>
      <c r="M558" s="521"/>
      <c r="N558" s="241"/>
      <c r="O558" s="521"/>
      <c r="P558" s="241"/>
      <c r="Q558" s="520"/>
      <c r="R558" s="241"/>
      <c r="S558" s="520"/>
      <c r="T558" s="241"/>
      <c r="U558" s="520"/>
      <c r="V558" s="241"/>
      <c r="W558" s="242"/>
      <c r="X558" s="241"/>
      <c r="Y558" s="242"/>
      <c r="Z558" s="241"/>
      <c r="AA558" s="241"/>
      <c r="AB558" s="275"/>
      <c r="AC558" s="524"/>
      <c r="AD558" s="241"/>
      <c r="AE558" s="241"/>
      <c r="AF558" s="241"/>
      <c r="AG558" s="241"/>
      <c r="AH558" s="241"/>
      <c r="AI558" s="241"/>
      <c r="AJ558" s="529"/>
      <c r="AK558" s="258"/>
      <c r="AL558" s="241"/>
      <c r="AM558" s="242"/>
      <c r="AN558" s="241"/>
      <c r="AO558" s="242"/>
      <c r="AP558" s="241"/>
      <c r="AQ558" s="242"/>
      <c r="AR558" s="241"/>
      <c r="AS558" s="242"/>
      <c r="AT558" s="241"/>
      <c r="AU558" s="241"/>
      <c r="AV558" s="256"/>
      <c r="AW558" s="241"/>
      <c r="AX558" s="256"/>
      <c r="AY558" s="241"/>
      <c r="AZ558" s="256"/>
      <c r="BA558" s="239"/>
      <c r="BB558" s="242"/>
      <c r="BC558" s="239"/>
      <c r="BD558" s="242"/>
      <c r="BE558" s="239"/>
      <c r="BF558" s="241"/>
      <c r="BG558" s="239"/>
      <c r="BH558" s="241"/>
      <c r="BI558" s="260"/>
      <c r="BJ558" s="241"/>
      <c r="BK558" s="260"/>
      <c r="BL558" s="239"/>
      <c r="BM558" s="256"/>
      <c r="BN558" s="241"/>
      <c r="BO558" s="243"/>
      <c r="BP558" s="241"/>
      <c r="BQ558" s="239"/>
      <c r="BR558" s="276"/>
      <c r="BS558" s="256"/>
      <c r="BT558" s="260"/>
      <c r="BU558" s="261"/>
      <c r="BV558" s="260"/>
      <c r="BW558" s="239"/>
      <c r="BX558" s="260"/>
      <c r="BY558" s="260"/>
      <c r="BZ558" s="239"/>
      <c r="CA558" s="260"/>
      <c r="CB558" s="239"/>
      <c r="CC558" s="260"/>
      <c r="CD558" s="539"/>
      <c r="CE558" s="239"/>
      <c r="CF558" s="276"/>
      <c r="CG558" s="256"/>
      <c r="CH558" s="259"/>
      <c r="CI558" s="347"/>
      <c r="CJ558" s="540"/>
      <c r="CK558" s="256"/>
      <c r="CL558" s="244">
        <v>1</v>
      </c>
      <c r="CM558" s="274">
        <f t="shared" si="8"/>
        <v>2015</v>
      </c>
      <c r="CN558" s="244">
        <f>IF('Grille de saisie'!CM558&lt;18,0,IF('Grille de saisie'!CM558&lt;40,1,IF('Grille de saisie'!CM558&lt;65,2,IF('Grille de saisie'!CM558&lt;100,3,4))))</f>
        <v>4</v>
      </c>
      <c r="CO558" s="236">
        <f>IF(AND('Grille de saisie'!C558=1,'Grille de saisie'!BZ558=0),1,IF(AND('Grille de saisie'!C558="",'Grille de saisie'!BZ558=""),3,IF(AND('Grille de saisie'!C558=5),3,2)))</f>
        <v>3</v>
      </c>
      <c r="CP558" s="236">
        <f>IF(AND('Grille de saisie'!C558=1,'Grille de saisie'!BZ558=0),1,IF(AND('Grille de saisie'!C558=1,'Grille de saisie'!BZ558=1),2,IF(AND('Grille de saisie'!C558=2,'Grille de saisie'!BZ558=0),2,IF(AND('Grille de saisie'!C558=3,'Grille de saisie'!BZ558=0),3,IF(AND('Grille de saisie'!C558=2,'Grille de saisie'!BZ558=1),3,IF(AND('Grille de saisie'!C558=1,'Grille de saisie'!BZ558=2),3,IF(AND('Grille de saisie'!C558="",'Grille de saisie'!BZ558=""),5,IF(AND('Grille de saisie'!C558=5),5,4))))))))</f>
        <v>5</v>
      </c>
      <c r="CQ558" s="237">
        <f>IF('Grille de saisie'!BZ558="",3,IF('Grille de saisie'!C558=5,3,IF('Grille de saisie'!BZ558=0,1,2)))</f>
        <v>3</v>
      </c>
    </row>
    <row r="559" spans="1:95" ht="15">
      <c r="A559" s="510">
        <v>557</v>
      </c>
      <c r="B559" s="240"/>
      <c r="C559" s="513"/>
      <c r="D559" s="240"/>
      <c r="E559" s="517"/>
      <c r="F559" s="265"/>
      <c r="G559" s="513"/>
      <c r="H559" s="265"/>
      <c r="I559" s="520"/>
      <c r="J559" s="241"/>
      <c r="K559" s="520"/>
      <c r="L559" s="241"/>
      <c r="M559" s="521"/>
      <c r="N559" s="241"/>
      <c r="O559" s="521"/>
      <c r="P559" s="241"/>
      <c r="Q559" s="520"/>
      <c r="R559" s="241"/>
      <c r="S559" s="520"/>
      <c r="T559" s="241"/>
      <c r="U559" s="520"/>
      <c r="V559" s="241"/>
      <c r="W559" s="242"/>
      <c r="X559" s="241"/>
      <c r="Y559" s="242"/>
      <c r="Z559" s="241"/>
      <c r="AA559" s="241"/>
      <c r="AB559" s="275"/>
      <c r="AC559" s="524"/>
      <c r="AD559" s="241"/>
      <c r="AE559" s="241"/>
      <c r="AF559" s="241"/>
      <c r="AG559" s="241"/>
      <c r="AH559" s="241"/>
      <c r="AI559" s="241"/>
      <c r="AJ559" s="529"/>
      <c r="AK559" s="258"/>
      <c r="AL559" s="241"/>
      <c r="AM559" s="242"/>
      <c r="AN559" s="241"/>
      <c r="AO559" s="242"/>
      <c r="AP559" s="241"/>
      <c r="AQ559" s="242"/>
      <c r="AR559" s="241"/>
      <c r="AS559" s="242"/>
      <c r="AT559" s="241"/>
      <c r="AU559" s="241"/>
      <c r="AV559" s="256"/>
      <c r="AW559" s="241"/>
      <c r="AX559" s="256"/>
      <c r="AY559" s="241"/>
      <c r="AZ559" s="256"/>
      <c r="BA559" s="239"/>
      <c r="BB559" s="242"/>
      <c r="BC559" s="239"/>
      <c r="BD559" s="242"/>
      <c r="BE559" s="239"/>
      <c r="BF559" s="241"/>
      <c r="BG559" s="239"/>
      <c r="BH559" s="241"/>
      <c r="BI559" s="260"/>
      <c r="BJ559" s="241"/>
      <c r="BK559" s="260"/>
      <c r="BL559" s="239"/>
      <c r="BM559" s="256"/>
      <c r="BN559" s="241"/>
      <c r="BO559" s="243"/>
      <c r="BP559" s="241"/>
      <c r="BQ559" s="239"/>
      <c r="BR559" s="276"/>
      <c r="BS559" s="256"/>
      <c r="BT559" s="260"/>
      <c r="BU559" s="261"/>
      <c r="BV559" s="260"/>
      <c r="BW559" s="239"/>
      <c r="BX559" s="260"/>
      <c r="BY559" s="260"/>
      <c r="BZ559" s="239"/>
      <c r="CA559" s="260"/>
      <c r="CB559" s="239"/>
      <c r="CC559" s="260"/>
      <c r="CD559" s="539"/>
      <c r="CE559" s="239"/>
      <c r="CF559" s="276"/>
      <c r="CG559" s="256"/>
      <c r="CH559" s="259"/>
      <c r="CI559" s="347"/>
      <c r="CJ559" s="540"/>
      <c r="CK559" s="256"/>
      <c r="CL559" s="244">
        <v>1</v>
      </c>
      <c r="CM559" s="274">
        <f t="shared" si="8"/>
        <v>2015</v>
      </c>
      <c r="CN559" s="244">
        <f>IF('Grille de saisie'!CM559&lt;18,0,IF('Grille de saisie'!CM559&lt;40,1,IF('Grille de saisie'!CM559&lt;65,2,IF('Grille de saisie'!CM559&lt;100,3,4))))</f>
        <v>4</v>
      </c>
      <c r="CO559" s="236">
        <f>IF(AND('Grille de saisie'!C559=1,'Grille de saisie'!BZ559=0),1,IF(AND('Grille de saisie'!C559="",'Grille de saisie'!BZ559=""),3,IF(AND('Grille de saisie'!C559=5),3,2)))</f>
        <v>3</v>
      </c>
      <c r="CP559" s="236">
        <f>IF(AND('Grille de saisie'!C559=1,'Grille de saisie'!BZ559=0),1,IF(AND('Grille de saisie'!C559=1,'Grille de saisie'!BZ559=1),2,IF(AND('Grille de saisie'!C559=2,'Grille de saisie'!BZ559=0),2,IF(AND('Grille de saisie'!C559=3,'Grille de saisie'!BZ559=0),3,IF(AND('Grille de saisie'!C559=2,'Grille de saisie'!BZ559=1),3,IF(AND('Grille de saisie'!C559=1,'Grille de saisie'!BZ559=2),3,IF(AND('Grille de saisie'!C559="",'Grille de saisie'!BZ559=""),5,IF(AND('Grille de saisie'!C559=5),5,4))))))))</f>
        <v>5</v>
      </c>
      <c r="CQ559" s="237">
        <f>IF('Grille de saisie'!BZ559="",3,IF('Grille de saisie'!C559=5,3,IF('Grille de saisie'!BZ559=0,1,2)))</f>
        <v>3</v>
      </c>
    </row>
    <row r="560" spans="1:95" ht="15">
      <c r="A560" s="510">
        <v>558</v>
      </c>
      <c r="B560" s="240"/>
      <c r="C560" s="513"/>
      <c r="D560" s="240"/>
      <c r="E560" s="517"/>
      <c r="F560" s="265"/>
      <c r="G560" s="513"/>
      <c r="H560" s="265"/>
      <c r="I560" s="520"/>
      <c r="J560" s="241"/>
      <c r="K560" s="520"/>
      <c r="L560" s="241"/>
      <c r="M560" s="521"/>
      <c r="N560" s="241"/>
      <c r="O560" s="521"/>
      <c r="P560" s="241"/>
      <c r="Q560" s="520"/>
      <c r="R560" s="241"/>
      <c r="S560" s="520"/>
      <c r="T560" s="241"/>
      <c r="U560" s="520"/>
      <c r="V560" s="241"/>
      <c r="W560" s="242"/>
      <c r="X560" s="241"/>
      <c r="Y560" s="242"/>
      <c r="Z560" s="241"/>
      <c r="AA560" s="241"/>
      <c r="AB560" s="275"/>
      <c r="AC560" s="524"/>
      <c r="AD560" s="241"/>
      <c r="AE560" s="241"/>
      <c r="AF560" s="241"/>
      <c r="AG560" s="241"/>
      <c r="AH560" s="241"/>
      <c r="AI560" s="241"/>
      <c r="AJ560" s="529"/>
      <c r="AK560" s="258"/>
      <c r="AL560" s="241"/>
      <c r="AM560" s="242"/>
      <c r="AN560" s="241"/>
      <c r="AO560" s="242"/>
      <c r="AP560" s="241"/>
      <c r="AQ560" s="242"/>
      <c r="AR560" s="241"/>
      <c r="AS560" s="242"/>
      <c r="AT560" s="241"/>
      <c r="AU560" s="241"/>
      <c r="AV560" s="256"/>
      <c r="AW560" s="241"/>
      <c r="AX560" s="256"/>
      <c r="AY560" s="241"/>
      <c r="AZ560" s="256"/>
      <c r="BA560" s="239"/>
      <c r="BB560" s="242"/>
      <c r="BC560" s="239"/>
      <c r="BD560" s="242"/>
      <c r="BE560" s="239"/>
      <c r="BF560" s="241"/>
      <c r="BG560" s="239"/>
      <c r="BH560" s="241"/>
      <c r="BI560" s="260"/>
      <c r="BJ560" s="241"/>
      <c r="BK560" s="260"/>
      <c r="BL560" s="239"/>
      <c r="BM560" s="256"/>
      <c r="BN560" s="241"/>
      <c r="BO560" s="243"/>
      <c r="BP560" s="241"/>
      <c r="BQ560" s="239"/>
      <c r="BR560" s="276"/>
      <c r="BS560" s="256"/>
      <c r="BT560" s="260"/>
      <c r="BU560" s="261"/>
      <c r="BV560" s="260"/>
      <c r="BW560" s="239"/>
      <c r="BX560" s="260"/>
      <c r="BY560" s="260"/>
      <c r="BZ560" s="239"/>
      <c r="CA560" s="260"/>
      <c r="CB560" s="239"/>
      <c r="CC560" s="260"/>
      <c r="CD560" s="539"/>
      <c r="CE560" s="239"/>
      <c r="CF560" s="276"/>
      <c r="CG560" s="256"/>
      <c r="CH560" s="259"/>
      <c r="CI560" s="347"/>
      <c r="CJ560" s="540"/>
      <c r="CK560" s="256"/>
      <c r="CL560" s="244">
        <v>1</v>
      </c>
      <c r="CM560" s="274">
        <f t="shared" si="8"/>
        <v>2015</v>
      </c>
      <c r="CN560" s="244">
        <f>IF('Grille de saisie'!CM560&lt;18,0,IF('Grille de saisie'!CM560&lt;40,1,IF('Grille de saisie'!CM560&lt;65,2,IF('Grille de saisie'!CM560&lt;100,3,4))))</f>
        <v>4</v>
      </c>
      <c r="CO560" s="236">
        <f>IF(AND('Grille de saisie'!C560=1,'Grille de saisie'!BZ560=0),1,IF(AND('Grille de saisie'!C560="",'Grille de saisie'!BZ560=""),3,IF(AND('Grille de saisie'!C560=5),3,2)))</f>
        <v>3</v>
      </c>
      <c r="CP560" s="236">
        <f>IF(AND('Grille de saisie'!C560=1,'Grille de saisie'!BZ560=0),1,IF(AND('Grille de saisie'!C560=1,'Grille de saisie'!BZ560=1),2,IF(AND('Grille de saisie'!C560=2,'Grille de saisie'!BZ560=0),2,IF(AND('Grille de saisie'!C560=3,'Grille de saisie'!BZ560=0),3,IF(AND('Grille de saisie'!C560=2,'Grille de saisie'!BZ560=1),3,IF(AND('Grille de saisie'!C560=1,'Grille de saisie'!BZ560=2),3,IF(AND('Grille de saisie'!C560="",'Grille de saisie'!BZ560=""),5,IF(AND('Grille de saisie'!C560=5),5,4))))))))</f>
        <v>5</v>
      </c>
      <c r="CQ560" s="237">
        <f>IF('Grille de saisie'!BZ560="",3,IF('Grille de saisie'!C560=5,3,IF('Grille de saisie'!BZ560=0,1,2)))</f>
        <v>3</v>
      </c>
    </row>
    <row r="561" spans="1:95" ht="15">
      <c r="A561" s="511">
        <v>559</v>
      </c>
      <c r="B561" s="240"/>
      <c r="C561" s="513"/>
      <c r="D561" s="240"/>
      <c r="E561" s="517"/>
      <c r="F561" s="265"/>
      <c r="G561" s="513"/>
      <c r="H561" s="265"/>
      <c r="I561" s="520"/>
      <c r="J561" s="241"/>
      <c r="K561" s="520"/>
      <c r="L561" s="241"/>
      <c r="M561" s="521"/>
      <c r="N561" s="241"/>
      <c r="O561" s="521"/>
      <c r="P561" s="241"/>
      <c r="Q561" s="520"/>
      <c r="R561" s="241"/>
      <c r="S561" s="520"/>
      <c r="T561" s="241"/>
      <c r="U561" s="520"/>
      <c r="V561" s="241"/>
      <c r="W561" s="242"/>
      <c r="X561" s="241"/>
      <c r="Y561" s="242"/>
      <c r="Z561" s="241"/>
      <c r="AA561" s="241"/>
      <c r="AB561" s="275"/>
      <c r="AC561" s="524"/>
      <c r="AD561" s="241"/>
      <c r="AE561" s="241"/>
      <c r="AF561" s="241"/>
      <c r="AG561" s="241"/>
      <c r="AH561" s="241"/>
      <c r="AI561" s="241"/>
      <c r="AJ561" s="529"/>
      <c r="AK561" s="258"/>
      <c r="AL561" s="241"/>
      <c r="AM561" s="242"/>
      <c r="AN561" s="241"/>
      <c r="AO561" s="242"/>
      <c r="AP561" s="241"/>
      <c r="AQ561" s="242"/>
      <c r="AR561" s="241"/>
      <c r="AS561" s="242"/>
      <c r="AT561" s="241"/>
      <c r="AU561" s="241"/>
      <c r="AV561" s="256"/>
      <c r="AW561" s="241"/>
      <c r="AX561" s="256"/>
      <c r="AY561" s="241"/>
      <c r="AZ561" s="256"/>
      <c r="BA561" s="239"/>
      <c r="BB561" s="242"/>
      <c r="BC561" s="239"/>
      <c r="BD561" s="242"/>
      <c r="BE561" s="239"/>
      <c r="BF561" s="241"/>
      <c r="BG561" s="239"/>
      <c r="BH561" s="241"/>
      <c r="BI561" s="260"/>
      <c r="BJ561" s="241"/>
      <c r="BK561" s="260"/>
      <c r="BL561" s="239"/>
      <c r="BM561" s="256"/>
      <c r="BN561" s="241"/>
      <c r="BO561" s="243"/>
      <c r="BP561" s="241"/>
      <c r="BQ561" s="239"/>
      <c r="BR561" s="276"/>
      <c r="BS561" s="256"/>
      <c r="BT561" s="260"/>
      <c r="BU561" s="261"/>
      <c r="BV561" s="260"/>
      <c r="BW561" s="239"/>
      <c r="BX561" s="260"/>
      <c r="BY561" s="260"/>
      <c r="BZ561" s="239"/>
      <c r="CA561" s="260"/>
      <c r="CB561" s="239"/>
      <c r="CC561" s="260"/>
      <c r="CD561" s="539"/>
      <c r="CE561" s="239"/>
      <c r="CF561" s="276"/>
      <c r="CG561" s="256"/>
      <c r="CH561" s="259"/>
      <c r="CI561" s="347"/>
      <c r="CJ561" s="540"/>
      <c r="CK561" s="256"/>
      <c r="CL561" s="244">
        <v>1</v>
      </c>
      <c r="CM561" s="274">
        <f t="shared" si="8"/>
        <v>2015</v>
      </c>
      <c r="CN561" s="244">
        <f>IF('Grille de saisie'!CM561&lt;18,0,IF('Grille de saisie'!CM561&lt;40,1,IF('Grille de saisie'!CM561&lt;65,2,IF('Grille de saisie'!CM561&lt;100,3,4))))</f>
        <v>4</v>
      </c>
      <c r="CO561" s="236">
        <f>IF(AND('Grille de saisie'!C561=1,'Grille de saisie'!BZ561=0),1,IF(AND('Grille de saisie'!C561="",'Grille de saisie'!BZ561=""),3,IF(AND('Grille de saisie'!C561=5),3,2)))</f>
        <v>3</v>
      </c>
      <c r="CP561" s="236">
        <f>IF(AND('Grille de saisie'!C561=1,'Grille de saisie'!BZ561=0),1,IF(AND('Grille de saisie'!C561=1,'Grille de saisie'!BZ561=1),2,IF(AND('Grille de saisie'!C561=2,'Grille de saisie'!BZ561=0),2,IF(AND('Grille de saisie'!C561=3,'Grille de saisie'!BZ561=0),3,IF(AND('Grille de saisie'!C561=2,'Grille de saisie'!BZ561=1),3,IF(AND('Grille de saisie'!C561=1,'Grille de saisie'!BZ561=2),3,IF(AND('Grille de saisie'!C561="",'Grille de saisie'!BZ561=""),5,IF(AND('Grille de saisie'!C561=5),5,4))))))))</f>
        <v>5</v>
      </c>
      <c r="CQ561" s="237">
        <f>IF('Grille de saisie'!BZ561="",3,IF('Grille de saisie'!C561=5,3,IF('Grille de saisie'!BZ561=0,1,2)))</f>
        <v>3</v>
      </c>
    </row>
    <row r="562" spans="1:95" ht="15">
      <c r="A562" s="510">
        <v>560</v>
      </c>
      <c r="B562" s="240"/>
      <c r="C562" s="513"/>
      <c r="D562" s="240"/>
      <c r="E562" s="517"/>
      <c r="F562" s="265"/>
      <c r="G562" s="513"/>
      <c r="H562" s="265"/>
      <c r="I562" s="520"/>
      <c r="J562" s="241"/>
      <c r="K562" s="520"/>
      <c r="L562" s="241"/>
      <c r="M562" s="521"/>
      <c r="N562" s="241"/>
      <c r="O562" s="521"/>
      <c r="P562" s="241"/>
      <c r="Q562" s="520"/>
      <c r="R562" s="241"/>
      <c r="S562" s="520"/>
      <c r="T562" s="241"/>
      <c r="U562" s="520"/>
      <c r="V562" s="241"/>
      <c r="W562" s="242"/>
      <c r="X562" s="241"/>
      <c r="Y562" s="242"/>
      <c r="Z562" s="241"/>
      <c r="AA562" s="241"/>
      <c r="AB562" s="275"/>
      <c r="AC562" s="524"/>
      <c r="AD562" s="241"/>
      <c r="AE562" s="241"/>
      <c r="AF562" s="241"/>
      <c r="AG562" s="241"/>
      <c r="AH562" s="241"/>
      <c r="AI562" s="241"/>
      <c r="AJ562" s="529"/>
      <c r="AK562" s="258"/>
      <c r="AL562" s="241"/>
      <c r="AM562" s="242"/>
      <c r="AN562" s="241"/>
      <c r="AO562" s="242"/>
      <c r="AP562" s="241"/>
      <c r="AQ562" s="242"/>
      <c r="AR562" s="241"/>
      <c r="AS562" s="242"/>
      <c r="AT562" s="241"/>
      <c r="AU562" s="241"/>
      <c r="AV562" s="256"/>
      <c r="AW562" s="241"/>
      <c r="AX562" s="256"/>
      <c r="AY562" s="241"/>
      <c r="AZ562" s="256"/>
      <c r="BA562" s="239"/>
      <c r="BB562" s="242"/>
      <c r="BC562" s="239"/>
      <c r="BD562" s="242"/>
      <c r="BE562" s="239"/>
      <c r="BF562" s="241"/>
      <c r="BG562" s="239"/>
      <c r="BH562" s="241"/>
      <c r="BI562" s="260"/>
      <c r="BJ562" s="241"/>
      <c r="BK562" s="260"/>
      <c r="BL562" s="239"/>
      <c r="BM562" s="256"/>
      <c r="BN562" s="241"/>
      <c r="BO562" s="243"/>
      <c r="BP562" s="241"/>
      <c r="BQ562" s="239"/>
      <c r="BR562" s="276"/>
      <c r="BS562" s="256"/>
      <c r="BT562" s="260"/>
      <c r="BU562" s="261"/>
      <c r="BV562" s="260"/>
      <c r="BW562" s="239"/>
      <c r="BX562" s="260"/>
      <c r="BY562" s="260"/>
      <c r="BZ562" s="239"/>
      <c r="CA562" s="260"/>
      <c r="CB562" s="239"/>
      <c r="CC562" s="260"/>
      <c r="CD562" s="539"/>
      <c r="CE562" s="239"/>
      <c r="CF562" s="276"/>
      <c r="CG562" s="256"/>
      <c r="CH562" s="259"/>
      <c r="CI562" s="347"/>
      <c r="CJ562" s="540"/>
      <c r="CK562" s="256"/>
      <c r="CL562" s="244">
        <v>1</v>
      </c>
      <c r="CM562" s="274">
        <f t="shared" si="8"/>
        <v>2015</v>
      </c>
      <c r="CN562" s="244">
        <f>IF('Grille de saisie'!CM562&lt;18,0,IF('Grille de saisie'!CM562&lt;40,1,IF('Grille de saisie'!CM562&lt;65,2,IF('Grille de saisie'!CM562&lt;100,3,4))))</f>
        <v>4</v>
      </c>
      <c r="CO562" s="236">
        <f>IF(AND('Grille de saisie'!C562=1,'Grille de saisie'!BZ562=0),1,IF(AND('Grille de saisie'!C562="",'Grille de saisie'!BZ562=""),3,IF(AND('Grille de saisie'!C562=5),3,2)))</f>
        <v>3</v>
      </c>
      <c r="CP562" s="236">
        <f>IF(AND('Grille de saisie'!C562=1,'Grille de saisie'!BZ562=0),1,IF(AND('Grille de saisie'!C562=1,'Grille de saisie'!BZ562=1),2,IF(AND('Grille de saisie'!C562=2,'Grille de saisie'!BZ562=0),2,IF(AND('Grille de saisie'!C562=3,'Grille de saisie'!BZ562=0),3,IF(AND('Grille de saisie'!C562=2,'Grille de saisie'!BZ562=1),3,IF(AND('Grille de saisie'!C562=1,'Grille de saisie'!BZ562=2),3,IF(AND('Grille de saisie'!C562="",'Grille de saisie'!BZ562=""),5,IF(AND('Grille de saisie'!C562=5),5,4))))))))</f>
        <v>5</v>
      </c>
      <c r="CQ562" s="237">
        <f>IF('Grille de saisie'!BZ562="",3,IF('Grille de saisie'!C562=5,3,IF('Grille de saisie'!BZ562=0,1,2)))</f>
        <v>3</v>
      </c>
    </row>
    <row r="563" spans="1:95" ht="15">
      <c r="A563" s="510">
        <v>561</v>
      </c>
      <c r="B563" s="240"/>
      <c r="C563" s="513"/>
      <c r="D563" s="240"/>
      <c r="E563" s="517"/>
      <c r="F563" s="265"/>
      <c r="G563" s="513"/>
      <c r="H563" s="265"/>
      <c r="I563" s="520"/>
      <c r="J563" s="241"/>
      <c r="K563" s="520"/>
      <c r="L563" s="241"/>
      <c r="M563" s="521"/>
      <c r="N563" s="241"/>
      <c r="O563" s="521"/>
      <c r="P563" s="241"/>
      <c r="Q563" s="520"/>
      <c r="R563" s="241"/>
      <c r="S563" s="520"/>
      <c r="T563" s="241"/>
      <c r="U563" s="520"/>
      <c r="V563" s="241"/>
      <c r="W563" s="242"/>
      <c r="X563" s="241"/>
      <c r="Y563" s="242"/>
      <c r="Z563" s="241"/>
      <c r="AA563" s="241"/>
      <c r="AB563" s="275"/>
      <c r="AC563" s="524"/>
      <c r="AD563" s="241"/>
      <c r="AE563" s="241"/>
      <c r="AF563" s="241"/>
      <c r="AG563" s="241"/>
      <c r="AH563" s="241"/>
      <c r="AI563" s="241"/>
      <c r="AJ563" s="529"/>
      <c r="AK563" s="258"/>
      <c r="AL563" s="241"/>
      <c r="AM563" s="242"/>
      <c r="AN563" s="241"/>
      <c r="AO563" s="242"/>
      <c r="AP563" s="241"/>
      <c r="AQ563" s="242"/>
      <c r="AR563" s="241"/>
      <c r="AS563" s="242"/>
      <c r="AT563" s="241"/>
      <c r="AU563" s="241"/>
      <c r="AV563" s="256"/>
      <c r="AW563" s="241"/>
      <c r="AX563" s="256"/>
      <c r="AY563" s="241"/>
      <c r="AZ563" s="256"/>
      <c r="BA563" s="239"/>
      <c r="BB563" s="242"/>
      <c r="BC563" s="239"/>
      <c r="BD563" s="242"/>
      <c r="BE563" s="239"/>
      <c r="BF563" s="241"/>
      <c r="BG563" s="239"/>
      <c r="BH563" s="241"/>
      <c r="BI563" s="260"/>
      <c r="BJ563" s="241"/>
      <c r="BK563" s="260"/>
      <c r="BL563" s="239"/>
      <c r="BM563" s="256"/>
      <c r="BN563" s="241"/>
      <c r="BO563" s="243"/>
      <c r="BP563" s="241"/>
      <c r="BQ563" s="239"/>
      <c r="BR563" s="276"/>
      <c r="BS563" s="256"/>
      <c r="BT563" s="260"/>
      <c r="BU563" s="261"/>
      <c r="BV563" s="260"/>
      <c r="BW563" s="239"/>
      <c r="BX563" s="260"/>
      <c r="BY563" s="260"/>
      <c r="BZ563" s="239"/>
      <c r="CA563" s="260"/>
      <c r="CB563" s="239"/>
      <c r="CC563" s="260"/>
      <c r="CD563" s="539"/>
      <c r="CE563" s="239"/>
      <c r="CF563" s="276"/>
      <c r="CG563" s="256"/>
      <c r="CH563" s="259"/>
      <c r="CI563" s="347"/>
      <c r="CJ563" s="540"/>
      <c r="CK563" s="256"/>
      <c r="CL563" s="244">
        <v>1</v>
      </c>
      <c r="CM563" s="274">
        <f t="shared" si="8"/>
        <v>2015</v>
      </c>
      <c r="CN563" s="244">
        <f>IF('Grille de saisie'!CM563&lt;18,0,IF('Grille de saisie'!CM563&lt;40,1,IF('Grille de saisie'!CM563&lt;65,2,IF('Grille de saisie'!CM563&lt;100,3,4))))</f>
        <v>4</v>
      </c>
      <c r="CO563" s="236">
        <f>IF(AND('Grille de saisie'!C563=1,'Grille de saisie'!BZ563=0),1,IF(AND('Grille de saisie'!C563="",'Grille de saisie'!BZ563=""),3,IF(AND('Grille de saisie'!C563=5),3,2)))</f>
        <v>3</v>
      </c>
      <c r="CP563" s="236">
        <f>IF(AND('Grille de saisie'!C563=1,'Grille de saisie'!BZ563=0),1,IF(AND('Grille de saisie'!C563=1,'Grille de saisie'!BZ563=1),2,IF(AND('Grille de saisie'!C563=2,'Grille de saisie'!BZ563=0),2,IF(AND('Grille de saisie'!C563=3,'Grille de saisie'!BZ563=0),3,IF(AND('Grille de saisie'!C563=2,'Grille de saisie'!BZ563=1),3,IF(AND('Grille de saisie'!C563=1,'Grille de saisie'!BZ563=2),3,IF(AND('Grille de saisie'!C563="",'Grille de saisie'!BZ563=""),5,IF(AND('Grille de saisie'!C563=5),5,4))))))))</f>
        <v>5</v>
      </c>
      <c r="CQ563" s="237">
        <f>IF('Grille de saisie'!BZ563="",3,IF('Grille de saisie'!C563=5,3,IF('Grille de saisie'!BZ563=0,1,2)))</f>
        <v>3</v>
      </c>
    </row>
    <row r="564" spans="1:95" ht="15">
      <c r="A564" s="511">
        <v>562</v>
      </c>
      <c r="B564" s="240"/>
      <c r="C564" s="513"/>
      <c r="D564" s="240"/>
      <c r="E564" s="517"/>
      <c r="F564" s="265"/>
      <c r="G564" s="513"/>
      <c r="H564" s="265"/>
      <c r="I564" s="520"/>
      <c r="J564" s="241"/>
      <c r="K564" s="520"/>
      <c r="L564" s="241"/>
      <c r="M564" s="521"/>
      <c r="N564" s="241"/>
      <c r="O564" s="521"/>
      <c r="P564" s="241"/>
      <c r="Q564" s="520"/>
      <c r="R564" s="241"/>
      <c r="S564" s="520"/>
      <c r="T564" s="241"/>
      <c r="U564" s="520"/>
      <c r="V564" s="241"/>
      <c r="W564" s="242"/>
      <c r="X564" s="241"/>
      <c r="Y564" s="242"/>
      <c r="Z564" s="241"/>
      <c r="AA564" s="241"/>
      <c r="AB564" s="275"/>
      <c r="AC564" s="524"/>
      <c r="AD564" s="241"/>
      <c r="AE564" s="241"/>
      <c r="AF564" s="241"/>
      <c r="AG564" s="241"/>
      <c r="AH564" s="241"/>
      <c r="AI564" s="241"/>
      <c r="AJ564" s="529"/>
      <c r="AK564" s="258"/>
      <c r="AL564" s="241"/>
      <c r="AM564" s="242"/>
      <c r="AN564" s="241"/>
      <c r="AO564" s="242"/>
      <c r="AP564" s="241"/>
      <c r="AQ564" s="242"/>
      <c r="AR564" s="241"/>
      <c r="AS564" s="242"/>
      <c r="AT564" s="241"/>
      <c r="AU564" s="241"/>
      <c r="AV564" s="256"/>
      <c r="AW564" s="241"/>
      <c r="AX564" s="256"/>
      <c r="AY564" s="241"/>
      <c r="AZ564" s="256"/>
      <c r="BA564" s="239"/>
      <c r="BB564" s="242"/>
      <c r="BC564" s="239"/>
      <c r="BD564" s="242"/>
      <c r="BE564" s="239"/>
      <c r="BF564" s="241"/>
      <c r="BG564" s="239"/>
      <c r="BH564" s="241"/>
      <c r="BI564" s="260"/>
      <c r="BJ564" s="241"/>
      <c r="BK564" s="260"/>
      <c r="BL564" s="239"/>
      <c r="BM564" s="256"/>
      <c r="BN564" s="241"/>
      <c r="BO564" s="243"/>
      <c r="BP564" s="241"/>
      <c r="BQ564" s="239"/>
      <c r="BR564" s="276"/>
      <c r="BS564" s="256"/>
      <c r="BT564" s="260"/>
      <c r="BU564" s="261"/>
      <c r="BV564" s="260"/>
      <c r="BW564" s="239"/>
      <c r="BX564" s="260"/>
      <c r="BY564" s="260"/>
      <c r="BZ564" s="239"/>
      <c r="CA564" s="260"/>
      <c r="CB564" s="239"/>
      <c r="CC564" s="260"/>
      <c r="CD564" s="539"/>
      <c r="CE564" s="239"/>
      <c r="CF564" s="276"/>
      <c r="CG564" s="256"/>
      <c r="CH564" s="259"/>
      <c r="CI564" s="347"/>
      <c r="CJ564" s="540"/>
      <c r="CK564" s="256"/>
      <c r="CL564" s="244">
        <v>1</v>
      </c>
      <c r="CM564" s="274">
        <f t="shared" si="8"/>
        <v>2015</v>
      </c>
      <c r="CN564" s="244">
        <f>IF('Grille de saisie'!CM564&lt;18,0,IF('Grille de saisie'!CM564&lt;40,1,IF('Grille de saisie'!CM564&lt;65,2,IF('Grille de saisie'!CM564&lt;100,3,4))))</f>
        <v>4</v>
      </c>
      <c r="CO564" s="236">
        <f>IF(AND('Grille de saisie'!C564=1,'Grille de saisie'!BZ564=0),1,IF(AND('Grille de saisie'!C564="",'Grille de saisie'!BZ564=""),3,IF(AND('Grille de saisie'!C564=5),3,2)))</f>
        <v>3</v>
      </c>
      <c r="CP564" s="236">
        <f>IF(AND('Grille de saisie'!C564=1,'Grille de saisie'!BZ564=0),1,IF(AND('Grille de saisie'!C564=1,'Grille de saisie'!BZ564=1),2,IF(AND('Grille de saisie'!C564=2,'Grille de saisie'!BZ564=0),2,IF(AND('Grille de saisie'!C564=3,'Grille de saisie'!BZ564=0),3,IF(AND('Grille de saisie'!C564=2,'Grille de saisie'!BZ564=1),3,IF(AND('Grille de saisie'!C564=1,'Grille de saisie'!BZ564=2),3,IF(AND('Grille de saisie'!C564="",'Grille de saisie'!BZ564=""),5,IF(AND('Grille de saisie'!C564=5),5,4))))))))</f>
        <v>5</v>
      </c>
      <c r="CQ564" s="237">
        <f>IF('Grille de saisie'!BZ564="",3,IF('Grille de saisie'!C564=5,3,IF('Grille de saisie'!BZ564=0,1,2)))</f>
        <v>3</v>
      </c>
    </row>
    <row r="565" spans="1:95" ht="15">
      <c r="A565" s="510">
        <v>563</v>
      </c>
      <c r="B565" s="240"/>
      <c r="C565" s="513"/>
      <c r="D565" s="240"/>
      <c r="E565" s="517"/>
      <c r="F565" s="265"/>
      <c r="G565" s="513"/>
      <c r="H565" s="265"/>
      <c r="I565" s="520"/>
      <c r="J565" s="241"/>
      <c r="K565" s="520"/>
      <c r="L565" s="241"/>
      <c r="M565" s="521"/>
      <c r="N565" s="241"/>
      <c r="O565" s="521"/>
      <c r="P565" s="241"/>
      <c r="Q565" s="520"/>
      <c r="R565" s="241"/>
      <c r="S565" s="520"/>
      <c r="T565" s="241"/>
      <c r="U565" s="520"/>
      <c r="V565" s="241"/>
      <c r="W565" s="242"/>
      <c r="X565" s="241"/>
      <c r="Y565" s="242"/>
      <c r="Z565" s="241"/>
      <c r="AA565" s="241"/>
      <c r="AB565" s="275"/>
      <c r="AC565" s="524"/>
      <c r="AD565" s="241"/>
      <c r="AE565" s="241"/>
      <c r="AF565" s="241"/>
      <c r="AG565" s="241"/>
      <c r="AH565" s="241"/>
      <c r="AI565" s="241"/>
      <c r="AJ565" s="529"/>
      <c r="AK565" s="258"/>
      <c r="AL565" s="241"/>
      <c r="AM565" s="242"/>
      <c r="AN565" s="241"/>
      <c r="AO565" s="242"/>
      <c r="AP565" s="241"/>
      <c r="AQ565" s="242"/>
      <c r="AR565" s="241"/>
      <c r="AS565" s="242"/>
      <c r="AT565" s="241"/>
      <c r="AU565" s="241"/>
      <c r="AV565" s="256"/>
      <c r="AW565" s="241"/>
      <c r="AX565" s="256"/>
      <c r="AY565" s="241"/>
      <c r="AZ565" s="256"/>
      <c r="BA565" s="239"/>
      <c r="BB565" s="242"/>
      <c r="BC565" s="239"/>
      <c r="BD565" s="242"/>
      <c r="BE565" s="239"/>
      <c r="BF565" s="241"/>
      <c r="BG565" s="239"/>
      <c r="BH565" s="241"/>
      <c r="BI565" s="260"/>
      <c r="BJ565" s="241"/>
      <c r="BK565" s="260"/>
      <c r="BL565" s="239"/>
      <c r="BM565" s="256"/>
      <c r="BN565" s="241"/>
      <c r="BO565" s="243"/>
      <c r="BP565" s="241"/>
      <c r="BQ565" s="239"/>
      <c r="BR565" s="276"/>
      <c r="BS565" s="256"/>
      <c r="BT565" s="260"/>
      <c r="BU565" s="261"/>
      <c r="BV565" s="260"/>
      <c r="BW565" s="239"/>
      <c r="BX565" s="260"/>
      <c r="BY565" s="260"/>
      <c r="BZ565" s="239"/>
      <c r="CA565" s="260"/>
      <c r="CB565" s="239"/>
      <c r="CC565" s="260"/>
      <c r="CD565" s="539"/>
      <c r="CE565" s="239"/>
      <c r="CF565" s="276"/>
      <c r="CG565" s="256"/>
      <c r="CH565" s="259"/>
      <c r="CI565" s="347"/>
      <c r="CJ565" s="540"/>
      <c r="CK565" s="256"/>
      <c r="CL565" s="244">
        <v>1</v>
      </c>
      <c r="CM565" s="274">
        <f t="shared" si="8"/>
        <v>2015</v>
      </c>
      <c r="CN565" s="244">
        <f>IF('Grille de saisie'!CM565&lt;18,0,IF('Grille de saisie'!CM565&lt;40,1,IF('Grille de saisie'!CM565&lt;65,2,IF('Grille de saisie'!CM565&lt;100,3,4))))</f>
        <v>4</v>
      </c>
      <c r="CO565" s="236">
        <f>IF(AND('Grille de saisie'!C565=1,'Grille de saisie'!BZ565=0),1,IF(AND('Grille de saisie'!C565="",'Grille de saisie'!BZ565=""),3,IF(AND('Grille de saisie'!C565=5),3,2)))</f>
        <v>3</v>
      </c>
      <c r="CP565" s="236">
        <f>IF(AND('Grille de saisie'!C565=1,'Grille de saisie'!BZ565=0),1,IF(AND('Grille de saisie'!C565=1,'Grille de saisie'!BZ565=1),2,IF(AND('Grille de saisie'!C565=2,'Grille de saisie'!BZ565=0),2,IF(AND('Grille de saisie'!C565=3,'Grille de saisie'!BZ565=0),3,IF(AND('Grille de saisie'!C565=2,'Grille de saisie'!BZ565=1),3,IF(AND('Grille de saisie'!C565=1,'Grille de saisie'!BZ565=2),3,IF(AND('Grille de saisie'!C565="",'Grille de saisie'!BZ565=""),5,IF(AND('Grille de saisie'!C565=5),5,4))))))))</f>
        <v>5</v>
      </c>
      <c r="CQ565" s="237">
        <f>IF('Grille de saisie'!BZ565="",3,IF('Grille de saisie'!C565=5,3,IF('Grille de saisie'!BZ565=0,1,2)))</f>
        <v>3</v>
      </c>
    </row>
    <row r="566" spans="1:95" ht="15">
      <c r="A566" s="510">
        <v>564</v>
      </c>
      <c r="B566" s="240"/>
      <c r="C566" s="513"/>
      <c r="D566" s="240"/>
      <c r="E566" s="517"/>
      <c r="F566" s="265"/>
      <c r="G566" s="513"/>
      <c r="H566" s="265"/>
      <c r="I566" s="520"/>
      <c r="J566" s="241"/>
      <c r="K566" s="520"/>
      <c r="L566" s="241"/>
      <c r="M566" s="521"/>
      <c r="N566" s="241"/>
      <c r="O566" s="521"/>
      <c r="P566" s="241"/>
      <c r="Q566" s="520"/>
      <c r="R566" s="241"/>
      <c r="S566" s="520"/>
      <c r="T566" s="241"/>
      <c r="U566" s="520"/>
      <c r="V566" s="241"/>
      <c r="W566" s="242"/>
      <c r="X566" s="241"/>
      <c r="Y566" s="242"/>
      <c r="Z566" s="241"/>
      <c r="AA566" s="241"/>
      <c r="AB566" s="275"/>
      <c r="AC566" s="524"/>
      <c r="AD566" s="241"/>
      <c r="AE566" s="241"/>
      <c r="AF566" s="241"/>
      <c r="AG566" s="241"/>
      <c r="AH566" s="241"/>
      <c r="AI566" s="241"/>
      <c r="AJ566" s="529"/>
      <c r="AK566" s="258"/>
      <c r="AL566" s="241"/>
      <c r="AM566" s="242"/>
      <c r="AN566" s="241"/>
      <c r="AO566" s="242"/>
      <c r="AP566" s="241"/>
      <c r="AQ566" s="242"/>
      <c r="AR566" s="241"/>
      <c r="AS566" s="242"/>
      <c r="AT566" s="241"/>
      <c r="AU566" s="241"/>
      <c r="AV566" s="256"/>
      <c r="AW566" s="241"/>
      <c r="AX566" s="256"/>
      <c r="AY566" s="241"/>
      <c r="AZ566" s="256"/>
      <c r="BA566" s="239"/>
      <c r="BB566" s="242"/>
      <c r="BC566" s="239"/>
      <c r="BD566" s="242"/>
      <c r="BE566" s="239"/>
      <c r="BF566" s="241"/>
      <c r="BG566" s="239"/>
      <c r="BH566" s="241"/>
      <c r="BI566" s="260"/>
      <c r="BJ566" s="241"/>
      <c r="BK566" s="260"/>
      <c r="BL566" s="239"/>
      <c r="BM566" s="256"/>
      <c r="BN566" s="241"/>
      <c r="BO566" s="243"/>
      <c r="BP566" s="241"/>
      <c r="BQ566" s="239"/>
      <c r="BR566" s="276"/>
      <c r="BS566" s="256"/>
      <c r="BT566" s="260"/>
      <c r="BU566" s="261"/>
      <c r="BV566" s="260"/>
      <c r="BW566" s="239"/>
      <c r="BX566" s="260"/>
      <c r="BY566" s="260"/>
      <c r="BZ566" s="239"/>
      <c r="CA566" s="260"/>
      <c r="CB566" s="239"/>
      <c r="CC566" s="260"/>
      <c r="CD566" s="539"/>
      <c r="CE566" s="239"/>
      <c r="CF566" s="276"/>
      <c r="CG566" s="256"/>
      <c r="CH566" s="259"/>
      <c r="CI566" s="347"/>
      <c r="CJ566" s="540"/>
      <c r="CK566" s="256"/>
      <c r="CL566" s="244">
        <v>1</v>
      </c>
      <c r="CM566" s="274">
        <f t="shared" si="8"/>
        <v>2015</v>
      </c>
      <c r="CN566" s="244">
        <f>IF('Grille de saisie'!CM566&lt;18,0,IF('Grille de saisie'!CM566&lt;40,1,IF('Grille de saisie'!CM566&lt;65,2,IF('Grille de saisie'!CM566&lt;100,3,4))))</f>
        <v>4</v>
      </c>
      <c r="CO566" s="236">
        <f>IF(AND('Grille de saisie'!C566=1,'Grille de saisie'!BZ566=0),1,IF(AND('Grille de saisie'!C566="",'Grille de saisie'!BZ566=""),3,IF(AND('Grille de saisie'!C566=5),3,2)))</f>
        <v>3</v>
      </c>
      <c r="CP566" s="236">
        <f>IF(AND('Grille de saisie'!C566=1,'Grille de saisie'!BZ566=0),1,IF(AND('Grille de saisie'!C566=1,'Grille de saisie'!BZ566=1),2,IF(AND('Grille de saisie'!C566=2,'Grille de saisie'!BZ566=0),2,IF(AND('Grille de saisie'!C566=3,'Grille de saisie'!BZ566=0),3,IF(AND('Grille de saisie'!C566=2,'Grille de saisie'!BZ566=1),3,IF(AND('Grille de saisie'!C566=1,'Grille de saisie'!BZ566=2),3,IF(AND('Grille de saisie'!C566="",'Grille de saisie'!BZ566=""),5,IF(AND('Grille de saisie'!C566=5),5,4))))))))</f>
        <v>5</v>
      </c>
      <c r="CQ566" s="237">
        <f>IF('Grille de saisie'!BZ566="",3,IF('Grille de saisie'!C566=5,3,IF('Grille de saisie'!BZ566=0,1,2)))</f>
        <v>3</v>
      </c>
    </row>
    <row r="567" spans="1:95" ht="15">
      <c r="A567" s="511">
        <v>565</v>
      </c>
      <c r="B567" s="240"/>
      <c r="C567" s="513"/>
      <c r="D567" s="240"/>
      <c r="E567" s="517"/>
      <c r="F567" s="265"/>
      <c r="G567" s="513"/>
      <c r="H567" s="265"/>
      <c r="I567" s="520"/>
      <c r="J567" s="241"/>
      <c r="K567" s="520"/>
      <c r="L567" s="241"/>
      <c r="M567" s="521"/>
      <c r="N567" s="241"/>
      <c r="O567" s="521"/>
      <c r="P567" s="241"/>
      <c r="Q567" s="520"/>
      <c r="R567" s="241"/>
      <c r="S567" s="520"/>
      <c r="T567" s="241"/>
      <c r="U567" s="520"/>
      <c r="V567" s="241"/>
      <c r="W567" s="242"/>
      <c r="X567" s="241"/>
      <c r="Y567" s="242"/>
      <c r="Z567" s="241"/>
      <c r="AA567" s="241"/>
      <c r="AB567" s="275"/>
      <c r="AC567" s="524"/>
      <c r="AD567" s="241"/>
      <c r="AE567" s="241"/>
      <c r="AF567" s="241"/>
      <c r="AG567" s="241"/>
      <c r="AH567" s="241"/>
      <c r="AI567" s="241"/>
      <c r="AJ567" s="529"/>
      <c r="AK567" s="258"/>
      <c r="AL567" s="241"/>
      <c r="AM567" s="242"/>
      <c r="AN567" s="241"/>
      <c r="AO567" s="242"/>
      <c r="AP567" s="241"/>
      <c r="AQ567" s="242"/>
      <c r="AR567" s="241"/>
      <c r="AS567" s="242"/>
      <c r="AT567" s="241"/>
      <c r="AU567" s="241"/>
      <c r="AV567" s="256"/>
      <c r="AW567" s="241"/>
      <c r="AX567" s="256"/>
      <c r="AY567" s="241"/>
      <c r="AZ567" s="256"/>
      <c r="BA567" s="239"/>
      <c r="BB567" s="242"/>
      <c r="BC567" s="239"/>
      <c r="BD567" s="242"/>
      <c r="BE567" s="239"/>
      <c r="BF567" s="241"/>
      <c r="BG567" s="239"/>
      <c r="BH567" s="241"/>
      <c r="BI567" s="260"/>
      <c r="BJ567" s="241"/>
      <c r="BK567" s="260"/>
      <c r="BL567" s="239"/>
      <c r="BM567" s="256"/>
      <c r="BN567" s="241"/>
      <c r="BO567" s="243"/>
      <c r="BP567" s="241"/>
      <c r="BQ567" s="239"/>
      <c r="BR567" s="276"/>
      <c r="BS567" s="256"/>
      <c r="BT567" s="260"/>
      <c r="BU567" s="261"/>
      <c r="BV567" s="260"/>
      <c r="BW567" s="239"/>
      <c r="BX567" s="260"/>
      <c r="BY567" s="260"/>
      <c r="BZ567" s="239"/>
      <c r="CA567" s="260"/>
      <c r="CB567" s="239"/>
      <c r="CC567" s="260"/>
      <c r="CD567" s="539"/>
      <c r="CE567" s="239"/>
      <c r="CF567" s="276"/>
      <c r="CG567" s="256"/>
      <c r="CH567" s="259"/>
      <c r="CI567" s="347"/>
      <c r="CJ567" s="540"/>
      <c r="CK567" s="256"/>
      <c r="CL567" s="244">
        <v>1</v>
      </c>
      <c r="CM567" s="274">
        <f t="shared" si="8"/>
        <v>2015</v>
      </c>
      <c r="CN567" s="244">
        <f>IF('Grille de saisie'!CM567&lt;18,0,IF('Grille de saisie'!CM567&lt;40,1,IF('Grille de saisie'!CM567&lt;65,2,IF('Grille de saisie'!CM567&lt;100,3,4))))</f>
        <v>4</v>
      </c>
      <c r="CO567" s="236">
        <f>IF(AND('Grille de saisie'!C567=1,'Grille de saisie'!BZ567=0),1,IF(AND('Grille de saisie'!C567="",'Grille de saisie'!BZ567=""),3,IF(AND('Grille de saisie'!C567=5),3,2)))</f>
        <v>3</v>
      </c>
      <c r="CP567" s="236">
        <f>IF(AND('Grille de saisie'!C567=1,'Grille de saisie'!BZ567=0),1,IF(AND('Grille de saisie'!C567=1,'Grille de saisie'!BZ567=1),2,IF(AND('Grille de saisie'!C567=2,'Grille de saisie'!BZ567=0),2,IF(AND('Grille de saisie'!C567=3,'Grille de saisie'!BZ567=0),3,IF(AND('Grille de saisie'!C567=2,'Grille de saisie'!BZ567=1),3,IF(AND('Grille de saisie'!C567=1,'Grille de saisie'!BZ567=2),3,IF(AND('Grille de saisie'!C567="",'Grille de saisie'!BZ567=""),5,IF(AND('Grille de saisie'!C567=5),5,4))))))))</f>
        <v>5</v>
      </c>
      <c r="CQ567" s="237">
        <f>IF('Grille de saisie'!BZ567="",3,IF('Grille de saisie'!C567=5,3,IF('Grille de saisie'!BZ567=0,1,2)))</f>
        <v>3</v>
      </c>
    </row>
    <row r="568" spans="1:95" ht="15">
      <c r="A568" s="510">
        <v>566</v>
      </c>
      <c r="B568" s="240"/>
      <c r="C568" s="513"/>
      <c r="D568" s="240"/>
      <c r="E568" s="517"/>
      <c r="F568" s="265"/>
      <c r="G568" s="513"/>
      <c r="H568" s="265"/>
      <c r="I568" s="520"/>
      <c r="J568" s="241"/>
      <c r="K568" s="520"/>
      <c r="L568" s="241"/>
      <c r="M568" s="521"/>
      <c r="N568" s="241"/>
      <c r="O568" s="521"/>
      <c r="P568" s="241"/>
      <c r="Q568" s="520"/>
      <c r="R568" s="241"/>
      <c r="S568" s="520"/>
      <c r="T568" s="241"/>
      <c r="U568" s="520"/>
      <c r="V568" s="241"/>
      <c r="W568" s="242"/>
      <c r="X568" s="241"/>
      <c r="Y568" s="242"/>
      <c r="Z568" s="241"/>
      <c r="AA568" s="241"/>
      <c r="AB568" s="275"/>
      <c r="AC568" s="524"/>
      <c r="AD568" s="241"/>
      <c r="AE568" s="241"/>
      <c r="AF568" s="241"/>
      <c r="AG568" s="241"/>
      <c r="AH568" s="241"/>
      <c r="AI568" s="241"/>
      <c r="AJ568" s="529"/>
      <c r="AK568" s="258"/>
      <c r="AL568" s="241"/>
      <c r="AM568" s="242"/>
      <c r="AN568" s="241"/>
      <c r="AO568" s="242"/>
      <c r="AP568" s="241"/>
      <c r="AQ568" s="242"/>
      <c r="AR568" s="241"/>
      <c r="AS568" s="242"/>
      <c r="AT568" s="241"/>
      <c r="AU568" s="241"/>
      <c r="AV568" s="256"/>
      <c r="AW568" s="241"/>
      <c r="AX568" s="256"/>
      <c r="AY568" s="241"/>
      <c r="AZ568" s="256"/>
      <c r="BA568" s="239"/>
      <c r="BB568" s="242"/>
      <c r="BC568" s="239"/>
      <c r="BD568" s="242"/>
      <c r="BE568" s="239"/>
      <c r="BF568" s="241"/>
      <c r="BG568" s="239"/>
      <c r="BH568" s="241"/>
      <c r="BI568" s="260"/>
      <c r="BJ568" s="241"/>
      <c r="BK568" s="260"/>
      <c r="BL568" s="239"/>
      <c r="BM568" s="256"/>
      <c r="BN568" s="241"/>
      <c r="BO568" s="243"/>
      <c r="BP568" s="241"/>
      <c r="BQ568" s="239"/>
      <c r="BR568" s="276"/>
      <c r="BS568" s="256"/>
      <c r="BT568" s="260"/>
      <c r="BU568" s="261"/>
      <c r="BV568" s="260"/>
      <c r="BW568" s="239"/>
      <c r="BX568" s="260"/>
      <c r="BY568" s="260"/>
      <c r="BZ568" s="239"/>
      <c r="CA568" s="260"/>
      <c r="CB568" s="239"/>
      <c r="CC568" s="260"/>
      <c r="CD568" s="539"/>
      <c r="CE568" s="239"/>
      <c r="CF568" s="276"/>
      <c r="CG568" s="256"/>
      <c r="CH568" s="259"/>
      <c r="CI568" s="347"/>
      <c r="CJ568" s="540"/>
      <c r="CK568" s="256"/>
      <c r="CL568" s="244">
        <v>1</v>
      </c>
      <c r="CM568" s="274">
        <f t="shared" si="8"/>
        <v>2015</v>
      </c>
      <c r="CN568" s="244">
        <f>IF('Grille de saisie'!CM568&lt;18,0,IF('Grille de saisie'!CM568&lt;40,1,IF('Grille de saisie'!CM568&lt;65,2,IF('Grille de saisie'!CM568&lt;100,3,4))))</f>
        <v>4</v>
      </c>
      <c r="CO568" s="236">
        <f>IF(AND('Grille de saisie'!C568=1,'Grille de saisie'!BZ568=0),1,IF(AND('Grille de saisie'!C568="",'Grille de saisie'!BZ568=""),3,IF(AND('Grille de saisie'!C568=5),3,2)))</f>
        <v>3</v>
      </c>
      <c r="CP568" s="236">
        <f>IF(AND('Grille de saisie'!C568=1,'Grille de saisie'!BZ568=0),1,IF(AND('Grille de saisie'!C568=1,'Grille de saisie'!BZ568=1),2,IF(AND('Grille de saisie'!C568=2,'Grille de saisie'!BZ568=0),2,IF(AND('Grille de saisie'!C568=3,'Grille de saisie'!BZ568=0),3,IF(AND('Grille de saisie'!C568=2,'Grille de saisie'!BZ568=1),3,IF(AND('Grille de saisie'!C568=1,'Grille de saisie'!BZ568=2),3,IF(AND('Grille de saisie'!C568="",'Grille de saisie'!BZ568=""),5,IF(AND('Grille de saisie'!C568=5),5,4))))))))</f>
        <v>5</v>
      </c>
      <c r="CQ568" s="237">
        <f>IF('Grille de saisie'!BZ568="",3,IF('Grille de saisie'!C568=5,3,IF('Grille de saisie'!BZ568=0,1,2)))</f>
        <v>3</v>
      </c>
    </row>
    <row r="569" spans="1:95" ht="15">
      <c r="A569" s="510">
        <v>567</v>
      </c>
      <c r="B569" s="240"/>
      <c r="C569" s="513"/>
      <c r="D569" s="240"/>
      <c r="E569" s="517"/>
      <c r="F569" s="265"/>
      <c r="G569" s="513"/>
      <c r="H569" s="265"/>
      <c r="I569" s="520"/>
      <c r="J569" s="241"/>
      <c r="K569" s="520"/>
      <c r="L569" s="241"/>
      <c r="M569" s="521"/>
      <c r="N569" s="241"/>
      <c r="O569" s="521"/>
      <c r="P569" s="241"/>
      <c r="Q569" s="520"/>
      <c r="R569" s="241"/>
      <c r="S569" s="520"/>
      <c r="T569" s="241"/>
      <c r="U569" s="520"/>
      <c r="V569" s="241"/>
      <c r="W569" s="242"/>
      <c r="X569" s="241"/>
      <c r="Y569" s="242"/>
      <c r="Z569" s="241"/>
      <c r="AA569" s="241"/>
      <c r="AB569" s="275"/>
      <c r="AC569" s="524"/>
      <c r="AD569" s="241"/>
      <c r="AE569" s="241"/>
      <c r="AF569" s="241"/>
      <c r="AG569" s="241"/>
      <c r="AH569" s="241"/>
      <c r="AI569" s="241"/>
      <c r="AJ569" s="529"/>
      <c r="AK569" s="258"/>
      <c r="AL569" s="241"/>
      <c r="AM569" s="242"/>
      <c r="AN569" s="241"/>
      <c r="AO569" s="242"/>
      <c r="AP569" s="241"/>
      <c r="AQ569" s="242"/>
      <c r="AR569" s="241"/>
      <c r="AS569" s="242"/>
      <c r="AT569" s="241"/>
      <c r="AU569" s="241"/>
      <c r="AV569" s="256"/>
      <c r="AW569" s="241"/>
      <c r="AX569" s="256"/>
      <c r="AY569" s="241"/>
      <c r="AZ569" s="256"/>
      <c r="BA569" s="239"/>
      <c r="BB569" s="242"/>
      <c r="BC569" s="239"/>
      <c r="BD569" s="242"/>
      <c r="BE569" s="239"/>
      <c r="BF569" s="241"/>
      <c r="BG569" s="239"/>
      <c r="BH569" s="241"/>
      <c r="BI569" s="260"/>
      <c r="BJ569" s="241"/>
      <c r="BK569" s="260"/>
      <c r="BL569" s="239"/>
      <c r="BM569" s="256"/>
      <c r="BN569" s="241"/>
      <c r="BO569" s="243"/>
      <c r="BP569" s="241"/>
      <c r="BQ569" s="239"/>
      <c r="BR569" s="276"/>
      <c r="BS569" s="256"/>
      <c r="BT569" s="260"/>
      <c r="BU569" s="261"/>
      <c r="BV569" s="260"/>
      <c r="BW569" s="239"/>
      <c r="BX569" s="260"/>
      <c r="BY569" s="260"/>
      <c r="BZ569" s="239"/>
      <c r="CA569" s="260"/>
      <c r="CB569" s="239"/>
      <c r="CC569" s="260"/>
      <c r="CD569" s="539"/>
      <c r="CE569" s="239"/>
      <c r="CF569" s="276"/>
      <c r="CG569" s="256"/>
      <c r="CH569" s="259"/>
      <c r="CI569" s="347"/>
      <c r="CJ569" s="540"/>
      <c r="CK569" s="256"/>
      <c r="CL569" s="244">
        <v>1</v>
      </c>
      <c r="CM569" s="274">
        <f t="shared" si="8"/>
        <v>2015</v>
      </c>
      <c r="CN569" s="244">
        <f>IF('Grille de saisie'!CM569&lt;18,0,IF('Grille de saisie'!CM569&lt;40,1,IF('Grille de saisie'!CM569&lt;65,2,IF('Grille de saisie'!CM569&lt;100,3,4))))</f>
        <v>4</v>
      </c>
      <c r="CO569" s="236">
        <f>IF(AND('Grille de saisie'!C569=1,'Grille de saisie'!BZ569=0),1,IF(AND('Grille de saisie'!C569="",'Grille de saisie'!BZ569=""),3,IF(AND('Grille de saisie'!C569=5),3,2)))</f>
        <v>3</v>
      </c>
      <c r="CP569" s="236">
        <f>IF(AND('Grille de saisie'!C569=1,'Grille de saisie'!BZ569=0),1,IF(AND('Grille de saisie'!C569=1,'Grille de saisie'!BZ569=1),2,IF(AND('Grille de saisie'!C569=2,'Grille de saisie'!BZ569=0),2,IF(AND('Grille de saisie'!C569=3,'Grille de saisie'!BZ569=0),3,IF(AND('Grille de saisie'!C569=2,'Grille de saisie'!BZ569=1),3,IF(AND('Grille de saisie'!C569=1,'Grille de saisie'!BZ569=2),3,IF(AND('Grille de saisie'!C569="",'Grille de saisie'!BZ569=""),5,IF(AND('Grille de saisie'!C569=5),5,4))))))))</f>
        <v>5</v>
      </c>
      <c r="CQ569" s="237">
        <f>IF('Grille de saisie'!BZ569="",3,IF('Grille de saisie'!C569=5,3,IF('Grille de saisie'!BZ569=0,1,2)))</f>
        <v>3</v>
      </c>
    </row>
    <row r="570" spans="1:95" ht="15">
      <c r="A570" s="511">
        <v>568</v>
      </c>
      <c r="B570" s="240"/>
      <c r="C570" s="513"/>
      <c r="D570" s="240"/>
      <c r="E570" s="517"/>
      <c r="F570" s="265"/>
      <c r="G570" s="513"/>
      <c r="H570" s="265"/>
      <c r="I570" s="520"/>
      <c r="J570" s="241"/>
      <c r="K570" s="520"/>
      <c r="L570" s="241"/>
      <c r="M570" s="521"/>
      <c r="N570" s="241"/>
      <c r="O570" s="521"/>
      <c r="P570" s="241"/>
      <c r="Q570" s="520"/>
      <c r="R570" s="241"/>
      <c r="S570" s="520"/>
      <c r="T570" s="241"/>
      <c r="U570" s="520"/>
      <c r="V570" s="241"/>
      <c r="W570" s="242"/>
      <c r="X570" s="241"/>
      <c r="Y570" s="242"/>
      <c r="Z570" s="241"/>
      <c r="AA570" s="241"/>
      <c r="AB570" s="275"/>
      <c r="AC570" s="524"/>
      <c r="AD570" s="241"/>
      <c r="AE570" s="241"/>
      <c r="AF570" s="241"/>
      <c r="AG570" s="241"/>
      <c r="AH570" s="241"/>
      <c r="AI570" s="241"/>
      <c r="AJ570" s="529"/>
      <c r="AK570" s="258"/>
      <c r="AL570" s="241"/>
      <c r="AM570" s="242"/>
      <c r="AN570" s="241"/>
      <c r="AO570" s="242"/>
      <c r="AP570" s="241"/>
      <c r="AQ570" s="242"/>
      <c r="AR570" s="241"/>
      <c r="AS570" s="242"/>
      <c r="AT570" s="241"/>
      <c r="AU570" s="241"/>
      <c r="AV570" s="256"/>
      <c r="AW570" s="241"/>
      <c r="AX570" s="256"/>
      <c r="AY570" s="241"/>
      <c r="AZ570" s="256"/>
      <c r="BA570" s="239"/>
      <c r="BB570" s="242"/>
      <c r="BC570" s="239"/>
      <c r="BD570" s="242"/>
      <c r="BE570" s="239"/>
      <c r="BF570" s="241"/>
      <c r="BG570" s="239"/>
      <c r="BH570" s="241"/>
      <c r="BI570" s="260"/>
      <c r="BJ570" s="241"/>
      <c r="BK570" s="260"/>
      <c r="BL570" s="239"/>
      <c r="BM570" s="256"/>
      <c r="BN570" s="241"/>
      <c r="BO570" s="243"/>
      <c r="BP570" s="241"/>
      <c r="BQ570" s="239"/>
      <c r="BR570" s="276"/>
      <c r="BS570" s="256"/>
      <c r="BT570" s="260"/>
      <c r="BU570" s="261"/>
      <c r="BV570" s="260"/>
      <c r="BW570" s="239"/>
      <c r="BX570" s="260"/>
      <c r="BY570" s="260"/>
      <c r="BZ570" s="239"/>
      <c r="CA570" s="260"/>
      <c r="CB570" s="239"/>
      <c r="CC570" s="260"/>
      <c r="CD570" s="539"/>
      <c r="CE570" s="239"/>
      <c r="CF570" s="276"/>
      <c r="CG570" s="256"/>
      <c r="CH570" s="259"/>
      <c r="CI570" s="347"/>
      <c r="CJ570" s="540"/>
      <c r="CK570" s="256"/>
      <c r="CL570" s="244">
        <v>1</v>
      </c>
      <c r="CM570" s="274">
        <f t="shared" si="8"/>
        <v>2015</v>
      </c>
      <c r="CN570" s="244">
        <f>IF('Grille de saisie'!CM570&lt;18,0,IF('Grille de saisie'!CM570&lt;40,1,IF('Grille de saisie'!CM570&lt;65,2,IF('Grille de saisie'!CM570&lt;100,3,4))))</f>
        <v>4</v>
      </c>
      <c r="CO570" s="236">
        <f>IF(AND('Grille de saisie'!C570=1,'Grille de saisie'!BZ570=0),1,IF(AND('Grille de saisie'!C570="",'Grille de saisie'!BZ570=""),3,IF(AND('Grille de saisie'!C570=5),3,2)))</f>
        <v>3</v>
      </c>
      <c r="CP570" s="236">
        <f>IF(AND('Grille de saisie'!C570=1,'Grille de saisie'!BZ570=0),1,IF(AND('Grille de saisie'!C570=1,'Grille de saisie'!BZ570=1),2,IF(AND('Grille de saisie'!C570=2,'Grille de saisie'!BZ570=0),2,IF(AND('Grille de saisie'!C570=3,'Grille de saisie'!BZ570=0),3,IF(AND('Grille de saisie'!C570=2,'Grille de saisie'!BZ570=1),3,IF(AND('Grille de saisie'!C570=1,'Grille de saisie'!BZ570=2),3,IF(AND('Grille de saisie'!C570="",'Grille de saisie'!BZ570=""),5,IF(AND('Grille de saisie'!C570=5),5,4))))))))</f>
        <v>5</v>
      </c>
      <c r="CQ570" s="237">
        <f>IF('Grille de saisie'!BZ570="",3,IF('Grille de saisie'!C570=5,3,IF('Grille de saisie'!BZ570=0,1,2)))</f>
        <v>3</v>
      </c>
    </row>
    <row r="571" spans="1:95" ht="15">
      <c r="A571" s="510">
        <v>569</v>
      </c>
      <c r="B571" s="240"/>
      <c r="C571" s="513"/>
      <c r="D571" s="240"/>
      <c r="E571" s="517"/>
      <c r="F571" s="265"/>
      <c r="G571" s="513"/>
      <c r="H571" s="265"/>
      <c r="I571" s="520"/>
      <c r="J571" s="241"/>
      <c r="K571" s="520"/>
      <c r="L571" s="241"/>
      <c r="M571" s="521"/>
      <c r="N571" s="241"/>
      <c r="O571" s="521"/>
      <c r="P571" s="241"/>
      <c r="Q571" s="520"/>
      <c r="R571" s="241"/>
      <c r="S571" s="520"/>
      <c r="T571" s="241"/>
      <c r="U571" s="520"/>
      <c r="V571" s="241"/>
      <c r="W571" s="242"/>
      <c r="X571" s="241"/>
      <c r="Y571" s="242"/>
      <c r="Z571" s="241"/>
      <c r="AA571" s="241"/>
      <c r="AB571" s="275"/>
      <c r="AC571" s="524"/>
      <c r="AD571" s="241"/>
      <c r="AE571" s="241"/>
      <c r="AF571" s="241"/>
      <c r="AG571" s="241"/>
      <c r="AH571" s="241"/>
      <c r="AI571" s="241"/>
      <c r="AJ571" s="529"/>
      <c r="AK571" s="258"/>
      <c r="AL571" s="241"/>
      <c r="AM571" s="242"/>
      <c r="AN571" s="241"/>
      <c r="AO571" s="242"/>
      <c r="AP571" s="241"/>
      <c r="AQ571" s="242"/>
      <c r="AR571" s="241"/>
      <c r="AS571" s="242"/>
      <c r="AT571" s="241"/>
      <c r="AU571" s="241"/>
      <c r="AV571" s="256"/>
      <c r="AW571" s="241"/>
      <c r="AX571" s="256"/>
      <c r="AY571" s="241"/>
      <c r="AZ571" s="256"/>
      <c r="BA571" s="239"/>
      <c r="BB571" s="242"/>
      <c r="BC571" s="239"/>
      <c r="BD571" s="242"/>
      <c r="BE571" s="239"/>
      <c r="BF571" s="241"/>
      <c r="BG571" s="239"/>
      <c r="BH571" s="241"/>
      <c r="BI571" s="260"/>
      <c r="BJ571" s="241"/>
      <c r="BK571" s="260"/>
      <c r="BL571" s="239"/>
      <c r="BM571" s="256"/>
      <c r="BN571" s="241"/>
      <c r="BO571" s="243"/>
      <c r="BP571" s="241"/>
      <c r="BQ571" s="239"/>
      <c r="BR571" s="276"/>
      <c r="BS571" s="256"/>
      <c r="BT571" s="260"/>
      <c r="BU571" s="261"/>
      <c r="BV571" s="260"/>
      <c r="BW571" s="239"/>
      <c r="BX571" s="260"/>
      <c r="BY571" s="260"/>
      <c r="BZ571" s="239"/>
      <c r="CA571" s="260"/>
      <c r="CB571" s="239"/>
      <c r="CC571" s="260"/>
      <c r="CD571" s="539"/>
      <c r="CE571" s="239"/>
      <c r="CF571" s="276"/>
      <c r="CG571" s="256"/>
      <c r="CH571" s="259"/>
      <c r="CI571" s="347"/>
      <c r="CJ571" s="540"/>
      <c r="CK571" s="256"/>
      <c r="CL571" s="244">
        <v>1</v>
      </c>
      <c r="CM571" s="274">
        <f t="shared" si="8"/>
        <v>2015</v>
      </c>
      <c r="CN571" s="244">
        <f>IF('Grille de saisie'!CM571&lt;18,0,IF('Grille de saisie'!CM571&lt;40,1,IF('Grille de saisie'!CM571&lt;65,2,IF('Grille de saisie'!CM571&lt;100,3,4))))</f>
        <v>4</v>
      </c>
      <c r="CO571" s="236">
        <f>IF(AND('Grille de saisie'!C571=1,'Grille de saisie'!BZ571=0),1,IF(AND('Grille de saisie'!C571="",'Grille de saisie'!BZ571=""),3,IF(AND('Grille de saisie'!C571=5),3,2)))</f>
        <v>3</v>
      </c>
      <c r="CP571" s="236">
        <f>IF(AND('Grille de saisie'!C571=1,'Grille de saisie'!BZ571=0),1,IF(AND('Grille de saisie'!C571=1,'Grille de saisie'!BZ571=1),2,IF(AND('Grille de saisie'!C571=2,'Grille de saisie'!BZ571=0),2,IF(AND('Grille de saisie'!C571=3,'Grille de saisie'!BZ571=0),3,IF(AND('Grille de saisie'!C571=2,'Grille de saisie'!BZ571=1),3,IF(AND('Grille de saisie'!C571=1,'Grille de saisie'!BZ571=2),3,IF(AND('Grille de saisie'!C571="",'Grille de saisie'!BZ571=""),5,IF(AND('Grille de saisie'!C571=5),5,4))))))))</f>
        <v>5</v>
      </c>
      <c r="CQ571" s="237">
        <f>IF('Grille de saisie'!BZ571="",3,IF('Grille de saisie'!C571=5,3,IF('Grille de saisie'!BZ571=0,1,2)))</f>
        <v>3</v>
      </c>
    </row>
    <row r="572" spans="1:95" ht="15">
      <c r="A572" s="510">
        <v>570</v>
      </c>
      <c r="B572" s="240"/>
      <c r="C572" s="513"/>
      <c r="D572" s="240"/>
      <c r="E572" s="517"/>
      <c r="F572" s="265"/>
      <c r="G572" s="513"/>
      <c r="H572" s="265"/>
      <c r="I572" s="520"/>
      <c r="J572" s="241"/>
      <c r="K572" s="520"/>
      <c r="L572" s="241"/>
      <c r="M572" s="521"/>
      <c r="N572" s="241"/>
      <c r="O572" s="521"/>
      <c r="P572" s="241"/>
      <c r="Q572" s="520"/>
      <c r="R572" s="241"/>
      <c r="S572" s="520"/>
      <c r="T572" s="241"/>
      <c r="U572" s="520"/>
      <c r="V572" s="241"/>
      <c r="W572" s="242"/>
      <c r="X572" s="241"/>
      <c r="Y572" s="242"/>
      <c r="Z572" s="241"/>
      <c r="AA572" s="241"/>
      <c r="AB572" s="275"/>
      <c r="AC572" s="524"/>
      <c r="AD572" s="241"/>
      <c r="AE572" s="241"/>
      <c r="AF572" s="241"/>
      <c r="AG572" s="241"/>
      <c r="AH572" s="241"/>
      <c r="AI572" s="241"/>
      <c r="AJ572" s="529"/>
      <c r="AK572" s="258"/>
      <c r="AL572" s="241"/>
      <c r="AM572" s="242"/>
      <c r="AN572" s="241"/>
      <c r="AO572" s="242"/>
      <c r="AP572" s="241"/>
      <c r="AQ572" s="242"/>
      <c r="AR572" s="241"/>
      <c r="AS572" s="242"/>
      <c r="AT572" s="241"/>
      <c r="AU572" s="241"/>
      <c r="AV572" s="256"/>
      <c r="AW572" s="241"/>
      <c r="AX572" s="256"/>
      <c r="AY572" s="241"/>
      <c r="AZ572" s="256"/>
      <c r="BA572" s="239"/>
      <c r="BB572" s="242"/>
      <c r="BC572" s="239"/>
      <c r="BD572" s="242"/>
      <c r="BE572" s="239"/>
      <c r="BF572" s="241"/>
      <c r="BG572" s="239"/>
      <c r="BH572" s="241"/>
      <c r="BI572" s="260"/>
      <c r="BJ572" s="241"/>
      <c r="BK572" s="260"/>
      <c r="BL572" s="239"/>
      <c r="BM572" s="256"/>
      <c r="BN572" s="241"/>
      <c r="BO572" s="243"/>
      <c r="BP572" s="241"/>
      <c r="BQ572" s="239"/>
      <c r="BR572" s="276"/>
      <c r="BS572" s="256"/>
      <c r="BT572" s="260"/>
      <c r="BU572" s="261"/>
      <c r="BV572" s="260"/>
      <c r="BW572" s="239"/>
      <c r="BX572" s="260"/>
      <c r="BY572" s="260"/>
      <c r="BZ572" s="239"/>
      <c r="CA572" s="260"/>
      <c r="CB572" s="239"/>
      <c r="CC572" s="260"/>
      <c r="CD572" s="539"/>
      <c r="CE572" s="239"/>
      <c r="CF572" s="276"/>
      <c r="CG572" s="256"/>
      <c r="CH572" s="259"/>
      <c r="CI572" s="347"/>
      <c r="CJ572" s="540"/>
      <c r="CK572" s="256"/>
      <c r="CL572" s="244">
        <v>1</v>
      </c>
      <c r="CM572" s="274">
        <f t="shared" si="8"/>
        <v>2015</v>
      </c>
      <c r="CN572" s="244">
        <f>IF('Grille de saisie'!CM572&lt;18,0,IF('Grille de saisie'!CM572&lt;40,1,IF('Grille de saisie'!CM572&lt;65,2,IF('Grille de saisie'!CM572&lt;100,3,4))))</f>
        <v>4</v>
      </c>
      <c r="CO572" s="236">
        <f>IF(AND('Grille de saisie'!C572=1,'Grille de saisie'!BZ572=0),1,IF(AND('Grille de saisie'!C572="",'Grille de saisie'!BZ572=""),3,IF(AND('Grille de saisie'!C572=5),3,2)))</f>
        <v>3</v>
      </c>
      <c r="CP572" s="236">
        <f>IF(AND('Grille de saisie'!C572=1,'Grille de saisie'!BZ572=0),1,IF(AND('Grille de saisie'!C572=1,'Grille de saisie'!BZ572=1),2,IF(AND('Grille de saisie'!C572=2,'Grille de saisie'!BZ572=0),2,IF(AND('Grille de saisie'!C572=3,'Grille de saisie'!BZ572=0),3,IF(AND('Grille de saisie'!C572=2,'Grille de saisie'!BZ572=1),3,IF(AND('Grille de saisie'!C572=1,'Grille de saisie'!BZ572=2),3,IF(AND('Grille de saisie'!C572="",'Grille de saisie'!BZ572=""),5,IF(AND('Grille de saisie'!C572=5),5,4))))))))</f>
        <v>5</v>
      </c>
      <c r="CQ572" s="237">
        <f>IF('Grille de saisie'!BZ572="",3,IF('Grille de saisie'!C572=5,3,IF('Grille de saisie'!BZ572=0,1,2)))</f>
        <v>3</v>
      </c>
    </row>
    <row r="573" spans="1:95" ht="15">
      <c r="A573" s="511">
        <v>571</v>
      </c>
      <c r="B573" s="240"/>
      <c r="C573" s="513"/>
      <c r="D573" s="240"/>
      <c r="E573" s="517"/>
      <c r="F573" s="265"/>
      <c r="G573" s="513"/>
      <c r="H573" s="265"/>
      <c r="I573" s="520"/>
      <c r="J573" s="241"/>
      <c r="K573" s="520"/>
      <c r="L573" s="241"/>
      <c r="M573" s="521"/>
      <c r="N573" s="241"/>
      <c r="O573" s="521"/>
      <c r="P573" s="241"/>
      <c r="Q573" s="520"/>
      <c r="R573" s="241"/>
      <c r="S573" s="520"/>
      <c r="T573" s="241"/>
      <c r="U573" s="520"/>
      <c r="V573" s="241"/>
      <c r="W573" s="242"/>
      <c r="X573" s="241"/>
      <c r="Y573" s="242"/>
      <c r="Z573" s="241"/>
      <c r="AA573" s="241"/>
      <c r="AB573" s="275"/>
      <c r="AC573" s="524"/>
      <c r="AD573" s="241"/>
      <c r="AE573" s="241"/>
      <c r="AF573" s="241"/>
      <c r="AG573" s="241"/>
      <c r="AH573" s="241"/>
      <c r="AI573" s="241"/>
      <c r="AJ573" s="529"/>
      <c r="AK573" s="258"/>
      <c r="AL573" s="241"/>
      <c r="AM573" s="242"/>
      <c r="AN573" s="241"/>
      <c r="AO573" s="242"/>
      <c r="AP573" s="241"/>
      <c r="AQ573" s="242"/>
      <c r="AR573" s="241"/>
      <c r="AS573" s="242"/>
      <c r="AT573" s="241"/>
      <c r="AU573" s="241"/>
      <c r="AV573" s="256"/>
      <c r="AW573" s="241"/>
      <c r="AX573" s="256"/>
      <c r="AY573" s="241"/>
      <c r="AZ573" s="256"/>
      <c r="BA573" s="239"/>
      <c r="BB573" s="242"/>
      <c r="BC573" s="239"/>
      <c r="BD573" s="242"/>
      <c r="BE573" s="239"/>
      <c r="BF573" s="241"/>
      <c r="BG573" s="239"/>
      <c r="BH573" s="241"/>
      <c r="BI573" s="260"/>
      <c r="BJ573" s="241"/>
      <c r="BK573" s="260"/>
      <c r="BL573" s="239"/>
      <c r="BM573" s="256"/>
      <c r="BN573" s="241"/>
      <c r="BO573" s="243"/>
      <c r="BP573" s="241"/>
      <c r="BQ573" s="239"/>
      <c r="BR573" s="276"/>
      <c r="BS573" s="256"/>
      <c r="BT573" s="260"/>
      <c r="BU573" s="261"/>
      <c r="BV573" s="260"/>
      <c r="BW573" s="239"/>
      <c r="BX573" s="260"/>
      <c r="BY573" s="260"/>
      <c r="BZ573" s="239"/>
      <c r="CA573" s="260"/>
      <c r="CB573" s="239"/>
      <c r="CC573" s="260"/>
      <c r="CD573" s="539"/>
      <c r="CE573" s="239"/>
      <c r="CF573" s="276"/>
      <c r="CG573" s="256"/>
      <c r="CH573" s="259"/>
      <c r="CI573" s="347"/>
      <c r="CJ573" s="540"/>
      <c r="CK573" s="256"/>
      <c r="CL573" s="244">
        <v>1</v>
      </c>
      <c r="CM573" s="274">
        <f t="shared" si="8"/>
        <v>2015</v>
      </c>
      <c r="CN573" s="244">
        <f>IF('Grille de saisie'!CM573&lt;18,0,IF('Grille de saisie'!CM573&lt;40,1,IF('Grille de saisie'!CM573&lt;65,2,IF('Grille de saisie'!CM573&lt;100,3,4))))</f>
        <v>4</v>
      </c>
      <c r="CO573" s="236">
        <f>IF(AND('Grille de saisie'!C573=1,'Grille de saisie'!BZ573=0),1,IF(AND('Grille de saisie'!C573="",'Grille de saisie'!BZ573=""),3,IF(AND('Grille de saisie'!C573=5),3,2)))</f>
        <v>3</v>
      </c>
      <c r="CP573" s="236">
        <f>IF(AND('Grille de saisie'!C573=1,'Grille de saisie'!BZ573=0),1,IF(AND('Grille de saisie'!C573=1,'Grille de saisie'!BZ573=1),2,IF(AND('Grille de saisie'!C573=2,'Grille de saisie'!BZ573=0),2,IF(AND('Grille de saisie'!C573=3,'Grille de saisie'!BZ573=0),3,IF(AND('Grille de saisie'!C573=2,'Grille de saisie'!BZ573=1),3,IF(AND('Grille de saisie'!C573=1,'Grille de saisie'!BZ573=2),3,IF(AND('Grille de saisie'!C573="",'Grille de saisie'!BZ573=""),5,IF(AND('Grille de saisie'!C573=5),5,4))))))))</f>
        <v>5</v>
      </c>
      <c r="CQ573" s="237">
        <f>IF('Grille de saisie'!BZ573="",3,IF('Grille de saisie'!C573=5,3,IF('Grille de saisie'!BZ573=0,1,2)))</f>
        <v>3</v>
      </c>
    </row>
    <row r="574" spans="1:95" ht="15">
      <c r="A574" s="510">
        <v>572</v>
      </c>
      <c r="B574" s="240"/>
      <c r="C574" s="513"/>
      <c r="D574" s="240"/>
      <c r="E574" s="517"/>
      <c r="F574" s="265"/>
      <c r="G574" s="513"/>
      <c r="H574" s="265"/>
      <c r="I574" s="520"/>
      <c r="J574" s="241"/>
      <c r="K574" s="520"/>
      <c r="L574" s="241"/>
      <c r="M574" s="521"/>
      <c r="N574" s="241"/>
      <c r="O574" s="521"/>
      <c r="P574" s="241"/>
      <c r="Q574" s="520"/>
      <c r="R574" s="241"/>
      <c r="S574" s="520"/>
      <c r="T574" s="241"/>
      <c r="U574" s="520"/>
      <c r="V574" s="241"/>
      <c r="W574" s="242"/>
      <c r="X574" s="241"/>
      <c r="Y574" s="242"/>
      <c r="Z574" s="241"/>
      <c r="AA574" s="241"/>
      <c r="AB574" s="275"/>
      <c r="AC574" s="524"/>
      <c r="AD574" s="241"/>
      <c r="AE574" s="241"/>
      <c r="AF574" s="241"/>
      <c r="AG574" s="241"/>
      <c r="AH574" s="241"/>
      <c r="AI574" s="241"/>
      <c r="AJ574" s="529"/>
      <c r="AK574" s="258"/>
      <c r="AL574" s="241"/>
      <c r="AM574" s="242"/>
      <c r="AN574" s="241"/>
      <c r="AO574" s="242"/>
      <c r="AP574" s="241"/>
      <c r="AQ574" s="242"/>
      <c r="AR574" s="241"/>
      <c r="AS574" s="242"/>
      <c r="AT574" s="241"/>
      <c r="AU574" s="241"/>
      <c r="AV574" s="256"/>
      <c r="AW574" s="241"/>
      <c r="AX574" s="256"/>
      <c r="AY574" s="241"/>
      <c r="AZ574" s="256"/>
      <c r="BA574" s="239"/>
      <c r="BB574" s="242"/>
      <c r="BC574" s="239"/>
      <c r="BD574" s="242"/>
      <c r="BE574" s="239"/>
      <c r="BF574" s="241"/>
      <c r="BG574" s="239"/>
      <c r="BH574" s="241"/>
      <c r="BI574" s="260"/>
      <c r="BJ574" s="241"/>
      <c r="BK574" s="260"/>
      <c r="BL574" s="239"/>
      <c r="BM574" s="256"/>
      <c r="BN574" s="241"/>
      <c r="BO574" s="243"/>
      <c r="BP574" s="241"/>
      <c r="BQ574" s="239"/>
      <c r="BR574" s="276"/>
      <c r="BS574" s="256"/>
      <c r="BT574" s="260"/>
      <c r="BU574" s="261"/>
      <c r="BV574" s="260"/>
      <c r="BW574" s="239"/>
      <c r="BX574" s="260"/>
      <c r="BY574" s="260"/>
      <c r="BZ574" s="239"/>
      <c r="CA574" s="260"/>
      <c r="CB574" s="239"/>
      <c r="CC574" s="260"/>
      <c r="CD574" s="539"/>
      <c r="CE574" s="239"/>
      <c r="CF574" s="276"/>
      <c r="CG574" s="256"/>
      <c r="CH574" s="259"/>
      <c r="CI574" s="347"/>
      <c r="CJ574" s="540"/>
      <c r="CK574" s="256"/>
      <c r="CL574" s="244">
        <v>1</v>
      </c>
      <c r="CM574" s="274">
        <f t="shared" si="8"/>
        <v>2015</v>
      </c>
      <c r="CN574" s="244">
        <f>IF('Grille de saisie'!CM574&lt;18,0,IF('Grille de saisie'!CM574&lt;40,1,IF('Grille de saisie'!CM574&lt;65,2,IF('Grille de saisie'!CM574&lt;100,3,4))))</f>
        <v>4</v>
      </c>
      <c r="CO574" s="236">
        <f>IF(AND('Grille de saisie'!C574=1,'Grille de saisie'!BZ574=0),1,IF(AND('Grille de saisie'!C574="",'Grille de saisie'!BZ574=""),3,IF(AND('Grille de saisie'!C574=5),3,2)))</f>
        <v>3</v>
      </c>
      <c r="CP574" s="236">
        <f>IF(AND('Grille de saisie'!C574=1,'Grille de saisie'!BZ574=0),1,IF(AND('Grille de saisie'!C574=1,'Grille de saisie'!BZ574=1),2,IF(AND('Grille de saisie'!C574=2,'Grille de saisie'!BZ574=0),2,IF(AND('Grille de saisie'!C574=3,'Grille de saisie'!BZ574=0),3,IF(AND('Grille de saisie'!C574=2,'Grille de saisie'!BZ574=1),3,IF(AND('Grille de saisie'!C574=1,'Grille de saisie'!BZ574=2),3,IF(AND('Grille de saisie'!C574="",'Grille de saisie'!BZ574=""),5,IF(AND('Grille de saisie'!C574=5),5,4))))))))</f>
        <v>5</v>
      </c>
      <c r="CQ574" s="237">
        <f>IF('Grille de saisie'!BZ574="",3,IF('Grille de saisie'!C574=5,3,IF('Grille de saisie'!BZ574=0,1,2)))</f>
        <v>3</v>
      </c>
    </row>
    <row r="575" spans="1:95" ht="15">
      <c r="A575" s="510">
        <v>573</v>
      </c>
      <c r="B575" s="240"/>
      <c r="C575" s="513"/>
      <c r="D575" s="240"/>
      <c r="E575" s="517"/>
      <c r="F575" s="265"/>
      <c r="G575" s="513"/>
      <c r="H575" s="265"/>
      <c r="I575" s="520"/>
      <c r="J575" s="241"/>
      <c r="K575" s="520"/>
      <c r="L575" s="241"/>
      <c r="M575" s="521"/>
      <c r="N575" s="241"/>
      <c r="O575" s="521"/>
      <c r="P575" s="241"/>
      <c r="Q575" s="520"/>
      <c r="R575" s="241"/>
      <c r="S575" s="520"/>
      <c r="T575" s="241"/>
      <c r="U575" s="520"/>
      <c r="V575" s="241"/>
      <c r="W575" s="242"/>
      <c r="X575" s="241"/>
      <c r="Y575" s="242"/>
      <c r="Z575" s="241"/>
      <c r="AA575" s="241"/>
      <c r="AB575" s="275"/>
      <c r="AC575" s="524"/>
      <c r="AD575" s="241"/>
      <c r="AE575" s="241"/>
      <c r="AF575" s="241"/>
      <c r="AG575" s="241"/>
      <c r="AH575" s="241"/>
      <c r="AI575" s="241"/>
      <c r="AJ575" s="529"/>
      <c r="AK575" s="258"/>
      <c r="AL575" s="241"/>
      <c r="AM575" s="242"/>
      <c r="AN575" s="241"/>
      <c r="AO575" s="242"/>
      <c r="AP575" s="241"/>
      <c r="AQ575" s="242"/>
      <c r="AR575" s="241"/>
      <c r="AS575" s="242"/>
      <c r="AT575" s="241"/>
      <c r="AU575" s="241"/>
      <c r="AV575" s="256"/>
      <c r="AW575" s="241"/>
      <c r="AX575" s="256"/>
      <c r="AY575" s="241"/>
      <c r="AZ575" s="256"/>
      <c r="BA575" s="239"/>
      <c r="BB575" s="242"/>
      <c r="BC575" s="239"/>
      <c r="BD575" s="242"/>
      <c r="BE575" s="239"/>
      <c r="BF575" s="241"/>
      <c r="BG575" s="239"/>
      <c r="BH575" s="241"/>
      <c r="BI575" s="260"/>
      <c r="BJ575" s="241"/>
      <c r="BK575" s="260"/>
      <c r="BL575" s="239"/>
      <c r="BM575" s="256"/>
      <c r="BN575" s="241"/>
      <c r="BO575" s="243"/>
      <c r="BP575" s="241"/>
      <c r="BQ575" s="239"/>
      <c r="BR575" s="276"/>
      <c r="BS575" s="256"/>
      <c r="BT575" s="260"/>
      <c r="BU575" s="261"/>
      <c r="BV575" s="260"/>
      <c r="BW575" s="239"/>
      <c r="BX575" s="260"/>
      <c r="BY575" s="260"/>
      <c r="BZ575" s="239"/>
      <c r="CA575" s="260"/>
      <c r="CB575" s="239"/>
      <c r="CC575" s="260"/>
      <c r="CD575" s="539"/>
      <c r="CE575" s="239"/>
      <c r="CF575" s="276"/>
      <c r="CG575" s="256"/>
      <c r="CH575" s="259"/>
      <c r="CI575" s="347"/>
      <c r="CJ575" s="540"/>
      <c r="CK575" s="256"/>
      <c r="CL575" s="244">
        <v>1</v>
      </c>
      <c r="CM575" s="274">
        <f t="shared" si="8"/>
        <v>2015</v>
      </c>
      <c r="CN575" s="244">
        <f>IF('Grille de saisie'!CM575&lt;18,0,IF('Grille de saisie'!CM575&lt;40,1,IF('Grille de saisie'!CM575&lt;65,2,IF('Grille de saisie'!CM575&lt;100,3,4))))</f>
        <v>4</v>
      </c>
      <c r="CO575" s="236">
        <f>IF(AND('Grille de saisie'!C575=1,'Grille de saisie'!BZ575=0),1,IF(AND('Grille de saisie'!C575="",'Grille de saisie'!BZ575=""),3,IF(AND('Grille de saisie'!C575=5),3,2)))</f>
        <v>3</v>
      </c>
      <c r="CP575" s="236">
        <f>IF(AND('Grille de saisie'!C575=1,'Grille de saisie'!BZ575=0),1,IF(AND('Grille de saisie'!C575=1,'Grille de saisie'!BZ575=1),2,IF(AND('Grille de saisie'!C575=2,'Grille de saisie'!BZ575=0),2,IF(AND('Grille de saisie'!C575=3,'Grille de saisie'!BZ575=0),3,IF(AND('Grille de saisie'!C575=2,'Grille de saisie'!BZ575=1),3,IF(AND('Grille de saisie'!C575=1,'Grille de saisie'!BZ575=2),3,IF(AND('Grille de saisie'!C575="",'Grille de saisie'!BZ575=""),5,IF(AND('Grille de saisie'!C575=5),5,4))))))))</f>
        <v>5</v>
      </c>
      <c r="CQ575" s="237">
        <f>IF('Grille de saisie'!BZ575="",3,IF('Grille de saisie'!C575=5,3,IF('Grille de saisie'!BZ575=0,1,2)))</f>
        <v>3</v>
      </c>
    </row>
    <row r="576" spans="1:95" ht="15">
      <c r="A576" s="511">
        <v>574</v>
      </c>
      <c r="B576" s="240"/>
      <c r="C576" s="513"/>
      <c r="D576" s="240"/>
      <c r="E576" s="517"/>
      <c r="F576" s="265"/>
      <c r="G576" s="513"/>
      <c r="H576" s="265"/>
      <c r="I576" s="520"/>
      <c r="J576" s="241"/>
      <c r="K576" s="520"/>
      <c r="L576" s="241"/>
      <c r="M576" s="521"/>
      <c r="N576" s="241"/>
      <c r="O576" s="521"/>
      <c r="P576" s="241"/>
      <c r="Q576" s="520"/>
      <c r="R576" s="241"/>
      <c r="S576" s="520"/>
      <c r="T576" s="241"/>
      <c r="U576" s="520"/>
      <c r="V576" s="241"/>
      <c r="W576" s="242"/>
      <c r="X576" s="241"/>
      <c r="Y576" s="242"/>
      <c r="Z576" s="241"/>
      <c r="AA576" s="241"/>
      <c r="AB576" s="275"/>
      <c r="AC576" s="524"/>
      <c r="AD576" s="241"/>
      <c r="AE576" s="241"/>
      <c r="AF576" s="241"/>
      <c r="AG576" s="241"/>
      <c r="AH576" s="241"/>
      <c r="AI576" s="241"/>
      <c r="AJ576" s="529"/>
      <c r="AK576" s="258"/>
      <c r="AL576" s="241"/>
      <c r="AM576" s="242"/>
      <c r="AN576" s="241"/>
      <c r="AO576" s="242"/>
      <c r="AP576" s="241"/>
      <c r="AQ576" s="242"/>
      <c r="AR576" s="241"/>
      <c r="AS576" s="242"/>
      <c r="AT576" s="241"/>
      <c r="AU576" s="241"/>
      <c r="AV576" s="256"/>
      <c r="AW576" s="241"/>
      <c r="AX576" s="256"/>
      <c r="AY576" s="241"/>
      <c r="AZ576" s="256"/>
      <c r="BA576" s="239"/>
      <c r="BB576" s="242"/>
      <c r="BC576" s="239"/>
      <c r="BD576" s="242"/>
      <c r="BE576" s="239"/>
      <c r="BF576" s="241"/>
      <c r="BG576" s="239"/>
      <c r="BH576" s="241"/>
      <c r="BI576" s="260"/>
      <c r="BJ576" s="241"/>
      <c r="BK576" s="260"/>
      <c r="BL576" s="239"/>
      <c r="BM576" s="256"/>
      <c r="BN576" s="241"/>
      <c r="BO576" s="243"/>
      <c r="BP576" s="241"/>
      <c r="BQ576" s="239"/>
      <c r="BR576" s="276"/>
      <c r="BS576" s="256"/>
      <c r="BT576" s="260"/>
      <c r="BU576" s="261"/>
      <c r="BV576" s="260"/>
      <c r="BW576" s="239"/>
      <c r="BX576" s="260"/>
      <c r="BY576" s="260"/>
      <c r="BZ576" s="239"/>
      <c r="CA576" s="260"/>
      <c r="CB576" s="239"/>
      <c r="CC576" s="260"/>
      <c r="CD576" s="539"/>
      <c r="CE576" s="239"/>
      <c r="CF576" s="276"/>
      <c r="CG576" s="256"/>
      <c r="CH576" s="259"/>
      <c r="CI576" s="347"/>
      <c r="CJ576" s="540"/>
      <c r="CK576" s="256"/>
      <c r="CL576" s="244">
        <v>1</v>
      </c>
      <c r="CM576" s="274">
        <f t="shared" si="8"/>
        <v>2015</v>
      </c>
      <c r="CN576" s="244">
        <f>IF('Grille de saisie'!CM576&lt;18,0,IF('Grille de saisie'!CM576&lt;40,1,IF('Grille de saisie'!CM576&lt;65,2,IF('Grille de saisie'!CM576&lt;100,3,4))))</f>
        <v>4</v>
      </c>
      <c r="CO576" s="236">
        <f>IF(AND('Grille de saisie'!C576=1,'Grille de saisie'!BZ576=0),1,IF(AND('Grille de saisie'!C576="",'Grille de saisie'!BZ576=""),3,IF(AND('Grille de saisie'!C576=5),3,2)))</f>
        <v>3</v>
      </c>
      <c r="CP576" s="236">
        <f>IF(AND('Grille de saisie'!C576=1,'Grille de saisie'!BZ576=0),1,IF(AND('Grille de saisie'!C576=1,'Grille de saisie'!BZ576=1),2,IF(AND('Grille de saisie'!C576=2,'Grille de saisie'!BZ576=0),2,IF(AND('Grille de saisie'!C576=3,'Grille de saisie'!BZ576=0),3,IF(AND('Grille de saisie'!C576=2,'Grille de saisie'!BZ576=1),3,IF(AND('Grille de saisie'!C576=1,'Grille de saisie'!BZ576=2),3,IF(AND('Grille de saisie'!C576="",'Grille de saisie'!BZ576=""),5,IF(AND('Grille de saisie'!C576=5),5,4))))))))</f>
        <v>5</v>
      </c>
      <c r="CQ576" s="237">
        <f>IF('Grille de saisie'!BZ576="",3,IF('Grille de saisie'!C576=5,3,IF('Grille de saisie'!BZ576=0,1,2)))</f>
        <v>3</v>
      </c>
    </row>
    <row r="577" spans="1:95" ht="15">
      <c r="A577" s="510">
        <v>575</v>
      </c>
      <c r="B577" s="240"/>
      <c r="C577" s="513"/>
      <c r="D577" s="240"/>
      <c r="E577" s="517"/>
      <c r="F577" s="265"/>
      <c r="G577" s="513"/>
      <c r="H577" s="265"/>
      <c r="I577" s="520"/>
      <c r="J577" s="241"/>
      <c r="K577" s="520"/>
      <c r="L577" s="241"/>
      <c r="M577" s="521"/>
      <c r="N577" s="241"/>
      <c r="O577" s="521"/>
      <c r="P577" s="241"/>
      <c r="Q577" s="520"/>
      <c r="R577" s="241"/>
      <c r="S577" s="520"/>
      <c r="T577" s="241"/>
      <c r="U577" s="520"/>
      <c r="V577" s="241"/>
      <c r="W577" s="242"/>
      <c r="X577" s="241"/>
      <c r="Y577" s="242"/>
      <c r="Z577" s="241"/>
      <c r="AA577" s="241"/>
      <c r="AB577" s="275"/>
      <c r="AC577" s="524"/>
      <c r="AD577" s="241"/>
      <c r="AE577" s="241"/>
      <c r="AF577" s="241"/>
      <c r="AG577" s="241"/>
      <c r="AH577" s="241"/>
      <c r="AI577" s="241"/>
      <c r="AJ577" s="529"/>
      <c r="AK577" s="258"/>
      <c r="AL577" s="241"/>
      <c r="AM577" s="242"/>
      <c r="AN577" s="241"/>
      <c r="AO577" s="242"/>
      <c r="AP577" s="241"/>
      <c r="AQ577" s="242"/>
      <c r="AR577" s="241"/>
      <c r="AS577" s="242"/>
      <c r="AT577" s="241"/>
      <c r="AU577" s="241"/>
      <c r="AV577" s="256"/>
      <c r="AW577" s="241"/>
      <c r="AX577" s="256"/>
      <c r="AY577" s="241"/>
      <c r="AZ577" s="256"/>
      <c r="BA577" s="239"/>
      <c r="BB577" s="242"/>
      <c r="BC577" s="239"/>
      <c r="BD577" s="242"/>
      <c r="BE577" s="239"/>
      <c r="BF577" s="241"/>
      <c r="BG577" s="239"/>
      <c r="BH577" s="241"/>
      <c r="BI577" s="260"/>
      <c r="BJ577" s="241"/>
      <c r="BK577" s="260"/>
      <c r="BL577" s="239"/>
      <c r="BM577" s="256"/>
      <c r="BN577" s="241"/>
      <c r="BO577" s="243"/>
      <c r="BP577" s="241"/>
      <c r="BQ577" s="239"/>
      <c r="BR577" s="276"/>
      <c r="BS577" s="256"/>
      <c r="BT577" s="260"/>
      <c r="BU577" s="261"/>
      <c r="BV577" s="260"/>
      <c r="BW577" s="239"/>
      <c r="BX577" s="260"/>
      <c r="BY577" s="260"/>
      <c r="BZ577" s="239"/>
      <c r="CA577" s="260"/>
      <c r="CB577" s="239"/>
      <c r="CC577" s="260"/>
      <c r="CD577" s="539"/>
      <c r="CE577" s="239"/>
      <c r="CF577" s="276"/>
      <c r="CG577" s="256"/>
      <c r="CH577" s="259"/>
      <c r="CI577" s="347"/>
      <c r="CJ577" s="540"/>
      <c r="CK577" s="256"/>
      <c r="CL577" s="244">
        <v>1</v>
      </c>
      <c r="CM577" s="274">
        <f t="shared" si="8"/>
        <v>2015</v>
      </c>
      <c r="CN577" s="244">
        <f>IF('Grille de saisie'!CM577&lt;18,0,IF('Grille de saisie'!CM577&lt;40,1,IF('Grille de saisie'!CM577&lt;65,2,IF('Grille de saisie'!CM577&lt;100,3,4))))</f>
        <v>4</v>
      </c>
      <c r="CO577" s="236">
        <f>IF(AND('Grille de saisie'!C577=1,'Grille de saisie'!BZ577=0),1,IF(AND('Grille de saisie'!C577="",'Grille de saisie'!BZ577=""),3,IF(AND('Grille de saisie'!C577=5),3,2)))</f>
        <v>3</v>
      </c>
      <c r="CP577" s="236">
        <f>IF(AND('Grille de saisie'!C577=1,'Grille de saisie'!BZ577=0),1,IF(AND('Grille de saisie'!C577=1,'Grille de saisie'!BZ577=1),2,IF(AND('Grille de saisie'!C577=2,'Grille de saisie'!BZ577=0),2,IF(AND('Grille de saisie'!C577=3,'Grille de saisie'!BZ577=0),3,IF(AND('Grille de saisie'!C577=2,'Grille de saisie'!BZ577=1),3,IF(AND('Grille de saisie'!C577=1,'Grille de saisie'!BZ577=2),3,IF(AND('Grille de saisie'!C577="",'Grille de saisie'!BZ577=""),5,IF(AND('Grille de saisie'!C577=5),5,4))))))))</f>
        <v>5</v>
      </c>
      <c r="CQ577" s="237">
        <f>IF('Grille de saisie'!BZ577="",3,IF('Grille de saisie'!C577=5,3,IF('Grille de saisie'!BZ577=0,1,2)))</f>
        <v>3</v>
      </c>
    </row>
    <row r="578" spans="1:95" ht="15">
      <c r="A578" s="510">
        <v>576</v>
      </c>
      <c r="B578" s="240"/>
      <c r="C578" s="513"/>
      <c r="D578" s="240"/>
      <c r="E578" s="517"/>
      <c r="F578" s="265"/>
      <c r="G578" s="513"/>
      <c r="H578" s="265"/>
      <c r="I578" s="520"/>
      <c r="J578" s="241"/>
      <c r="K578" s="520"/>
      <c r="L578" s="241"/>
      <c r="M578" s="521"/>
      <c r="N578" s="241"/>
      <c r="O578" s="521"/>
      <c r="P578" s="241"/>
      <c r="Q578" s="520"/>
      <c r="R578" s="241"/>
      <c r="S578" s="520"/>
      <c r="T578" s="241"/>
      <c r="U578" s="520"/>
      <c r="V578" s="241"/>
      <c r="W578" s="242"/>
      <c r="X578" s="241"/>
      <c r="Y578" s="242"/>
      <c r="Z578" s="241"/>
      <c r="AA578" s="241"/>
      <c r="AB578" s="275"/>
      <c r="AC578" s="524"/>
      <c r="AD578" s="241"/>
      <c r="AE578" s="241"/>
      <c r="AF578" s="241"/>
      <c r="AG578" s="241"/>
      <c r="AH578" s="241"/>
      <c r="AI578" s="241"/>
      <c r="AJ578" s="529"/>
      <c r="AK578" s="258"/>
      <c r="AL578" s="241"/>
      <c r="AM578" s="242"/>
      <c r="AN578" s="241"/>
      <c r="AO578" s="242"/>
      <c r="AP578" s="241"/>
      <c r="AQ578" s="242"/>
      <c r="AR578" s="241"/>
      <c r="AS578" s="242"/>
      <c r="AT578" s="241"/>
      <c r="AU578" s="241"/>
      <c r="AV578" s="256"/>
      <c r="AW578" s="241"/>
      <c r="AX578" s="256"/>
      <c r="AY578" s="241"/>
      <c r="AZ578" s="256"/>
      <c r="BA578" s="239"/>
      <c r="BB578" s="242"/>
      <c r="BC578" s="239"/>
      <c r="BD578" s="242"/>
      <c r="BE578" s="239"/>
      <c r="BF578" s="241"/>
      <c r="BG578" s="239"/>
      <c r="BH578" s="241"/>
      <c r="BI578" s="260"/>
      <c r="BJ578" s="241"/>
      <c r="BK578" s="260"/>
      <c r="BL578" s="239"/>
      <c r="BM578" s="256"/>
      <c r="BN578" s="241"/>
      <c r="BO578" s="243"/>
      <c r="BP578" s="241"/>
      <c r="BQ578" s="239"/>
      <c r="BR578" s="276"/>
      <c r="BS578" s="256"/>
      <c r="BT578" s="260"/>
      <c r="BU578" s="261"/>
      <c r="BV578" s="260"/>
      <c r="BW578" s="239"/>
      <c r="BX578" s="260"/>
      <c r="BY578" s="260"/>
      <c r="BZ578" s="239"/>
      <c r="CA578" s="260"/>
      <c r="CB578" s="239"/>
      <c r="CC578" s="260"/>
      <c r="CD578" s="539"/>
      <c r="CE578" s="239"/>
      <c r="CF578" s="276"/>
      <c r="CG578" s="256"/>
      <c r="CH578" s="259"/>
      <c r="CI578" s="347"/>
      <c r="CJ578" s="540"/>
      <c r="CK578" s="256"/>
      <c r="CL578" s="244">
        <v>1</v>
      </c>
      <c r="CM578" s="274">
        <f t="shared" si="8"/>
        <v>2015</v>
      </c>
      <c r="CN578" s="244">
        <f>IF('Grille de saisie'!CM578&lt;18,0,IF('Grille de saisie'!CM578&lt;40,1,IF('Grille de saisie'!CM578&lt;65,2,IF('Grille de saisie'!CM578&lt;100,3,4))))</f>
        <v>4</v>
      </c>
      <c r="CO578" s="236">
        <f>IF(AND('Grille de saisie'!C578=1,'Grille de saisie'!BZ578=0),1,IF(AND('Grille de saisie'!C578="",'Grille de saisie'!BZ578=""),3,IF(AND('Grille de saisie'!C578=5),3,2)))</f>
        <v>3</v>
      </c>
      <c r="CP578" s="236">
        <f>IF(AND('Grille de saisie'!C578=1,'Grille de saisie'!BZ578=0),1,IF(AND('Grille de saisie'!C578=1,'Grille de saisie'!BZ578=1),2,IF(AND('Grille de saisie'!C578=2,'Grille de saisie'!BZ578=0),2,IF(AND('Grille de saisie'!C578=3,'Grille de saisie'!BZ578=0),3,IF(AND('Grille de saisie'!C578=2,'Grille de saisie'!BZ578=1),3,IF(AND('Grille de saisie'!C578=1,'Grille de saisie'!BZ578=2),3,IF(AND('Grille de saisie'!C578="",'Grille de saisie'!BZ578=""),5,IF(AND('Grille de saisie'!C578=5),5,4))))))))</f>
        <v>5</v>
      </c>
      <c r="CQ578" s="237">
        <f>IF('Grille de saisie'!BZ578="",3,IF('Grille de saisie'!C578=5,3,IF('Grille de saisie'!BZ578=0,1,2)))</f>
        <v>3</v>
      </c>
    </row>
    <row r="579" spans="1:95" ht="15">
      <c r="A579" s="511">
        <v>577</v>
      </c>
      <c r="B579" s="240"/>
      <c r="C579" s="513"/>
      <c r="D579" s="240"/>
      <c r="E579" s="517"/>
      <c r="F579" s="265"/>
      <c r="G579" s="513"/>
      <c r="H579" s="265"/>
      <c r="I579" s="520"/>
      <c r="J579" s="241"/>
      <c r="K579" s="520"/>
      <c r="L579" s="241"/>
      <c r="M579" s="521"/>
      <c r="N579" s="241"/>
      <c r="O579" s="521"/>
      <c r="P579" s="241"/>
      <c r="Q579" s="520"/>
      <c r="R579" s="241"/>
      <c r="S579" s="520"/>
      <c r="T579" s="241"/>
      <c r="U579" s="520"/>
      <c r="V579" s="241"/>
      <c r="W579" s="242"/>
      <c r="X579" s="241"/>
      <c r="Y579" s="242"/>
      <c r="Z579" s="241"/>
      <c r="AA579" s="241"/>
      <c r="AB579" s="275"/>
      <c r="AC579" s="524"/>
      <c r="AD579" s="241"/>
      <c r="AE579" s="241"/>
      <c r="AF579" s="241"/>
      <c r="AG579" s="241"/>
      <c r="AH579" s="241"/>
      <c r="AI579" s="241"/>
      <c r="AJ579" s="529"/>
      <c r="AK579" s="258"/>
      <c r="AL579" s="241"/>
      <c r="AM579" s="242"/>
      <c r="AN579" s="241"/>
      <c r="AO579" s="242"/>
      <c r="AP579" s="241"/>
      <c r="AQ579" s="242"/>
      <c r="AR579" s="241"/>
      <c r="AS579" s="242"/>
      <c r="AT579" s="241"/>
      <c r="AU579" s="241"/>
      <c r="AV579" s="256"/>
      <c r="AW579" s="241"/>
      <c r="AX579" s="256"/>
      <c r="AY579" s="241"/>
      <c r="AZ579" s="256"/>
      <c r="BA579" s="239"/>
      <c r="BB579" s="242"/>
      <c r="BC579" s="239"/>
      <c r="BD579" s="242"/>
      <c r="BE579" s="239"/>
      <c r="BF579" s="241"/>
      <c r="BG579" s="239"/>
      <c r="BH579" s="241"/>
      <c r="BI579" s="260"/>
      <c r="BJ579" s="241"/>
      <c r="BK579" s="260"/>
      <c r="BL579" s="239"/>
      <c r="BM579" s="256"/>
      <c r="BN579" s="241"/>
      <c r="BO579" s="243"/>
      <c r="BP579" s="241"/>
      <c r="BQ579" s="239"/>
      <c r="BR579" s="276"/>
      <c r="BS579" s="256"/>
      <c r="BT579" s="260"/>
      <c r="BU579" s="261"/>
      <c r="BV579" s="260"/>
      <c r="BW579" s="239"/>
      <c r="BX579" s="260"/>
      <c r="BY579" s="260"/>
      <c r="BZ579" s="239"/>
      <c r="CA579" s="260"/>
      <c r="CB579" s="239"/>
      <c r="CC579" s="260"/>
      <c r="CD579" s="539"/>
      <c r="CE579" s="239"/>
      <c r="CF579" s="276"/>
      <c r="CG579" s="256"/>
      <c r="CH579" s="259"/>
      <c r="CI579" s="347"/>
      <c r="CJ579" s="540"/>
      <c r="CK579" s="256"/>
      <c r="CL579" s="244">
        <v>1</v>
      </c>
      <c r="CM579" s="274">
        <f t="shared" si="8"/>
        <v>2015</v>
      </c>
      <c r="CN579" s="244">
        <f>IF('Grille de saisie'!CM579&lt;18,0,IF('Grille de saisie'!CM579&lt;40,1,IF('Grille de saisie'!CM579&lt;65,2,IF('Grille de saisie'!CM579&lt;100,3,4))))</f>
        <v>4</v>
      </c>
      <c r="CO579" s="236">
        <f>IF(AND('Grille de saisie'!C579=1,'Grille de saisie'!BZ579=0),1,IF(AND('Grille de saisie'!C579="",'Grille de saisie'!BZ579=""),3,IF(AND('Grille de saisie'!C579=5),3,2)))</f>
        <v>3</v>
      </c>
      <c r="CP579" s="236">
        <f>IF(AND('Grille de saisie'!C579=1,'Grille de saisie'!BZ579=0),1,IF(AND('Grille de saisie'!C579=1,'Grille de saisie'!BZ579=1),2,IF(AND('Grille de saisie'!C579=2,'Grille de saisie'!BZ579=0),2,IF(AND('Grille de saisie'!C579=3,'Grille de saisie'!BZ579=0),3,IF(AND('Grille de saisie'!C579=2,'Grille de saisie'!BZ579=1),3,IF(AND('Grille de saisie'!C579=1,'Grille de saisie'!BZ579=2),3,IF(AND('Grille de saisie'!C579="",'Grille de saisie'!BZ579=""),5,IF(AND('Grille de saisie'!C579=5),5,4))))))))</f>
        <v>5</v>
      </c>
      <c r="CQ579" s="237">
        <f>IF('Grille de saisie'!BZ579="",3,IF('Grille de saisie'!C579=5,3,IF('Grille de saisie'!BZ579=0,1,2)))</f>
        <v>3</v>
      </c>
    </row>
    <row r="580" spans="1:95" ht="15">
      <c r="A580" s="510">
        <v>578</v>
      </c>
      <c r="B580" s="240"/>
      <c r="C580" s="513"/>
      <c r="D580" s="240"/>
      <c r="E580" s="517"/>
      <c r="F580" s="265"/>
      <c r="G580" s="513"/>
      <c r="H580" s="265"/>
      <c r="I580" s="520"/>
      <c r="J580" s="241"/>
      <c r="K580" s="520"/>
      <c r="L580" s="241"/>
      <c r="M580" s="521"/>
      <c r="N580" s="241"/>
      <c r="O580" s="521"/>
      <c r="P580" s="241"/>
      <c r="Q580" s="520"/>
      <c r="R580" s="241"/>
      <c r="S580" s="520"/>
      <c r="T580" s="241"/>
      <c r="U580" s="520"/>
      <c r="V580" s="241"/>
      <c r="W580" s="242"/>
      <c r="X580" s="241"/>
      <c r="Y580" s="242"/>
      <c r="Z580" s="241"/>
      <c r="AA580" s="241"/>
      <c r="AB580" s="275"/>
      <c r="AC580" s="524"/>
      <c r="AD580" s="241"/>
      <c r="AE580" s="241"/>
      <c r="AF580" s="241"/>
      <c r="AG580" s="241"/>
      <c r="AH580" s="241"/>
      <c r="AI580" s="241"/>
      <c r="AJ580" s="529"/>
      <c r="AK580" s="258"/>
      <c r="AL580" s="241"/>
      <c r="AM580" s="242"/>
      <c r="AN580" s="241"/>
      <c r="AO580" s="242"/>
      <c r="AP580" s="241"/>
      <c r="AQ580" s="242"/>
      <c r="AR580" s="241"/>
      <c r="AS580" s="242"/>
      <c r="AT580" s="241"/>
      <c r="AU580" s="241"/>
      <c r="AV580" s="256"/>
      <c r="AW580" s="241"/>
      <c r="AX580" s="256"/>
      <c r="AY580" s="241"/>
      <c r="AZ580" s="256"/>
      <c r="BA580" s="239"/>
      <c r="BB580" s="242"/>
      <c r="BC580" s="239"/>
      <c r="BD580" s="242"/>
      <c r="BE580" s="239"/>
      <c r="BF580" s="241"/>
      <c r="BG580" s="239"/>
      <c r="BH580" s="241"/>
      <c r="BI580" s="260"/>
      <c r="BJ580" s="241"/>
      <c r="BK580" s="260"/>
      <c r="BL580" s="239"/>
      <c r="BM580" s="256"/>
      <c r="BN580" s="241"/>
      <c r="BO580" s="243"/>
      <c r="BP580" s="241"/>
      <c r="BQ580" s="239"/>
      <c r="BR580" s="276"/>
      <c r="BS580" s="256"/>
      <c r="BT580" s="260"/>
      <c r="BU580" s="261"/>
      <c r="BV580" s="260"/>
      <c r="BW580" s="239"/>
      <c r="BX580" s="260"/>
      <c r="BY580" s="260"/>
      <c r="BZ580" s="239"/>
      <c r="CA580" s="260"/>
      <c r="CB580" s="239"/>
      <c r="CC580" s="260"/>
      <c r="CD580" s="539"/>
      <c r="CE580" s="239"/>
      <c r="CF580" s="276"/>
      <c r="CG580" s="256"/>
      <c r="CH580" s="259"/>
      <c r="CI580" s="347"/>
      <c r="CJ580" s="540"/>
      <c r="CK580" s="256"/>
      <c r="CL580" s="244">
        <v>1</v>
      </c>
      <c r="CM580" s="274">
        <f t="shared" ref="CM580:CM602" si="9">$A$1-CB580</f>
        <v>2015</v>
      </c>
      <c r="CN580" s="244">
        <f>IF('Grille de saisie'!CM580&lt;18,0,IF('Grille de saisie'!CM580&lt;40,1,IF('Grille de saisie'!CM580&lt;65,2,IF('Grille de saisie'!CM580&lt;100,3,4))))</f>
        <v>4</v>
      </c>
      <c r="CO580" s="236">
        <f>IF(AND('Grille de saisie'!C580=1,'Grille de saisie'!BZ580=0),1,IF(AND('Grille de saisie'!C580="",'Grille de saisie'!BZ580=""),3,IF(AND('Grille de saisie'!C580=5),3,2)))</f>
        <v>3</v>
      </c>
      <c r="CP580" s="236">
        <f>IF(AND('Grille de saisie'!C580=1,'Grille de saisie'!BZ580=0),1,IF(AND('Grille de saisie'!C580=1,'Grille de saisie'!BZ580=1),2,IF(AND('Grille de saisie'!C580=2,'Grille de saisie'!BZ580=0),2,IF(AND('Grille de saisie'!C580=3,'Grille de saisie'!BZ580=0),3,IF(AND('Grille de saisie'!C580=2,'Grille de saisie'!BZ580=1),3,IF(AND('Grille de saisie'!C580=1,'Grille de saisie'!BZ580=2),3,IF(AND('Grille de saisie'!C580="",'Grille de saisie'!BZ580=""),5,IF(AND('Grille de saisie'!C580=5),5,4))))))))</f>
        <v>5</v>
      </c>
      <c r="CQ580" s="237">
        <f>IF('Grille de saisie'!BZ580="",3,IF('Grille de saisie'!C580=5,3,IF('Grille de saisie'!BZ580=0,1,2)))</f>
        <v>3</v>
      </c>
    </row>
    <row r="581" spans="1:95" ht="15">
      <c r="A581" s="510">
        <v>579</v>
      </c>
      <c r="B581" s="240"/>
      <c r="C581" s="513"/>
      <c r="D581" s="240"/>
      <c r="E581" s="517"/>
      <c r="F581" s="265"/>
      <c r="G581" s="513"/>
      <c r="H581" s="265"/>
      <c r="I581" s="520"/>
      <c r="J581" s="241"/>
      <c r="K581" s="520"/>
      <c r="L581" s="241"/>
      <c r="M581" s="521"/>
      <c r="N581" s="241"/>
      <c r="O581" s="521"/>
      <c r="P581" s="241"/>
      <c r="Q581" s="520"/>
      <c r="R581" s="241"/>
      <c r="S581" s="520"/>
      <c r="T581" s="241"/>
      <c r="U581" s="520"/>
      <c r="V581" s="241"/>
      <c r="W581" s="242"/>
      <c r="X581" s="241"/>
      <c r="Y581" s="242"/>
      <c r="Z581" s="241"/>
      <c r="AA581" s="241"/>
      <c r="AB581" s="275"/>
      <c r="AC581" s="524"/>
      <c r="AD581" s="241"/>
      <c r="AE581" s="241"/>
      <c r="AF581" s="241"/>
      <c r="AG581" s="241"/>
      <c r="AH581" s="241"/>
      <c r="AI581" s="241"/>
      <c r="AJ581" s="529"/>
      <c r="AK581" s="258"/>
      <c r="AL581" s="241"/>
      <c r="AM581" s="242"/>
      <c r="AN581" s="241"/>
      <c r="AO581" s="242"/>
      <c r="AP581" s="241"/>
      <c r="AQ581" s="242"/>
      <c r="AR581" s="241"/>
      <c r="AS581" s="242"/>
      <c r="AT581" s="241"/>
      <c r="AU581" s="241"/>
      <c r="AV581" s="256"/>
      <c r="AW581" s="241"/>
      <c r="AX581" s="256"/>
      <c r="AY581" s="241"/>
      <c r="AZ581" s="256"/>
      <c r="BA581" s="239"/>
      <c r="BB581" s="242"/>
      <c r="BC581" s="239"/>
      <c r="BD581" s="242"/>
      <c r="BE581" s="239"/>
      <c r="BF581" s="241"/>
      <c r="BG581" s="239"/>
      <c r="BH581" s="241"/>
      <c r="BI581" s="260"/>
      <c r="BJ581" s="241"/>
      <c r="BK581" s="260"/>
      <c r="BL581" s="239"/>
      <c r="BM581" s="256"/>
      <c r="BN581" s="241"/>
      <c r="BO581" s="243"/>
      <c r="BP581" s="241"/>
      <c r="BQ581" s="239"/>
      <c r="BR581" s="276"/>
      <c r="BS581" s="256"/>
      <c r="BT581" s="260"/>
      <c r="BU581" s="261"/>
      <c r="BV581" s="260"/>
      <c r="BW581" s="239"/>
      <c r="BX581" s="260"/>
      <c r="BY581" s="260"/>
      <c r="BZ581" s="239"/>
      <c r="CA581" s="260"/>
      <c r="CB581" s="239"/>
      <c r="CC581" s="260"/>
      <c r="CD581" s="539"/>
      <c r="CE581" s="239"/>
      <c r="CF581" s="276"/>
      <c r="CG581" s="256"/>
      <c r="CH581" s="259"/>
      <c r="CI581" s="347"/>
      <c r="CJ581" s="540"/>
      <c r="CK581" s="256"/>
      <c r="CL581" s="244">
        <v>1</v>
      </c>
      <c r="CM581" s="274">
        <f t="shared" si="9"/>
        <v>2015</v>
      </c>
      <c r="CN581" s="244">
        <f>IF('Grille de saisie'!CM581&lt;18,0,IF('Grille de saisie'!CM581&lt;40,1,IF('Grille de saisie'!CM581&lt;65,2,IF('Grille de saisie'!CM581&lt;100,3,4))))</f>
        <v>4</v>
      </c>
      <c r="CO581" s="236">
        <f>IF(AND('Grille de saisie'!C581=1,'Grille de saisie'!BZ581=0),1,IF(AND('Grille de saisie'!C581="",'Grille de saisie'!BZ581=""),3,IF(AND('Grille de saisie'!C581=5),3,2)))</f>
        <v>3</v>
      </c>
      <c r="CP581" s="236">
        <f>IF(AND('Grille de saisie'!C581=1,'Grille de saisie'!BZ581=0),1,IF(AND('Grille de saisie'!C581=1,'Grille de saisie'!BZ581=1),2,IF(AND('Grille de saisie'!C581=2,'Grille de saisie'!BZ581=0),2,IF(AND('Grille de saisie'!C581=3,'Grille de saisie'!BZ581=0),3,IF(AND('Grille de saisie'!C581=2,'Grille de saisie'!BZ581=1),3,IF(AND('Grille de saisie'!C581=1,'Grille de saisie'!BZ581=2),3,IF(AND('Grille de saisie'!C581="",'Grille de saisie'!BZ581=""),5,IF(AND('Grille de saisie'!C581=5),5,4))))))))</f>
        <v>5</v>
      </c>
      <c r="CQ581" s="237">
        <f>IF('Grille de saisie'!BZ581="",3,IF('Grille de saisie'!C581=5,3,IF('Grille de saisie'!BZ581=0,1,2)))</f>
        <v>3</v>
      </c>
    </row>
    <row r="582" spans="1:95" ht="15">
      <c r="A582" s="511">
        <v>580</v>
      </c>
      <c r="B582" s="240"/>
      <c r="C582" s="513"/>
      <c r="D582" s="240"/>
      <c r="E582" s="517"/>
      <c r="F582" s="265"/>
      <c r="G582" s="513"/>
      <c r="H582" s="265"/>
      <c r="I582" s="520"/>
      <c r="J582" s="241"/>
      <c r="K582" s="520"/>
      <c r="L582" s="241"/>
      <c r="M582" s="521"/>
      <c r="N582" s="241"/>
      <c r="O582" s="521"/>
      <c r="P582" s="241"/>
      <c r="Q582" s="520"/>
      <c r="R582" s="241"/>
      <c r="S582" s="520"/>
      <c r="T582" s="241"/>
      <c r="U582" s="520"/>
      <c r="V582" s="241"/>
      <c r="W582" s="242"/>
      <c r="X582" s="241"/>
      <c r="Y582" s="242"/>
      <c r="Z582" s="241"/>
      <c r="AA582" s="241"/>
      <c r="AB582" s="275"/>
      <c r="AC582" s="524"/>
      <c r="AD582" s="241"/>
      <c r="AE582" s="241"/>
      <c r="AF582" s="241"/>
      <c r="AG582" s="241"/>
      <c r="AH582" s="241"/>
      <c r="AI582" s="241"/>
      <c r="AJ582" s="529"/>
      <c r="AK582" s="258"/>
      <c r="AL582" s="241"/>
      <c r="AM582" s="242"/>
      <c r="AN582" s="241"/>
      <c r="AO582" s="242"/>
      <c r="AP582" s="241"/>
      <c r="AQ582" s="242"/>
      <c r="AR582" s="241"/>
      <c r="AS582" s="242"/>
      <c r="AT582" s="241"/>
      <c r="AU582" s="241"/>
      <c r="AV582" s="256"/>
      <c r="AW582" s="241"/>
      <c r="AX582" s="256"/>
      <c r="AY582" s="241"/>
      <c r="AZ582" s="256"/>
      <c r="BA582" s="239"/>
      <c r="BB582" s="242"/>
      <c r="BC582" s="239"/>
      <c r="BD582" s="242"/>
      <c r="BE582" s="239"/>
      <c r="BF582" s="241"/>
      <c r="BG582" s="239"/>
      <c r="BH582" s="241"/>
      <c r="BI582" s="260"/>
      <c r="BJ582" s="241"/>
      <c r="BK582" s="260"/>
      <c r="BL582" s="239"/>
      <c r="BM582" s="256"/>
      <c r="BN582" s="241"/>
      <c r="BO582" s="243"/>
      <c r="BP582" s="241"/>
      <c r="BQ582" s="239"/>
      <c r="BR582" s="276"/>
      <c r="BS582" s="256"/>
      <c r="BT582" s="260"/>
      <c r="BU582" s="261"/>
      <c r="BV582" s="260"/>
      <c r="BW582" s="239"/>
      <c r="BX582" s="260"/>
      <c r="BY582" s="260"/>
      <c r="BZ582" s="239"/>
      <c r="CA582" s="260"/>
      <c r="CB582" s="239"/>
      <c r="CC582" s="260"/>
      <c r="CD582" s="539"/>
      <c r="CE582" s="239"/>
      <c r="CF582" s="276"/>
      <c r="CG582" s="256"/>
      <c r="CH582" s="259"/>
      <c r="CI582" s="347"/>
      <c r="CJ582" s="540"/>
      <c r="CK582" s="256"/>
      <c r="CL582" s="244">
        <v>1</v>
      </c>
      <c r="CM582" s="274">
        <f t="shared" si="9"/>
        <v>2015</v>
      </c>
      <c r="CN582" s="244">
        <f>IF('Grille de saisie'!CM582&lt;18,0,IF('Grille de saisie'!CM582&lt;40,1,IF('Grille de saisie'!CM582&lt;65,2,IF('Grille de saisie'!CM582&lt;100,3,4))))</f>
        <v>4</v>
      </c>
      <c r="CO582" s="236">
        <f>IF(AND('Grille de saisie'!C582=1,'Grille de saisie'!BZ582=0),1,IF(AND('Grille de saisie'!C582="",'Grille de saisie'!BZ582=""),3,IF(AND('Grille de saisie'!C582=5),3,2)))</f>
        <v>3</v>
      </c>
      <c r="CP582" s="236">
        <f>IF(AND('Grille de saisie'!C582=1,'Grille de saisie'!BZ582=0),1,IF(AND('Grille de saisie'!C582=1,'Grille de saisie'!BZ582=1),2,IF(AND('Grille de saisie'!C582=2,'Grille de saisie'!BZ582=0),2,IF(AND('Grille de saisie'!C582=3,'Grille de saisie'!BZ582=0),3,IF(AND('Grille de saisie'!C582=2,'Grille de saisie'!BZ582=1),3,IF(AND('Grille de saisie'!C582=1,'Grille de saisie'!BZ582=2),3,IF(AND('Grille de saisie'!C582="",'Grille de saisie'!BZ582=""),5,IF(AND('Grille de saisie'!C582=5),5,4))))))))</f>
        <v>5</v>
      </c>
      <c r="CQ582" s="237">
        <f>IF('Grille de saisie'!BZ582="",3,IF('Grille de saisie'!C582=5,3,IF('Grille de saisie'!BZ582=0,1,2)))</f>
        <v>3</v>
      </c>
    </row>
    <row r="583" spans="1:95" ht="15">
      <c r="A583" s="510">
        <v>581</v>
      </c>
      <c r="B583" s="240"/>
      <c r="C583" s="513"/>
      <c r="D583" s="240"/>
      <c r="E583" s="517"/>
      <c r="F583" s="265"/>
      <c r="G583" s="513"/>
      <c r="H583" s="265"/>
      <c r="I583" s="520"/>
      <c r="J583" s="241"/>
      <c r="K583" s="520"/>
      <c r="L583" s="241"/>
      <c r="M583" s="521"/>
      <c r="N583" s="241"/>
      <c r="O583" s="521"/>
      <c r="P583" s="241"/>
      <c r="Q583" s="520"/>
      <c r="R583" s="241"/>
      <c r="S583" s="520"/>
      <c r="T583" s="241"/>
      <c r="U583" s="520"/>
      <c r="V583" s="241"/>
      <c r="W583" s="242"/>
      <c r="X583" s="241"/>
      <c r="Y583" s="242"/>
      <c r="Z583" s="241"/>
      <c r="AA583" s="241"/>
      <c r="AB583" s="275"/>
      <c r="AC583" s="524"/>
      <c r="AD583" s="241"/>
      <c r="AE583" s="241"/>
      <c r="AF583" s="241"/>
      <c r="AG583" s="241"/>
      <c r="AH583" s="241"/>
      <c r="AI583" s="241"/>
      <c r="AJ583" s="529"/>
      <c r="AK583" s="258"/>
      <c r="AL583" s="241"/>
      <c r="AM583" s="242"/>
      <c r="AN583" s="241"/>
      <c r="AO583" s="242"/>
      <c r="AP583" s="241"/>
      <c r="AQ583" s="242"/>
      <c r="AR583" s="241"/>
      <c r="AS583" s="242"/>
      <c r="AT583" s="241"/>
      <c r="AU583" s="241"/>
      <c r="AV583" s="256"/>
      <c r="AW583" s="241"/>
      <c r="AX583" s="256"/>
      <c r="AY583" s="241"/>
      <c r="AZ583" s="256"/>
      <c r="BA583" s="239"/>
      <c r="BB583" s="242"/>
      <c r="BC583" s="239"/>
      <c r="BD583" s="242"/>
      <c r="BE583" s="239"/>
      <c r="BF583" s="241"/>
      <c r="BG583" s="239"/>
      <c r="BH583" s="241"/>
      <c r="BI583" s="260"/>
      <c r="BJ583" s="241"/>
      <c r="BK583" s="260"/>
      <c r="BL583" s="239"/>
      <c r="BM583" s="256"/>
      <c r="BN583" s="241"/>
      <c r="BO583" s="243"/>
      <c r="BP583" s="241"/>
      <c r="BQ583" s="239"/>
      <c r="BR583" s="276"/>
      <c r="BS583" s="256"/>
      <c r="BT583" s="260"/>
      <c r="BU583" s="261"/>
      <c r="BV583" s="260"/>
      <c r="BW583" s="239"/>
      <c r="BX583" s="260"/>
      <c r="BY583" s="260"/>
      <c r="BZ583" s="239"/>
      <c r="CA583" s="260"/>
      <c r="CB583" s="239"/>
      <c r="CC583" s="260"/>
      <c r="CD583" s="539"/>
      <c r="CE583" s="239"/>
      <c r="CF583" s="276"/>
      <c r="CG583" s="256"/>
      <c r="CH583" s="259"/>
      <c r="CI583" s="347"/>
      <c r="CJ583" s="540"/>
      <c r="CK583" s="256"/>
      <c r="CL583" s="244">
        <v>1</v>
      </c>
      <c r="CM583" s="274">
        <f t="shared" si="9"/>
        <v>2015</v>
      </c>
      <c r="CN583" s="244">
        <f>IF('Grille de saisie'!CM583&lt;18,0,IF('Grille de saisie'!CM583&lt;40,1,IF('Grille de saisie'!CM583&lt;65,2,IF('Grille de saisie'!CM583&lt;100,3,4))))</f>
        <v>4</v>
      </c>
      <c r="CO583" s="236">
        <f>IF(AND('Grille de saisie'!C583=1,'Grille de saisie'!BZ583=0),1,IF(AND('Grille de saisie'!C583="",'Grille de saisie'!BZ583=""),3,IF(AND('Grille de saisie'!C583=5),3,2)))</f>
        <v>3</v>
      </c>
      <c r="CP583" s="236">
        <f>IF(AND('Grille de saisie'!C583=1,'Grille de saisie'!BZ583=0),1,IF(AND('Grille de saisie'!C583=1,'Grille de saisie'!BZ583=1),2,IF(AND('Grille de saisie'!C583=2,'Grille de saisie'!BZ583=0),2,IF(AND('Grille de saisie'!C583=3,'Grille de saisie'!BZ583=0),3,IF(AND('Grille de saisie'!C583=2,'Grille de saisie'!BZ583=1),3,IF(AND('Grille de saisie'!C583=1,'Grille de saisie'!BZ583=2),3,IF(AND('Grille de saisie'!C583="",'Grille de saisie'!BZ583=""),5,IF(AND('Grille de saisie'!C583=5),5,4))))))))</f>
        <v>5</v>
      </c>
      <c r="CQ583" s="237">
        <f>IF('Grille de saisie'!BZ583="",3,IF('Grille de saisie'!C583=5,3,IF('Grille de saisie'!BZ583=0,1,2)))</f>
        <v>3</v>
      </c>
    </row>
    <row r="584" spans="1:95" ht="15">
      <c r="A584" s="510">
        <v>582</v>
      </c>
      <c r="B584" s="240"/>
      <c r="C584" s="513"/>
      <c r="D584" s="240"/>
      <c r="E584" s="517"/>
      <c r="F584" s="265"/>
      <c r="G584" s="513"/>
      <c r="H584" s="265"/>
      <c r="I584" s="520"/>
      <c r="J584" s="241"/>
      <c r="K584" s="520"/>
      <c r="L584" s="241"/>
      <c r="M584" s="521"/>
      <c r="N584" s="241"/>
      <c r="O584" s="521"/>
      <c r="P584" s="241"/>
      <c r="Q584" s="520"/>
      <c r="R584" s="241"/>
      <c r="S584" s="520"/>
      <c r="T584" s="241"/>
      <c r="U584" s="520"/>
      <c r="V584" s="241"/>
      <c r="W584" s="242"/>
      <c r="X584" s="241"/>
      <c r="Y584" s="242"/>
      <c r="Z584" s="241"/>
      <c r="AA584" s="241"/>
      <c r="AB584" s="275"/>
      <c r="AC584" s="524"/>
      <c r="AD584" s="241"/>
      <c r="AE584" s="241"/>
      <c r="AF584" s="241"/>
      <c r="AG584" s="241"/>
      <c r="AH584" s="241"/>
      <c r="AI584" s="241"/>
      <c r="AJ584" s="529"/>
      <c r="AK584" s="258"/>
      <c r="AL584" s="241"/>
      <c r="AM584" s="242"/>
      <c r="AN584" s="241"/>
      <c r="AO584" s="242"/>
      <c r="AP584" s="241"/>
      <c r="AQ584" s="242"/>
      <c r="AR584" s="241"/>
      <c r="AS584" s="242"/>
      <c r="AT584" s="241"/>
      <c r="AU584" s="241"/>
      <c r="AV584" s="256"/>
      <c r="AW584" s="241"/>
      <c r="AX584" s="256"/>
      <c r="AY584" s="241"/>
      <c r="AZ584" s="256"/>
      <c r="BA584" s="239"/>
      <c r="BB584" s="242"/>
      <c r="BC584" s="239"/>
      <c r="BD584" s="242"/>
      <c r="BE584" s="239"/>
      <c r="BF584" s="241"/>
      <c r="BG584" s="239"/>
      <c r="BH584" s="241"/>
      <c r="BI584" s="260"/>
      <c r="BJ584" s="241"/>
      <c r="BK584" s="260"/>
      <c r="BL584" s="239"/>
      <c r="BM584" s="256"/>
      <c r="BN584" s="241"/>
      <c r="BO584" s="243"/>
      <c r="BP584" s="241"/>
      <c r="BQ584" s="239"/>
      <c r="BR584" s="276"/>
      <c r="BS584" s="256"/>
      <c r="BT584" s="260"/>
      <c r="BU584" s="261"/>
      <c r="BV584" s="260"/>
      <c r="BW584" s="239"/>
      <c r="BX584" s="260"/>
      <c r="BY584" s="260"/>
      <c r="BZ584" s="239"/>
      <c r="CA584" s="260"/>
      <c r="CB584" s="239"/>
      <c r="CC584" s="260"/>
      <c r="CD584" s="539"/>
      <c r="CE584" s="239"/>
      <c r="CF584" s="276"/>
      <c r="CG584" s="256"/>
      <c r="CH584" s="259"/>
      <c r="CI584" s="347"/>
      <c r="CJ584" s="540"/>
      <c r="CK584" s="256"/>
      <c r="CL584" s="244">
        <v>1</v>
      </c>
      <c r="CM584" s="274">
        <f t="shared" si="9"/>
        <v>2015</v>
      </c>
      <c r="CN584" s="244">
        <f>IF('Grille de saisie'!CM584&lt;18,0,IF('Grille de saisie'!CM584&lt;40,1,IF('Grille de saisie'!CM584&lt;65,2,IF('Grille de saisie'!CM584&lt;100,3,4))))</f>
        <v>4</v>
      </c>
      <c r="CO584" s="236">
        <f>IF(AND('Grille de saisie'!C584=1,'Grille de saisie'!BZ584=0),1,IF(AND('Grille de saisie'!C584="",'Grille de saisie'!BZ584=""),3,IF(AND('Grille de saisie'!C584=5),3,2)))</f>
        <v>3</v>
      </c>
      <c r="CP584" s="236">
        <f>IF(AND('Grille de saisie'!C584=1,'Grille de saisie'!BZ584=0),1,IF(AND('Grille de saisie'!C584=1,'Grille de saisie'!BZ584=1),2,IF(AND('Grille de saisie'!C584=2,'Grille de saisie'!BZ584=0),2,IF(AND('Grille de saisie'!C584=3,'Grille de saisie'!BZ584=0),3,IF(AND('Grille de saisie'!C584=2,'Grille de saisie'!BZ584=1),3,IF(AND('Grille de saisie'!C584=1,'Grille de saisie'!BZ584=2),3,IF(AND('Grille de saisie'!C584="",'Grille de saisie'!BZ584=""),5,IF(AND('Grille de saisie'!C584=5),5,4))))))))</f>
        <v>5</v>
      </c>
      <c r="CQ584" s="237">
        <f>IF('Grille de saisie'!BZ584="",3,IF('Grille de saisie'!C584=5,3,IF('Grille de saisie'!BZ584=0,1,2)))</f>
        <v>3</v>
      </c>
    </row>
    <row r="585" spans="1:95" ht="15">
      <c r="A585" s="511">
        <v>583</v>
      </c>
      <c r="B585" s="240"/>
      <c r="C585" s="513"/>
      <c r="D585" s="240"/>
      <c r="E585" s="517"/>
      <c r="F585" s="265"/>
      <c r="G585" s="513"/>
      <c r="H585" s="265"/>
      <c r="I585" s="520"/>
      <c r="J585" s="241"/>
      <c r="K585" s="520"/>
      <c r="L585" s="241"/>
      <c r="M585" s="521"/>
      <c r="N585" s="241"/>
      <c r="O585" s="521"/>
      <c r="P585" s="241"/>
      <c r="Q585" s="520"/>
      <c r="R585" s="241"/>
      <c r="S585" s="520"/>
      <c r="T585" s="241"/>
      <c r="U585" s="520"/>
      <c r="V585" s="241"/>
      <c r="W585" s="242"/>
      <c r="X585" s="241"/>
      <c r="Y585" s="242"/>
      <c r="Z585" s="241"/>
      <c r="AA585" s="241"/>
      <c r="AB585" s="275"/>
      <c r="AC585" s="524"/>
      <c r="AD585" s="241"/>
      <c r="AE585" s="241"/>
      <c r="AF585" s="241"/>
      <c r="AG585" s="241"/>
      <c r="AH585" s="241"/>
      <c r="AI585" s="241"/>
      <c r="AJ585" s="529"/>
      <c r="AK585" s="258"/>
      <c r="AL585" s="241"/>
      <c r="AM585" s="242"/>
      <c r="AN585" s="241"/>
      <c r="AO585" s="242"/>
      <c r="AP585" s="241"/>
      <c r="AQ585" s="242"/>
      <c r="AR585" s="241"/>
      <c r="AS585" s="242"/>
      <c r="AT585" s="241"/>
      <c r="AU585" s="241"/>
      <c r="AV585" s="256"/>
      <c r="AW585" s="241"/>
      <c r="AX585" s="256"/>
      <c r="AY585" s="241"/>
      <c r="AZ585" s="256"/>
      <c r="BA585" s="239"/>
      <c r="BB585" s="242"/>
      <c r="BC585" s="239"/>
      <c r="BD585" s="242"/>
      <c r="BE585" s="239"/>
      <c r="BF585" s="241"/>
      <c r="BG585" s="239"/>
      <c r="BH585" s="241"/>
      <c r="BI585" s="260"/>
      <c r="BJ585" s="241"/>
      <c r="BK585" s="260"/>
      <c r="BL585" s="239"/>
      <c r="BM585" s="256"/>
      <c r="BN585" s="241"/>
      <c r="BO585" s="243"/>
      <c r="BP585" s="241"/>
      <c r="BQ585" s="239"/>
      <c r="BR585" s="276"/>
      <c r="BS585" s="256"/>
      <c r="BT585" s="260"/>
      <c r="BU585" s="261"/>
      <c r="BV585" s="260"/>
      <c r="BW585" s="239"/>
      <c r="BX585" s="260"/>
      <c r="BY585" s="260"/>
      <c r="BZ585" s="239"/>
      <c r="CA585" s="260"/>
      <c r="CB585" s="239"/>
      <c r="CC585" s="260"/>
      <c r="CD585" s="539"/>
      <c r="CE585" s="239"/>
      <c r="CF585" s="276"/>
      <c r="CG585" s="256"/>
      <c r="CH585" s="259"/>
      <c r="CI585" s="347"/>
      <c r="CJ585" s="540"/>
      <c r="CK585" s="256"/>
      <c r="CL585" s="244">
        <v>1</v>
      </c>
      <c r="CM585" s="274">
        <f t="shared" si="9"/>
        <v>2015</v>
      </c>
      <c r="CN585" s="244">
        <f>IF('Grille de saisie'!CM585&lt;18,0,IF('Grille de saisie'!CM585&lt;40,1,IF('Grille de saisie'!CM585&lt;65,2,IF('Grille de saisie'!CM585&lt;100,3,4))))</f>
        <v>4</v>
      </c>
      <c r="CO585" s="236">
        <f>IF(AND('Grille de saisie'!C585=1,'Grille de saisie'!BZ585=0),1,IF(AND('Grille de saisie'!C585="",'Grille de saisie'!BZ585=""),3,IF(AND('Grille de saisie'!C585=5),3,2)))</f>
        <v>3</v>
      </c>
      <c r="CP585" s="236">
        <f>IF(AND('Grille de saisie'!C585=1,'Grille de saisie'!BZ585=0),1,IF(AND('Grille de saisie'!C585=1,'Grille de saisie'!BZ585=1),2,IF(AND('Grille de saisie'!C585=2,'Grille de saisie'!BZ585=0),2,IF(AND('Grille de saisie'!C585=3,'Grille de saisie'!BZ585=0),3,IF(AND('Grille de saisie'!C585=2,'Grille de saisie'!BZ585=1),3,IF(AND('Grille de saisie'!C585=1,'Grille de saisie'!BZ585=2),3,IF(AND('Grille de saisie'!C585="",'Grille de saisie'!BZ585=""),5,IF(AND('Grille de saisie'!C585=5),5,4))))))))</f>
        <v>5</v>
      </c>
      <c r="CQ585" s="237">
        <f>IF('Grille de saisie'!BZ585="",3,IF('Grille de saisie'!C585=5,3,IF('Grille de saisie'!BZ585=0,1,2)))</f>
        <v>3</v>
      </c>
    </row>
    <row r="586" spans="1:95" ht="15">
      <c r="A586" s="510">
        <v>584</v>
      </c>
      <c r="B586" s="240"/>
      <c r="C586" s="513"/>
      <c r="D586" s="240"/>
      <c r="E586" s="517"/>
      <c r="F586" s="265"/>
      <c r="G586" s="513"/>
      <c r="H586" s="265"/>
      <c r="I586" s="520"/>
      <c r="J586" s="241"/>
      <c r="K586" s="520"/>
      <c r="L586" s="241"/>
      <c r="M586" s="521"/>
      <c r="N586" s="241"/>
      <c r="O586" s="521"/>
      <c r="P586" s="241"/>
      <c r="Q586" s="520"/>
      <c r="R586" s="241"/>
      <c r="S586" s="520"/>
      <c r="T586" s="241"/>
      <c r="U586" s="520"/>
      <c r="V586" s="241"/>
      <c r="W586" s="242"/>
      <c r="X586" s="241"/>
      <c r="Y586" s="242"/>
      <c r="Z586" s="241"/>
      <c r="AA586" s="241"/>
      <c r="AB586" s="275"/>
      <c r="AC586" s="524"/>
      <c r="AD586" s="241"/>
      <c r="AE586" s="241"/>
      <c r="AF586" s="241"/>
      <c r="AG586" s="241"/>
      <c r="AH586" s="241"/>
      <c r="AI586" s="241"/>
      <c r="AJ586" s="529"/>
      <c r="AK586" s="559"/>
      <c r="AL586" s="241"/>
      <c r="AM586" s="242"/>
      <c r="AN586" s="241"/>
      <c r="AO586" s="242"/>
      <c r="AP586" s="241"/>
      <c r="AQ586" s="242"/>
      <c r="AR586" s="241"/>
      <c r="AS586" s="242"/>
      <c r="AT586" s="241"/>
      <c r="AU586" s="241"/>
      <c r="AV586" s="256"/>
      <c r="AW586" s="241"/>
      <c r="AX586" s="256"/>
      <c r="AY586" s="241"/>
      <c r="AZ586" s="256"/>
      <c r="BA586" s="239"/>
      <c r="BB586" s="242"/>
      <c r="BC586" s="239"/>
      <c r="BD586" s="242"/>
      <c r="BE586" s="239"/>
      <c r="BF586" s="241"/>
      <c r="BG586" s="239"/>
      <c r="BH586" s="241"/>
      <c r="BI586" s="260"/>
      <c r="BJ586" s="241"/>
      <c r="BK586" s="260"/>
      <c r="BL586" s="239"/>
      <c r="BM586" s="256"/>
      <c r="BN586" s="241"/>
      <c r="BO586" s="243"/>
      <c r="BP586" s="241"/>
      <c r="BQ586" s="239"/>
      <c r="BR586" s="276"/>
      <c r="BS586" s="256"/>
      <c r="BT586" s="260"/>
      <c r="BU586" s="261"/>
      <c r="BV586" s="260"/>
      <c r="BW586" s="239"/>
      <c r="BX586" s="260"/>
      <c r="BY586" s="260"/>
      <c r="BZ586" s="239"/>
      <c r="CA586" s="260"/>
      <c r="CB586" s="239"/>
      <c r="CC586" s="260"/>
      <c r="CD586" s="539"/>
      <c r="CE586" s="239"/>
      <c r="CF586" s="276"/>
      <c r="CG586" s="256"/>
      <c r="CH586" s="259"/>
      <c r="CI586" s="347"/>
      <c r="CJ586" s="540"/>
      <c r="CK586" s="256"/>
      <c r="CL586" s="244">
        <v>1</v>
      </c>
      <c r="CM586" s="274">
        <f t="shared" si="9"/>
        <v>2015</v>
      </c>
      <c r="CN586" s="244">
        <f>IF('Grille de saisie'!CM586&lt;18,0,IF('Grille de saisie'!CM586&lt;40,1,IF('Grille de saisie'!CM586&lt;65,2,IF('Grille de saisie'!CM586&lt;100,3,4))))</f>
        <v>4</v>
      </c>
      <c r="CO586" s="236">
        <f>IF(AND('Grille de saisie'!C586=1,'Grille de saisie'!BZ586=0),1,IF(AND('Grille de saisie'!C586="",'Grille de saisie'!BZ586=""),3,IF(AND('Grille de saisie'!C586=5),3,2)))</f>
        <v>3</v>
      </c>
      <c r="CP586" s="236">
        <f>IF(AND('Grille de saisie'!C586=1,'Grille de saisie'!BZ586=0),1,IF(AND('Grille de saisie'!C586=1,'Grille de saisie'!BZ586=1),2,IF(AND('Grille de saisie'!C586=2,'Grille de saisie'!BZ586=0),2,IF(AND('Grille de saisie'!C586=3,'Grille de saisie'!BZ586=0),3,IF(AND('Grille de saisie'!C586=2,'Grille de saisie'!BZ586=1),3,IF(AND('Grille de saisie'!C586=1,'Grille de saisie'!BZ586=2),3,IF(AND('Grille de saisie'!C586="",'Grille de saisie'!BZ586=""),5,IF(AND('Grille de saisie'!C586=5),5,4))))))))</f>
        <v>5</v>
      </c>
      <c r="CQ586" s="237">
        <f>IF('Grille de saisie'!BZ586="",3,IF('Grille de saisie'!C586=5,3,IF('Grille de saisie'!BZ586=0,1,2)))</f>
        <v>3</v>
      </c>
    </row>
    <row r="587" spans="1:95" ht="15">
      <c r="A587" s="510">
        <v>585</v>
      </c>
      <c r="B587" s="240"/>
      <c r="C587" s="513"/>
      <c r="D587" s="240"/>
      <c r="E587" s="517"/>
      <c r="F587" s="265"/>
      <c r="G587" s="513"/>
      <c r="H587" s="265"/>
      <c r="I587" s="520"/>
      <c r="J587" s="241"/>
      <c r="K587" s="520"/>
      <c r="L587" s="241"/>
      <c r="M587" s="521"/>
      <c r="N587" s="241"/>
      <c r="O587" s="521"/>
      <c r="P587" s="241"/>
      <c r="Q587" s="520"/>
      <c r="R587" s="241"/>
      <c r="S587" s="520"/>
      <c r="T587" s="241"/>
      <c r="U587" s="520"/>
      <c r="V587" s="241"/>
      <c r="W587" s="242"/>
      <c r="X587" s="241"/>
      <c r="Y587" s="242"/>
      <c r="Z587" s="241"/>
      <c r="AA587" s="241"/>
      <c r="AB587" s="275"/>
      <c r="AC587" s="524"/>
      <c r="AD587" s="241"/>
      <c r="AE587" s="241"/>
      <c r="AF587" s="241"/>
      <c r="AG587" s="241"/>
      <c r="AH587" s="241"/>
      <c r="AI587" s="241"/>
      <c r="AJ587" s="529"/>
      <c r="AK587" s="258"/>
      <c r="AL587" s="241"/>
      <c r="AM587" s="242"/>
      <c r="AN587" s="241"/>
      <c r="AO587" s="242"/>
      <c r="AP587" s="241"/>
      <c r="AQ587" s="242"/>
      <c r="AR587" s="241"/>
      <c r="AS587" s="242"/>
      <c r="AT587" s="241"/>
      <c r="AU587" s="241"/>
      <c r="AV587" s="256"/>
      <c r="AW587" s="241"/>
      <c r="AX587" s="256"/>
      <c r="AY587" s="241"/>
      <c r="AZ587" s="256"/>
      <c r="BA587" s="239"/>
      <c r="BB587" s="242"/>
      <c r="BC587" s="239"/>
      <c r="BD587" s="242"/>
      <c r="BE587" s="239"/>
      <c r="BF587" s="241"/>
      <c r="BG587" s="239"/>
      <c r="BH587" s="241"/>
      <c r="BI587" s="260"/>
      <c r="BJ587" s="241"/>
      <c r="BK587" s="260"/>
      <c r="BL587" s="239"/>
      <c r="BM587" s="256"/>
      <c r="BN587" s="241"/>
      <c r="BO587" s="243"/>
      <c r="BP587" s="241"/>
      <c r="BQ587" s="239"/>
      <c r="BR587" s="276"/>
      <c r="BS587" s="256"/>
      <c r="BT587" s="260"/>
      <c r="BU587" s="261"/>
      <c r="BV587" s="260"/>
      <c r="BW587" s="239"/>
      <c r="BX587" s="260"/>
      <c r="BY587" s="260"/>
      <c r="BZ587" s="239"/>
      <c r="CA587" s="260"/>
      <c r="CB587" s="239"/>
      <c r="CC587" s="260"/>
      <c r="CD587" s="539"/>
      <c r="CE587" s="239"/>
      <c r="CF587" s="276"/>
      <c r="CG587" s="256"/>
      <c r="CH587" s="259"/>
      <c r="CI587" s="347"/>
      <c r="CJ587" s="540"/>
      <c r="CK587" s="256"/>
      <c r="CL587" s="244">
        <v>1</v>
      </c>
      <c r="CM587" s="274">
        <f t="shared" si="9"/>
        <v>2015</v>
      </c>
      <c r="CN587" s="244">
        <f>IF('Grille de saisie'!CM587&lt;18,0,IF('Grille de saisie'!CM587&lt;40,1,IF('Grille de saisie'!CM587&lt;65,2,IF('Grille de saisie'!CM587&lt;100,3,4))))</f>
        <v>4</v>
      </c>
      <c r="CO587" s="236">
        <f>IF(AND('Grille de saisie'!C587=1,'Grille de saisie'!BZ587=0),1,IF(AND('Grille de saisie'!C587="",'Grille de saisie'!BZ587=""),3,IF(AND('Grille de saisie'!C587=5),3,2)))</f>
        <v>3</v>
      </c>
      <c r="CP587" s="236">
        <f>IF(AND('Grille de saisie'!C587=1,'Grille de saisie'!BZ587=0),1,IF(AND('Grille de saisie'!C587=1,'Grille de saisie'!BZ587=1),2,IF(AND('Grille de saisie'!C587=2,'Grille de saisie'!BZ587=0),2,IF(AND('Grille de saisie'!C587=3,'Grille de saisie'!BZ587=0),3,IF(AND('Grille de saisie'!C587=2,'Grille de saisie'!BZ587=1),3,IF(AND('Grille de saisie'!C587=1,'Grille de saisie'!BZ587=2),3,IF(AND('Grille de saisie'!C587="",'Grille de saisie'!BZ587=""),5,IF(AND('Grille de saisie'!C587=5),5,4))))))))</f>
        <v>5</v>
      </c>
      <c r="CQ587" s="237">
        <f>IF('Grille de saisie'!BZ587="",3,IF('Grille de saisie'!C587=5,3,IF('Grille de saisie'!BZ587=0,1,2)))</f>
        <v>3</v>
      </c>
    </row>
    <row r="588" spans="1:95" ht="15">
      <c r="A588" s="511">
        <v>586</v>
      </c>
      <c r="B588" s="240"/>
      <c r="C588" s="513"/>
      <c r="D588" s="240"/>
      <c r="E588" s="517"/>
      <c r="F588" s="265"/>
      <c r="G588" s="513"/>
      <c r="H588" s="265"/>
      <c r="I588" s="520"/>
      <c r="J588" s="241"/>
      <c r="K588" s="520"/>
      <c r="L588" s="241"/>
      <c r="M588" s="521"/>
      <c r="N588" s="241"/>
      <c r="O588" s="521"/>
      <c r="P588" s="241"/>
      <c r="Q588" s="520"/>
      <c r="R588" s="241"/>
      <c r="S588" s="520"/>
      <c r="T588" s="241"/>
      <c r="U588" s="520"/>
      <c r="V588" s="241"/>
      <c r="W588" s="242"/>
      <c r="X588" s="241"/>
      <c r="Y588" s="242"/>
      <c r="Z588" s="241"/>
      <c r="AA588" s="241"/>
      <c r="AB588" s="275"/>
      <c r="AC588" s="524"/>
      <c r="AD588" s="241"/>
      <c r="AE588" s="241"/>
      <c r="AF588" s="241"/>
      <c r="AG588" s="241"/>
      <c r="AH588" s="241"/>
      <c r="AI588" s="241"/>
      <c r="AJ588" s="529"/>
      <c r="AK588" s="258"/>
      <c r="AL588" s="241"/>
      <c r="AM588" s="242"/>
      <c r="AN588" s="241"/>
      <c r="AO588" s="242"/>
      <c r="AP588" s="241"/>
      <c r="AQ588" s="242"/>
      <c r="AR588" s="241"/>
      <c r="AS588" s="242"/>
      <c r="AT588" s="241"/>
      <c r="AU588" s="241"/>
      <c r="AV588" s="256"/>
      <c r="AW588" s="241"/>
      <c r="AX588" s="256"/>
      <c r="AY588" s="241"/>
      <c r="AZ588" s="256"/>
      <c r="BA588" s="239"/>
      <c r="BB588" s="242"/>
      <c r="BC588" s="239"/>
      <c r="BD588" s="242"/>
      <c r="BE588" s="239"/>
      <c r="BF588" s="241"/>
      <c r="BG588" s="239"/>
      <c r="BH588" s="241"/>
      <c r="BI588" s="260"/>
      <c r="BJ588" s="241"/>
      <c r="BK588" s="260"/>
      <c r="BL588" s="239"/>
      <c r="BM588" s="256"/>
      <c r="BN588" s="241"/>
      <c r="BO588" s="243"/>
      <c r="BP588" s="241"/>
      <c r="BQ588" s="239"/>
      <c r="BR588" s="276"/>
      <c r="BS588" s="256"/>
      <c r="BT588" s="260"/>
      <c r="BU588" s="261"/>
      <c r="BV588" s="260"/>
      <c r="BW588" s="239"/>
      <c r="BX588" s="260"/>
      <c r="BY588" s="260"/>
      <c r="BZ588" s="239"/>
      <c r="CA588" s="260"/>
      <c r="CB588" s="239"/>
      <c r="CC588" s="260"/>
      <c r="CD588" s="539"/>
      <c r="CE588" s="239"/>
      <c r="CF588" s="276"/>
      <c r="CG588" s="256"/>
      <c r="CH588" s="259"/>
      <c r="CI588" s="347"/>
      <c r="CJ588" s="540"/>
      <c r="CK588" s="256"/>
      <c r="CL588" s="244">
        <v>1</v>
      </c>
      <c r="CM588" s="274">
        <f t="shared" si="9"/>
        <v>2015</v>
      </c>
      <c r="CN588" s="244">
        <f>IF('Grille de saisie'!CM588&lt;18,0,IF('Grille de saisie'!CM588&lt;40,1,IF('Grille de saisie'!CM588&lt;65,2,IF('Grille de saisie'!CM588&lt;100,3,4))))</f>
        <v>4</v>
      </c>
      <c r="CO588" s="236">
        <f>IF(AND('Grille de saisie'!C588=1,'Grille de saisie'!BZ588=0),1,IF(AND('Grille de saisie'!C588="",'Grille de saisie'!BZ588=""),3,IF(AND('Grille de saisie'!C588=5),3,2)))</f>
        <v>3</v>
      </c>
      <c r="CP588" s="236">
        <f>IF(AND('Grille de saisie'!C588=1,'Grille de saisie'!BZ588=0),1,IF(AND('Grille de saisie'!C588=1,'Grille de saisie'!BZ588=1),2,IF(AND('Grille de saisie'!C588=2,'Grille de saisie'!BZ588=0),2,IF(AND('Grille de saisie'!C588=3,'Grille de saisie'!BZ588=0),3,IF(AND('Grille de saisie'!C588=2,'Grille de saisie'!BZ588=1),3,IF(AND('Grille de saisie'!C588=1,'Grille de saisie'!BZ588=2),3,IF(AND('Grille de saisie'!C588="",'Grille de saisie'!BZ588=""),5,IF(AND('Grille de saisie'!C588=5),5,4))))))))</f>
        <v>5</v>
      </c>
      <c r="CQ588" s="237">
        <f>IF('Grille de saisie'!BZ588="",3,IF('Grille de saisie'!C588=5,3,IF('Grille de saisie'!BZ588=0,1,2)))</f>
        <v>3</v>
      </c>
    </row>
    <row r="589" spans="1:95" ht="15">
      <c r="A589" s="510">
        <v>587</v>
      </c>
      <c r="B589" s="240"/>
      <c r="C589" s="513"/>
      <c r="D589" s="240"/>
      <c r="E589" s="517"/>
      <c r="F589" s="265"/>
      <c r="G589" s="513"/>
      <c r="H589" s="265"/>
      <c r="I589" s="520"/>
      <c r="J589" s="241"/>
      <c r="K589" s="520"/>
      <c r="L589" s="241"/>
      <c r="M589" s="521"/>
      <c r="N589" s="241"/>
      <c r="O589" s="521"/>
      <c r="P589" s="241"/>
      <c r="Q589" s="520"/>
      <c r="R589" s="241"/>
      <c r="S589" s="520"/>
      <c r="T589" s="241"/>
      <c r="U589" s="520"/>
      <c r="V589" s="241"/>
      <c r="W589" s="242"/>
      <c r="X589" s="241"/>
      <c r="Y589" s="242"/>
      <c r="Z589" s="241"/>
      <c r="AA589" s="241"/>
      <c r="AB589" s="275"/>
      <c r="AC589" s="524"/>
      <c r="AD589" s="241"/>
      <c r="AE589" s="241"/>
      <c r="AF589" s="241"/>
      <c r="AG589" s="241"/>
      <c r="AH589" s="241"/>
      <c r="AI589" s="241"/>
      <c r="AJ589" s="529"/>
      <c r="AK589" s="258"/>
      <c r="AL589" s="241"/>
      <c r="AM589" s="242"/>
      <c r="AN589" s="241"/>
      <c r="AO589" s="242"/>
      <c r="AP589" s="241"/>
      <c r="AQ589" s="242"/>
      <c r="AR589" s="241"/>
      <c r="AS589" s="242"/>
      <c r="AT589" s="241"/>
      <c r="AU589" s="241"/>
      <c r="AV589" s="256"/>
      <c r="AW589" s="241"/>
      <c r="AX589" s="256"/>
      <c r="AY589" s="241"/>
      <c r="AZ589" s="256"/>
      <c r="BA589" s="239"/>
      <c r="BB589" s="242"/>
      <c r="BC589" s="239"/>
      <c r="BD589" s="242"/>
      <c r="BE589" s="239"/>
      <c r="BF589" s="241"/>
      <c r="BG589" s="560"/>
      <c r="BH589" s="241"/>
      <c r="BI589" s="260"/>
      <c r="BJ589" s="241"/>
      <c r="BK589" s="260"/>
      <c r="BL589" s="239"/>
      <c r="BM589" s="256"/>
      <c r="BN589" s="241"/>
      <c r="BO589" s="243"/>
      <c r="BP589" s="241"/>
      <c r="BQ589" s="239"/>
      <c r="BR589" s="276"/>
      <c r="BS589" s="256"/>
      <c r="BT589" s="260"/>
      <c r="BU589" s="261"/>
      <c r="BV589" s="260"/>
      <c r="BW589" s="239"/>
      <c r="BX589" s="260"/>
      <c r="BY589" s="260"/>
      <c r="BZ589" s="239"/>
      <c r="CA589" s="260"/>
      <c r="CB589" s="239"/>
      <c r="CC589" s="260"/>
      <c r="CD589" s="539"/>
      <c r="CE589" s="239"/>
      <c r="CF589" s="276"/>
      <c r="CG589" s="256"/>
      <c r="CH589" s="259"/>
      <c r="CI589" s="347"/>
      <c r="CJ589" s="540"/>
      <c r="CK589" s="256"/>
      <c r="CL589" s="244">
        <v>1</v>
      </c>
      <c r="CM589" s="274">
        <f t="shared" si="9"/>
        <v>2015</v>
      </c>
      <c r="CN589" s="244">
        <f>IF('Grille de saisie'!CM589&lt;18,0,IF('Grille de saisie'!CM589&lt;40,1,IF('Grille de saisie'!CM589&lt;65,2,IF('Grille de saisie'!CM589&lt;100,3,4))))</f>
        <v>4</v>
      </c>
      <c r="CO589" s="236">
        <f>IF(AND('Grille de saisie'!C589=1,'Grille de saisie'!BZ589=0),1,IF(AND('Grille de saisie'!C589="",'Grille de saisie'!BZ589=""),3,IF(AND('Grille de saisie'!C589=5),3,2)))</f>
        <v>3</v>
      </c>
      <c r="CP589" s="236">
        <f>IF(AND('Grille de saisie'!C589=1,'Grille de saisie'!BZ589=0),1,IF(AND('Grille de saisie'!C589=1,'Grille de saisie'!BZ589=1),2,IF(AND('Grille de saisie'!C589=2,'Grille de saisie'!BZ589=0),2,IF(AND('Grille de saisie'!C589=3,'Grille de saisie'!BZ589=0),3,IF(AND('Grille de saisie'!C589=2,'Grille de saisie'!BZ589=1),3,IF(AND('Grille de saisie'!C589=1,'Grille de saisie'!BZ589=2),3,IF(AND('Grille de saisie'!C589="",'Grille de saisie'!BZ589=""),5,IF(AND('Grille de saisie'!C589=5),5,4))))))))</f>
        <v>5</v>
      </c>
      <c r="CQ589" s="237">
        <f>IF('Grille de saisie'!BZ589="",3,IF('Grille de saisie'!C589=5,3,IF('Grille de saisie'!BZ589=0,1,2)))</f>
        <v>3</v>
      </c>
    </row>
    <row r="590" spans="1:95" ht="15">
      <c r="A590" s="510">
        <v>588</v>
      </c>
      <c r="B590" s="240"/>
      <c r="C590" s="513"/>
      <c r="D590" s="240"/>
      <c r="E590" s="517"/>
      <c r="F590" s="265"/>
      <c r="G590" s="513"/>
      <c r="H590" s="265"/>
      <c r="I590" s="520"/>
      <c r="J590" s="241"/>
      <c r="K590" s="520"/>
      <c r="L590" s="241"/>
      <c r="M590" s="521"/>
      <c r="N590" s="241"/>
      <c r="O590" s="521"/>
      <c r="P590" s="241"/>
      <c r="Q590" s="520"/>
      <c r="R590" s="241"/>
      <c r="S590" s="520"/>
      <c r="T590" s="241"/>
      <c r="U590" s="520"/>
      <c r="V590" s="241"/>
      <c r="W590" s="242"/>
      <c r="X590" s="241"/>
      <c r="Y590" s="242"/>
      <c r="Z590" s="241"/>
      <c r="AA590" s="241"/>
      <c r="AB590" s="275"/>
      <c r="AC590" s="524"/>
      <c r="AD590" s="241"/>
      <c r="AE590" s="241"/>
      <c r="AF590" s="241"/>
      <c r="AG590" s="241"/>
      <c r="AH590" s="241"/>
      <c r="AI590" s="241"/>
      <c r="AJ590" s="529"/>
      <c r="AK590" s="258"/>
      <c r="AL590" s="241"/>
      <c r="AM590" s="242"/>
      <c r="AN590" s="241"/>
      <c r="AO590" s="242"/>
      <c r="AP590" s="241"/>
      <c r="AQ590" s="242"/>
      <c r="AR590" s="241"/>
      <c r="AS590" s="242"/>
      <c r="AT590" s="241"/>
      <c r="AU590" s="241"/>
      <c r="AV590" s="256"/>
      <c r="AW590" s="241"/>
      <c r="AX590" s="256"/>
      <c r="AY590" s="241"/>
      <c r="AZ590" s="256"/>
      <c r="BA590" s="239"/>
      <c r="BB590" s="242"/>
      <c r="BC590" s="239"/>
      <c r="BD590" s="242"/>
      <c r="BE590" s="239"/>
      <c r="BF590" s="241"/>
      <c r="BG590" s="239"/>
      <c r="BH590" s="241"/>
      <c r="BI590" s="260"/>
      <c r="BJ590" s="241"/>
      <c r="BK590" s="260"/>
      <c r="BL590" s="239"/>
      <c r="BM590" s="256"/>
      <c r="BN590" s="241"/>
      <c r="BO590" s="243"/>
      <c r="BP590" s="241"/>
      <c r="BQ590" s="239"/>
      <c r="BR590" s="276"/>
      <c r="BS590" s="256"/>
      <c r="BT590" s="260"/>
      <c r="BU590" s="261"/>
      <c r="BV590" s="260"/>
      <c r="BW590" s="239"/>
      <c r="BX590" s="260"/>
      <c r="BY590" s="260"/>
      <c r="BZ590" s="239"/>
      <c r="CA590" s="260"/>
      <c r="CB590" s="239"/>
      <c r="CC590" s="260"/>
      <c r="CD590" s="539"/>
      <c r="CE590" s="239"/>
      <c r="CF590" s="276"/>
      <c r="CG590" s="256"/>
      <c r="CH590" s="259"/>
      <c r="CI590" s="347"/>
      <c r="CJ590" s="540"/>
      <c r="CK590" s="256"/>
      <c r="CL590" s="244">
        <v>1</v>
      </c>
      <c r="CM590" s="274">
        <f t="shared" si="9"/>
        <v>2015</v>
      </c>
      <c r="CN590" s="244">
        <f>IF('Grille de saisie'!CM590&lt;18,0,IF('Grille de saisie'!CM590&lt;40,1,IF('Grille de saisie'!CM590&lt;65,2,IF('Grille de saisie'!CM590&lt;100,3,4))))</f>
        <v>4</v>
      </c>
      <c r="CO590" s="236">
        <f>IF(AND('Grille de saisie'!C590=1,'Grille de saisie'!BZ590=0),1,IF(AND('Grille de saisie'!C590="",'Grille de saisie'!BZ590=""),3,IF(AND('Grille de saisie'!C590=5),3,2)))</f>
        <v>3</v>
      </c>
      <c r="CP590" s="236">
        <f>IF(AND('Grille de saisie'!C590=1,'Grille de saisie'!BZ590=0),1,IF(AND('Grille de saisie'!C590=1,'Grille de saisie'!BZ590=1),2,IF(AND('Grille de saisie'!C590=2,'Grille de saisie'!BZ590=0),2,IF(AND('Grille de saisie'!C590=3,'Grille de saisie'!BZ590=0),3,IF(AND('Grille de saisie'!C590=2,'Grille de saisie'!BZ590=1),3,IF(AND('Grille de saisie'!C590=1,'Grille de saisie'!BZ590=2),3,IF(AND('Grille de saisie'!C590="",'Grille de saisie'!BZ590=""),5,IF(AND('Grille de saisie'!C590=5),5,4))))))))</f>
        <v>5</v>
      </c>
      <c r="CQ590" s="237">
        <f>IF('Grille de saisie'!BZ590="",3,IF('Grille de saisie'!C590=5,3,IF('Grille de saisie'!BZ590=0,1,2)))</f>
        <v>3</v>
      </c>
    </row>
    <row r="591" spans="1:95" ht="15">
      <c r="A591" s="511">
        <v>589</v>
      </c>
      <c r="B591" s="240"/>
      <c r="C591" s="513"/>
      <c r="D591" s="240"/>
      <c r="E591" s="517"/>
      <c r="F591" s="265"/>
      <c r="G591" s="513"/>
      <c r="H591" s="265"/>
      <c r="I591" s="520"/>
      <c r="J591" s="241"/>
      <c r="K591" s="520"/>
      <c r="L591" s="241"/>
      <c r="M591" s="521"/>
      <c r="N591" s="241"/>
      <c r="O591" s="521"/>
      <c r="P591" s="241"/>
      <c r="Q591" s="520"/>
      <c r="R591" s="241"/>
      <c r="S591" s="520"/>
      <c r="T591" s="241"/>
      <c r="U591" s="520"/>
      <c r="V591" s="241"/>
      <c r="W591" s="242"/>
      <c r="X591" s="241"/>
      <c r="Y591" s="242"/>
      <c r="Z591" s="241"/>
      <c r="AA591" s="241"/>
      <c r="AB591" s="275"/>
      <c r="AC591" s="524"/>
      <c r="AD591" s="241"/>
      <c r="AE591" s="241"/>
      <c r="AF591" s="241"/>
      <c r="AG591" s="241"/>
      <c r="AH591" s="241"/>
      <c r="AI591" s="241"/>
      <c r="AJ591" s="529"/>
      <c r="AK591" s="258"/>
      <c r="AL591" s="241"/>
      <c r="AM591" s="242"/>
      <c r="AN591" s="241"/>
      <c r="AO591" s="242"/>
      <c r="AP591" s="241"/>
      <c r="AQ591" s="242"/>
      <c r="AR591" s="241"/>
      <c r="AS591" s="242"/>
      <c r="AT591" s="241"/>
      <c r="AU591" s="241"/>
      <c r="AV591" s="256"/>
      <c r="AW591" s="241"/>
      <c r="AX591" s="256"/>
      <c r="AY591" s="241"/>
      <c r="AZ591" s="256"/>
      <c r="BA591" s="239"/>
      <c r="BB591" s="242"/>
      <c r="BC591" s="239"/>
      <c r="BD591" s="242"/>
      <c r="BE591" s="239"/>
      <c r="BF591" s="241"/>
      <c r="BG591" s="239"/>
      <c r="BH591" s="241"/>
      <c r="BI591" s="260"/>
      <c r="BJ591" s="241"/>
      <c r="BK591" s="260"/>
      <c r="BL591" s="239"/>
      <c r="BM591" s="256"/>
      <c r="BN591" s="241"/>
      <c r="BO591" s="243"/>
      <c r="BP591" s="241"/>
      <c r="BQ591" s="239"/>
      <c r="BR591" s="276"/>
      <c r="BS591" s="256"/>
      <c r="BT591" s="260"/>
      <c r="BU591" s="261"/>
      <c r="BV591" s="260"/>
      <c r="BW591" s="239"/>
      <c r="BX591" s="260"/>
      <c r="BY591" s="260"/>
      <c r="BZ591" s="239"/>
      <c r="CA591" s="260"/>
      <c r="CB591" s="239"/>
      <c r="CC591" s="260"/>
      <c r="CD591" s="539"/>
      <c r="CE591" s="239"/>
      <c r="CF591" s="276"/>
      <c r="CG591" s="256"/>
      <c r="CH591" s="259"/>
      <c r="CI591" s="347"/>
      <c r="CJ591" s="540"/>
      <c r="CK591" s="256"/>
      <c r="CL591" s="244">
        <v>1</v>
      </c>
      <c r="CM591" s="274">
        <f t="shared" si="9"/>
        <v>2015</v>
      </c>
      <c r="CN591" s="244">
        <f>IF('Grille de saisie'!CM591&lt;18,0,IF('Grille de saisie'!CM591&lt;40,1,IF('Grille de saisie'!CM591&lt;65,2,IF('Grille de saisie'!CM591&lt;100,3,4))))</f>
        <v>4</v>
      </c>
      <c r="CO591" s="236">
        <f>IF(AND('Grille de saisie'!C591=1,'Grille de saisie'!BZ591=0),1,IF(AND('Grille de saisie'!C591="",'Grille de saisie'!BZ591=""),3,IF(AND('Grille de saisie'!C591=5),3,2)))</f>
        <v>3</v>
      </c>
      <c r="CP591" s="236">
        <f>IF(AND('Grille de saisie'!C591=1,'Grille de saisie'!BZ591=0),1,IF(AND('Grille de saisie'!C591=1,'Grille de saisie'!BZ591=1),2,IF(AND('Grille de saisie'!C591=2,'Grille de saisie'!BZ591=0),2,IF(AND('Grille de saisie'!C591=3,'Grille de saisie'!BZ591=0),3,IF(AND('Grille de saisie'!C591=2,'Grille de saisie'!BZ591=1),3,IF(AND('Grille de saisie'!C591=1,'Grille de saisie'!BZ591=2),3,IF(AND('Grille de saisie'!C591="",'Grille de saisie'!BZ591=""),5,IF(AND('Grille de saisie'!C591=5),5,4))))))))</f>
        <v>5</v>
      </c>
      <c r="CQ591" s="237">
        <f>IF('Grille de saisie'!BZ591="",3,IF('Grille de saisie'!C591=5,3,IF('Grille de saisie'!BZ591=0,1,2)))</f>
        <v>3</v>
      </c>
    </row>
    <row r="592" spans="1:95" ht="15">
      <c r="A592" s="510">
        <v>590</v>
      </c>
      <c r="B592" s="240"/>
      <c r="C592" s="513"/>
      <c r="D592" s="240"/>
      <c r="E592" s="517"/>
      <c r="F592" s="265"/>
      <c r="G592" s="513"/>
      <c r="H592" s="265"/>
      <c r="I592" s="520"/>
      <c r="J592" s="241"/>
      <c r="K592" s="520"/>
      <c r="L592" s="241"/>
      <c r="M592" s="521"/>
      <c r="N592" s="241"/>
      <c r="O592" s="521"/>
      <c r="P592" s="241"/>
      <c r="Q592" s="520"/>
      <c r="R592" s="241"/>
      <c r="S592" s="520"/>
      <c r="T592" s="241"/>
      <c r="U592" s="520"/>
      <c r="V592" s="241"/>
      <c r="W592" s="242"/>
      <c r="X592" s="241"/>
      <c r="Y592" s="242"/>
      <c r="Z592" s="241"/>
      <c r="AA592" s="241"/>
      <c r="AB592" s="275"/>
      <c r="AC592" s="524"/>
      <c r="AD592" s="241"/>
      <c r="AE592" s="241"/>
      <c r="AF592" s="241"/>
      <c r="AG592" s="241"/>
      <c r="AH592" s="241"/>
      <c r="AI592" s="241"/>
      <c r="AJ592" s="529"/>
      <c r="AK592" s="258"/>
      <c r="AL592" s="241"/>
      <c r="AM592" s="242"/>
      <c r="AN592" s="241"/>
      <c r="AO592" s="242"/>
      <c r="AP592" s="241"/>
      <c r="AQ592" s="242"/>
      <c r="AR592" s="241"/>
      <c r="AS592" s="242"/>
      <c r="AT592" s="241"/>
      <c r="AU592" s="241"/>
      <c r="AV592" s="256"/>
      <c r="AW592" s="241"/>
      <c r="AX592" s="256"/>
      <c r="AY592" s="241"/>
      <c r="AZ592" s="256"/>
      <c r="BA592" s="239"/>
      <c r="BB592" s="242"/>
      <c r="BC592" s="239"/>
      <c r="BD592" s="242"/>
      <c r="BE592" s="239"/>
      <c r="BF592" s="241"/>
      <c r="BG592" s="239"/>
      <c r="BH592" s="241"/>
      <c r="BI592" s="260"/>
      <c r="BJ592" s="241"/>
      <c r="BK592" s="260"/>
      <c r="BL592" s="239"/>
      <c r="BM592" s="256"/>
      <c r="BN592" s="241"/>
      <c r="BO592" s="243"/>
      <c r="BP592" s="241"/>
      <c r="BQ592" s="239"/>
      <c r="BR592" s="276"/>
      <c r="BS592" s="256"/>
      <c r="BT592" s="260"/>
      <c r="BU592" s="261"/>
      <c r="BV592" s="260"/>
      <c r="BW592" s="239"/>
      <c r="BX592" s="260"/>
      <c r="BY592" s="260"/>
      <c r="BZ592" s="239"/>
      <c r="CA592" s="260"/>
      <c r="CB592" s="239"/>
      <c r="CC592" s="260"/>
      <c r="CD592" s="539"/>
      <c r="CE592" s="239"/>
      <c r="CF592" s="276"/>
      <c r="CG592" s="256"/>
      <c r="CH592" s="259"/>
      <c r="CI592" s="347"/>
      <c r="CJ592" s="540"/>
      <c r="CK592" s="256"/>
      <c r="CL592" s="244">
        <v>1</v>
      </c>
      <c r="CM592" s="274">
        <f t="shared" si="9"/>
        <v>2015</v>
      </c>
      <c r="CN592" s="244">
        <f>IF('Grille de saisie'!CM592&lt;18,0,IF('Grille de saisie'!CM592&lt;40,1,IF('Grille de saisie'!CM592&lt;65,2,IF('Grille de saisie'!CM592&lt;100,3,4))))</f>
        <v>4</v>
      </c>
      <c r="CO592" s="236">
        <f>IF(AND('Grille de saisie'!C592=1,'Grille de saisie'!BZ592=0),1,IF(AND('Grille de saisie'!C592="",'Grille de saisie'!BZ592=""),3,IF(AND('Grille de saisie'!C592=5),3,2)))</f>
        <v>3</v>
      </c>
      <c r="CP592" s="236">
        <f>IF(AND('Grille de saisie'!C592=1,'Grille de saisie'!BZ592=0),1,IF(AND('Grille de saisie'!C592=1,'Grille de saisie'!BZ592=1),2,IF(AND('Grille de saisie'!C592=2,'Grille de saisie'!BZ592=0),2,IF(AND('Grille de saisie'!C592=3,'Grille de saisie'!BZ592=0),3,IF(AND('Grille de saisie'!C592=2,'Grille de saisie'!BZ592=1),3,IF(AND('Grille de saisie'!C592=1,'Grille de saisie'!BZ592=2),3,IF(AND('Grille de saisie'!C592="",'Grille de saisie'!BZ592=""),5,IF(AND('Grille de saisie'!C592=5),5,4))))))))</f>
        <v>5</v>
      </c>
      <c r="CQ592" s="237">
        <f>IF('Grille de saisie'!BZ592="",3,IF('Grille de saisie'!C592=5,3,IF('Grille de saisie'!BZ592=0,1,2)))</f>
        <v>3</v>
      </c>
    </row>
    <row r="593" spans="1:95" ht="15">
      <c r="A593" s="510">
        <v>591</v>
      </c>
      <c r="B593" s="240"/>
      <c r="C593" s="513"/>
      <c r="D593" s="240"/>
      <c r="E593" s="517"/>
      <c r="F593" s="265"/>
      <c r="G593" s="513"/>
      <c r="H593" s="265"/>
      <c r="I593" s="520"/>
      <c r="J593" s="241"/>
      <c r="K593" s="520"/>
      <c r="L593" s="241"/>
      <c r="M593" s="521"/>
      <c r="N593" s="241"/>
      <c r="O593" s="521"/>
      <c r="P593" s="241"/>
      <c r="Q593" s="520"/>
      <c r="R593" s="241"/>
      <c r="S593" s="520"/>
      <c r="T593" s="241"/>
      <c r="U593" s="520"/>
      <c r="V593" s="241"/>
      <c r="W593" s="242"/>
      <c r="X593" s="241"/>
      <c r="Y593" s="242"/>
      <c r="Z593" s="241"/>
      <c r="AA593" s="241"/>
      <c r="AB593" s="275"/>
      <c r="AC593" s="524"/>
      <c r="AD593" s="241"/>
      <c r="AE593" s="241"/>
      <c r="AF593" s="241"/>
      <c r="AG593" s="241"/>
      <c r="AH593" s="241"/>
      <c r="AI593" s="241"/>
      <c r="AJ593" s="529"/>
      <c r="AK593" s="258"/>
      <c r="AL593" s="241"/>
      <c r="AM593" s="242"/>
      <c r="AN593" s="241"/>
      <c r="AO593" s="242"/>
      <c r="AP593" s="241"/>
      <c r="AQ593" s="242"/>
      <c r="AR593" s="241"/>
      <c r="AS593" s="242"/>
      <c r="AT593" s="241"/>
      <c r="AU593" s="241"/>
      <c r="AV593" s="256"/>
      <c r="AW593" s="241"/>
      <c r="AX593" s="256"/>
      <c r="AY593" s="241"/>
      <c r="AZ593" s="256"/>
      <c r="BA593" s="239"/>
      <c r="BB593" s="242"/>
      <c r="BC593" s="239"/>
      <c r="BD593" s="242"/>
      <c r="BE593" s="239"/>
      <c r="BF593" s="241"/>
      <c r="BG593" s="239"/>
      <c r="BH593" s="241"/>
      <c r="BI593" s="260"/>
      <c r="BJ593" s="241"/>
      <c r="BK593" s="260"/>
      <c r="BL593" s="239"/>
      <c r="BM593" s="256"/>
      <c r="BN593" s="241"/>
      <c r="BO593" s="243"/>
      <c r="BP593" s="241"/>
      <c r="BQ593" s="239"/>
      <c r="BR593" s="276"/>
      <c r="BS593" s="256"/>
      <c r="BT593" s="260"/>
      <c r="BU593" s="261"/>
      <c r="BV593" s="260"/>
      <c r="BW593" s="239"/>
      <c r="BX593" s="260"/>
      <c r="BY593" s="260"/>
      <c r="BZ593" s="239"/>
      <c r="CA593" s="260"/>
      <c r="CB593" s="239"/>
      <c r="CC593" s="260"/>
      <c r="CD593" s="539"/>
      <c r="CE593" s="239"/>
      <c r="CF593" s="276"/>
      <c r="CG593" s="256"/>
      <c r="CH593" s="259"/>
      <c r="CI593" s="347"/>
      <c r="CJ593" s="540"/>
      <c r="CK593" s="256"/>
      <c r="CL593" s="244">
        <v>1</v>
      </c>
      <c r="CM593" s="274">
        <f t="shared" si="9"/>
        <v>2015</v>
      </c>
      <c r="CN593" s="244">
        <f>IF('Grille de saisie'!CM593&lt;18,0,IF('Grille de saisie'!CM593&lt;40,1,IF('Grille de saisie'!CM593&lt;65,2,IF('Grille de saisie'!CM593&lt;100,3,4))))</f>
        <v>4</v>
      </c>
      <c r="CO593" s="236">
        <f>IF(AND('Grille de saisie'!C593=1,'Grille de saisie'!BZ593=0),1,IF(AND('Grille de saisie'!C593="",'Grille de saisie'!BZ593=""),3,IF(AND('Grille de saisie'!C593=5),3,2)))</f>
        <v>3</v>
      </c>
      <c r="CP593" s="236">
        <f>IF(AND('Grille de saisie'!C593=1,'Grille de saisie'!BZ593=0),1,IF(AND('Grille de saisie'!C593=1,'Grille de saisie'!BZ593=1),2,IF(AND('Grille de saisie'!C593=2,'Grille de saisie'!BZ593=0),2,IF(AND('Grille de saisie'!C593=3,'Grille de saisie'!BZ593=0),3,IF(AND('Grille de saisie'!C593=2,'Grille de saisie'!BZ593=1),3,IF(AND('Grille de saisie'!C593=1,'Grille de saisie'!BZ593=2),3,IF(AND('Grille de saisie'!C593="",'Grille de saisie'!BZ593=""),5,IF(AND('Grille de saisie'!C593=5),5,4))))))))</f>
        <v>5</v>
      </c>
      <c r="CQ593" s="237">
        <f>IF('Grille de saisie'!BZ593="",3,IF('Grille de saisie'!C593=5,3,IF('Grille de saisie'!BZ593=0,1,2)))</f>
        <v>3</v>
      </c>
    </row>
    <row r="594" spans="1:95" ht="15">
      <c r="A594" s="511">
        <v>592</v>
      </c>
      <c r="B594" s="240"/>
      <c r="C594" s="513"/>
      <c r="D594" s="240"/>
      <c r="E594" s="517"/>
      <c r="F594" s="265"/>
      <c r="G594" s="513"/>
      <c r="H594" s="265"/>
      <c r="I594" s="520"/>
      <c r="J594" s="241"/>
      <c r="K594" s="520"/>
      <c r="L594" s="241"/>
      <c r="M594" s="521"/>
      <c r="N594" s="241"/>
      <c r="O594" s="521"/>
      <c r="P594" s="241"/>
      <c r="Q594" s="520"/>
      <c r="R594" s="241"/>
      <c r="S594" s="520"/>
      <c r="T594" s="241"/>
      <c r="U594" s="520"/>
      <c r="V594" s="241"/>
      <c r="W594" s="242"/>
      <c r="X594" s="241"/>
      <c r="Y594" s="242"/>
      <c r="Z594" s="241"/>
      <c r="AA594" s="241"/>
      <c r="AB594" s="275"/>
      <c r="AC594" s="524"/>
      <c r="AD594" s="241"/>
      <c r="AE594" s="241"/>
      <c r="AF594" s="241"/>
      <c r="AG594" s="241"/>
      <c r="AH594" s="241"/>
      <c r="AI594" s="241"/>
      <c r="AJ594" s="529"/>
      <c r="AK594" s="258"/>
      <c r="AL594" s="241"/>
      <c r="AM594" s="242"/>
      <c r="AN594" s="241"/>
      <c r="AO594" s="242"/>
      <c r="AP594" s="241"/>
      <c r="AQ594" s="242"/>
      <c r="AR594" s="241"/>
      <c r="AS594" s="242"/>
      <c r="AT594" s="241"/>
      <c r="AU594" s="241"/>
      <c r="AV594" s="256"/>
      <c r="AW594" s="241"/>
      <c r="AX594" s="256"/>
      <c r="AY594" s="241"/>
      <c r="AZ594" s="256"/>
      <c r="BA594" s="239"/>
      <c r="BB594" s="242"/>
      <c r="BC594" s="239"/>
      <c r="BD594" s="242"/>
      <c r="BE594" s="239"/>
      <c r="BF594" s="241"/>
      <c r="BG594" s="239"/>
      <c r="BH594" s="241"/>
      <c r="BI594" s="260"/>
      <c r="BJ594" s="241"/>
      <c r="BK594" s="260"/>
      <c r="BL594" s="239"/>
      <c r="BM594" s="256"/>
      <c r="BN594" s="241"/>
      <c r="BO594" s="243"/>
      <c r="BP594" s="241"/>
      <c r="BQ594" s="239"/>
      <c r="BR594" s="276"/>
      <c r="BS594" s="256"/>
      <c r="BT594" s="260"/>
      <c r="BU594" s="261"/>
      <c r="BV594" s="260"/>
      <c r="BW594" s="239"/>
      <c r="BX594" s="260"/>
      <c r="BY594" s="260"/>
      <c r="BZ594" s="239"/>
      <c r="CA594" s="260"/>
      <c r="CB594" s="239"/>
      <c r="CC594" s="260"/>
      <c r="CD594" s="539"/>
      <c r="CE594" s="239"/>
      <c r="CF594" s="276"/>
      <c r="CG594" s="256"/>
      <c r="CH594" s="259"/>
      <c r="CI594" s="347"/>
      <c r="CJ594" s="540"/>
      <c r="CK594" s="256"/>
      <c r="CL594" s="244">
        <v>1</v>
      </c>
      <c r="CM594" s="274">
        <f t="shared" si="9"/>
        <v>2015</v>
      </c>
      <c r="CN594" s="244">
        <f>IF('Grille de saisie'!CM594&lt;18,0,IF('Grille de saisie'!CM594&lt;40,1,IF('Grille de saisie'!CM594&lt;65,2,IF('Grille de saisie'!CM594&lt;100,3,4))))</f>
        <v>4</v>
      </c>
      <c r="CO594" s="236">
        <f>IF(AND('Grille de saisie'!C594=1,'Grille de saisie'!BZ594=0),1,IF(AND('Grille de saisie'!C594="",'Grille de saisie'!BZ594=""),3,IF(AND('Grille de saisie'!C594=5),3,2)))</f>
        <v>3</v>
      </c>
      <c r="CP594" s="236">
        <f>IF(AND('Grille de saisie'!C594=1,'Grille de saisie'!BZ594=0),1,IF(AND('Grille de saisie'!C594=1,'Grille de saisie'!BZ594=1),2,IF(AND('Grille de saisie'!C594=2,'Grille de saisie'!BZ594=0),2,IF(AND('Grille de saisie'!C594=3,'Grille de saisie'!BZ594=0),3,IF(AND('Grille de saisie'!C594=2,'Grille de saisie'!BZ594=1),3,IF(AND('Grille de saisie'!C594=1,'Grille de saisie'!BZ594=2),3,IF(AND('Grille de saisie'!C594="",'Grille de saisie'!BZ594=""),5,IF(AND('Grille de saisie'!C594=5),5,4))))))))</f>
        <v>5</v>
      </c>
      <c r="CQ594" s="237">
        <f>IF('Grille de saisie'!BZ594="",3,IF('Grille de saisie'!C594=5,3,IF('Grille de saisie'!BZ594=0,1,2)))</f>
        <v>3</v>
      </c>
    </row>
    <row r="595" spans="1:95" ht="15">
      <c r="A595" s="510">
        <v>593</v>
      </c>
      <c r="B595" s="240"/>
      <c r="C595" s="513"/>
      <c r="D595" s="240"/>
      <c r="E595" s="517"/>
      <c r="F595" s="265"/>
      <c r="G595" s="513"/>
      <c r="H595" s="265"/>
      <c r="I595" s="520"/>
      <c r="J595" s="241"/>
      <c r="K595" s="520"/>
      <c r="L595" s="241"/>
      <c r="M595" s="521"/>
      <c r="N595" s="241"/>
      <c r="O595" s="521"/>
      <c r="P595" s="241"/>
      <c r="Q595" s="520"/>
      <c r="R595" s="241"/>
      <c r="S595" s="520"/>
      <c r="T595" s="241"/>
      <c r="U595" s="520"/>
      <c r="V595" s="241"/>
      <c r="W595" s="242"/>
      <c r="X595" s="241"/>
      <c r="Y595" s="242"/>
      <c r="Z595" s="241"/>
      <c r="AA595" s="241"/>
      <c r="AB595" s="275"/>
      <c r="AC595" s="524"/>
      <c r="AD595" s="241"/>
      <c r="AE595" s="241"/>
      <c r="AF595" s="241"/>
      <c r="AG595" s="241"/>
      <c r="AH595" s="241"/>
      <c r="AI595" s="241"/>
      <c r="AJ595" s="529"/>
      <c r="AK595" s="258"/>
      <c r="AL595" s="241"/>
      <c r="AM595" s="242"/>
      <c r="AN595" s="241"/>
      <c r="AO595" s="242"/>
      <c r="AP595" s="241"/>
      <c r="AQ595" s="242"/>
      <c r="AR595" s="241"/>
      <c r="AS595" s="242"/>
      <c r="AT595" s="241"/>
      <c r="AU595" s="241"/>
      <c r="AV595" s="256"/>
      <c r="AW595" s="241"/>
      <c r="AX595" s="256"/>
      <c r="AY595" s="241"/>
      <c r="AZ595" s="256"/>
      <c r="BA595" s="239"/>
      <c r="BB595" s="242"/>
      <c r="BC595" s="239"/>
      <c r="BD595" s="242"/>
      <c r="BE595" s="239"/>
      <c r="BF595" s="241"/>
      <c r="BG595" s="239"/>
      <c r="BH595" s="241"/>
      <c r="BI595" s="260"/>
      <c r="BJ595" s="241"/>
      <c r="BK595" s="260"/>
      <c r="BL595" s="239"/>
      <c r="BM595" s="256"/>
      <c r="BN595" s="241"/>
      <c r="BO595" s="243"/>
      <c r="BP595" s="241"/>
      <c r="BQ595" s="239"/>
      <c r="BR595" s="276"/>
      <c r="BS595" s="256"/>
      <c r="BT595" s="260"/>
      <c r="BU595" s="261"/>
      <c r="BV595" s="260"/>
      <c r="BW595" s="239"/>
      <c r="BX595" s="260"/>
      <c r="BY595" s="260"/>
      <c r="BZ595" s="239"/>
      <c r="CA595" s="260"/>
      <c r="CB595" s="239"/>
      <c r="CC595" s="260"/>
      <c r="CD595" s="539"/>
      <c r="CE595" s="239"/>
      <c r="CF595" s="276"/>
      <c r="CG595" s="256"/>
      <c r="CH595" s="259"/>
      <c r="CI595" s="347"/>
      <c r="CJ595" s="540"/>
      <c r="CK595" s="256"/>
      <c r="CL595" s="244">
        <v>1</v>
      </c>
      <c r="CM595" s="274">
        <f t="shared" si="9"/>
        <v>2015</v>
      </c>
      <c r="CN595" s="244">
        <f>IF('Grille de saisie'!CM595&lt;18,0,IF('Grille de saisie'!CM595&lt;40,1,IF('Grille de saisie'!CM595&lt;65,2,IF('Grille de saisie'!CM595&lt;100,3,4))))</f>
        <v>4</v>
      </c>
      <c r="CO595" s="236">
        <f>IF(AND('Grille de saisie'!C595=1,'Grille de saisie'!BZ595=0),1,IF(AND('Grille de saisie'!C595="",'Grille de saisie'!BZ595=""),3,IF(AND('Grille de saisie'!C595=5),3,2)))</f>
        <v>3</v>
      </c>
      <c r="CP595" s="236">
        <f>IF(AND('Grille de saisie'!C595=1,'Grille de saisie'!BZ595=0),1,IF(AND('Grille de saisie'!C595=1,'Grille de saisie'!BZ595=1),2,IF(AND('Grille de saisie'!C595=2,'Grille de saisie'!BZ595=0),2,IF(AND('Grille de saisie'!C595=3,'Grille de saisie'!BZ595=0),3,IF(AND('Grille de saisie'!C595=2,'Grille de saisie'!BZ595=1),3,IF(AND('Grille de saisie'!C595=1,'Grille de saisie'!BZ595=2),3,IF(AND('Grille de saisie'!C595="",'Grille de saisie'!BZ595=""),5,IF(AND('Grille de saisie'!C595=5),5,4))))))))</f>
        <v>5</v>
      </c>
      <c r="CQ595" s="237">
        <f>IF('Grille de saisie'!BZ595="",3,IF('Grille de saisie'!C595=5,3,IF('Grille de saisie'!BZ595=0,1,2)))</f>
        <v>3</v>
      </c>
    </row>
    <row r="596" spans="1:95" ht="15">
      <c r="A596" s="510">
        <v>594</v>
      </c>
      <c r="B596" s="240"/>
      <c r="C596" s="513"/>
      <c r="D596" s="240"/>
      <c r="E596" s="517"/>
      <c r="F596" s="265"/>
      <c r="G596" s="513"/>
      <c r="H596" s="265"/>
      <c r="I596" s="520"/>
      <c r="J596" s="241"/>
      <c r="K596" s="520"/>
      <c r="L596" s="241"/>
      <c r="M596" s="521"/>
      <c r="N596" s="241"/>
      <c r="O596" s="521"/>
      <c r="P596" s="241"/>
      <c r="Q596" s="520"/>
      <c r="R596" s="241"/>
      <c r="S596" s="520"/>
      <c r="T596" s="241"/>
      <c r="U596" s="520"/>
      <c r="V596" s="241"/>
      <c r="W596" s="242"/>
      <c r="X596" s="241"/>
      <c r="Y596" s="242"/>
      <c r="Z596" s="241"/>
      <c r="AA596" s="241"/>
      <c r="AB596" s="275"/>
      <c r="AC596" s="524"/>
      <c r="AD596" s="241"/>
      <c r="AE596" s="241"/>
      <c r="AF596" s="241"/>
      <c r="AG596" s="241"/>
      <c r="AH596" s="241"/>
      <c r="AI596" s="241"/>
      <c r="AJ596" s="529"/>
      <c r="AK596" s="258"/>
      <c r="AL596" s="241"/>
      <c r="AM596" s="242"/>
      <c r="AN596" s="241"/>
      <c r="AO596" s="242"/>
      <c r="AP596" s="241"/>
      <c r="AQ596" s="242"/>
      <c r="AR596" s="241"/>
      <c r="AS596" s="242"/>
      <c r="AT596" s="241"/>
      <c r="AU596" s="241"/>
      <c r="AV596" s="256"/>
      <c r="AW596" s="241"/>
      <c r="AX596" s="256"/>
      <c r="AY596" s="241"/>
      <c r="AZ596" s="256"/>
      <c r="BA596" s="239"/>
      <c r="BB596" s="242"/>
      <c r="BC596" s="239"/>
      <c r="BD596" s="242"/>
      <c r="BE596" s="239"/>
      <c r="BF596" s="241"/>
      <c r="BG596" s="239"/>
      <c r="BH596" s="241"/>
      <c r="BI596" s="260"/>
      <c r="BJ596" s="241"/>
      <c r="BK596" s="260"/>
      <c r="BL596" s="239"/>
      <c r="BM596" s="256"/>
      <c r="BN596" s="241"/>
      <c r="BO596" s="243"/>
      <c r="BP596" s="241"/>
      <c r="BQ596" s="239"/>
      <c r="BR596" s="276"/>
      <c r="BS596" s="256"/>
      <c r="BT596" s="260"/>
      <c r="BU596" s="261"/>
      <c r="BV596" s="260"/>
      <c r="BW596" s="239"/>
      <c r="BX596" s="260"/>
      <c r="BY596" s="260"/>
      <c r="BZ596" s="239"/>
      <c r="CA596" s="260"/>
      <c r="CB596" s="239"/>
      <c r="CC596" s="260"/>
      <c r="CD596" s="539"/>
      <c r="CE596" s="239"/>
      <c r="CF596" s="276"/>
      <c r="CG596" s="256"/>
      <c r="CH596" s="259"/>
      <c r="CI596" s="347"/>
      <c r="CJ596" s="540"/>
      <c r="CK596" s="256"/>
      <c r="CL596" s="244">
        <v>1</v>
      </c>
      <c r="CM596" s="274">
        <f t="shared" si="9"/>
        <v>2015</v>
      </c>
      <c r="CN596" s="244">
        <f>IF('Grille de saisie'!CM596&lt;18,0,IF('Grille de saisie'!CM596&lt;40,1,IF('Grille de saisie'!CM596&lt;65,2,IF('Grille de saisie'!CM596&lt;100,3,4))))</f>
        <v>4</v>
      </c>
      <c r="CO596" s="236">
        <f>IF(AND('Grille de saisie'!C596=1,'Grille de saisie'!BZ596=0),1,IF(AND('Grille de saisie'!C596="",'Grille de saisie'!BZ596=""),3,IF(AND('Grille de saisie'!C596=5),3,2)))</f>
        <v>3</v>
      </c>
      <c r="CP596" s="236">
        <f>IF(AND('Grille de saisie'!C596=1,'Grille de saisie'!BZ596=0),1,IF(AND('Grille de saisie'!C596=1,'Grille de saisie'!BZ596=1),2,IF(AND('Grille de saisie'!C596=2,'Grille de saisie'!BZ596=0),2,IF(AND('Grille de saisie'!C596=3,'Grille de saisie'!BZ596=0),3,IF(AND('Grille de saisie'!C596=2,'Grille de saisie'!BZ596=1),3,IF(AND('Grille de saisie'!C596=1,'Grille de saisie'!BZ596=2),3,IF(AND('Grille de saisie'!C596="",'Grille de saisie'!BZ596=""),5,IF(AND('Grille de saisie'!C596=5),5,4))))))))</f>
        <v>5</v>
      </c>
      <c r="CQ596" s="237">
        <f>IF('Grille de saisie'!BZ596="",3,IF('Grille de saisie'!C596=5,3,IF('Grille de saisie'!BZ596=0,1,2)))</f>
        <v>3</v>
      </c>
    </row>
    <row r="597" spans="1:95" ht="15">
      <c r="A597" s="511">
        <v>595</v>
      </c>
      <c r="B597" s="240"/>
      <c r="C597" s="513"/>
      <c r="D597" s="240"/>
      <c r="E597" s="517"/>
      <c r="F597" s="265"/>
      <c r="G597" s="513"/>
      <c r="H597" s="265"/>
      <c r="I597" s="520"/>
      <c r="J597" s="241"/>
      <c r="K597" s="520"/>
      <c r="L597" s="241"/>
      <c r="M597" s="521"/>
      <c r="N597" s="241"/>
      <c r="O597" s="521"/>
      <c r="P597" s="241"/>
      <c r="Q597" s="520"/>
      <c r="R597" s="241"/>
      <c r="S597" s="520"/>
      <c r="T597" s="241"/>
      <c r="U597" s="520"/>
      <c r="V597" s="241"/>
      <c r="W597" s="242"/>
      <c r="X597" s="241"/>
      <c r="Y597" s="242"/>
      <c r="Z597" s="241"/>
      <c r="AA597" s="241"/>
      <c r="AB597" s="275"/>
      <c r="AC597" s="524"/>
      <c r="AD597" s="241"/>
      <c r="AE597" s="241"/>
      <c r="AF597" s="241"/>
      <c r="AG597" s="241"/>
      <c r="AH597" s="241"/>
      <c r="AI597" s="241"/>
      <c r="AJ597" s="529"/>
      <c r="AK597" s="258"/>
      <c r="AL597" s="241"/>
      <c r="AM597" s="242"/>
      <c r="AN597" s="241"/>
      <c r="AO597" s="242"/>
      <c r="AP597" s="241"/>
      <c r="AQ597" s="242"/>
      <c r="AR597" s="241"/>
      <c r="AS597" s="242"/>
      <c r="AT597" s="241"/>
      <c r="AU597" s="241"/>
      <c r="AV597" s="256"/>
      <c r="AW597" s="241"/>
      <c r="AX597" s="256"/>
      <c r="AY597" s="241"/>
      <c r="AZ597" s="256"/>
      <c r="BA597" s="239"/>
      <c r="BB597" s="242"/>
      <c r="BC597" s="239"/>
      <c r="BD597" s="242"/>
      <c r="BE597" s="239"/>
      <c r="BF597" s="241"/>
      <c r="BG597" s="239"/>
      <c r="BH597" s="241"/>
      <c r="BI597" s="260"/>
      <c r="BJ597" s="241"/>
      <c r="BK597" s="260"/>
      <c r="BL597" s="239"/>
      <c r="BM597" s="256"/>
      <c r="BN597" s="241"/>
      <c r="BO597" s="243"/>
      <c r="BP597" s="241"/>
      <c r="BQ597" s="239"/>
      <c r="BR597" s="561"/>
      <c r="BS597" s="256"/>
      <c r="BT597" s="260"/>
      <c r="BU597" s="261"/>
      <c r="BV597" s="260"/>
      <c r="BW597" s="239"/>
      <c r="BX597" s="260"/>
      <c r="BY597" s="260"/>
      <c r="BZ597" s="239"/>
      <c r="CA597" s="260"/>
      <c r="CB597" s="239"/>
      <c r="CC597" s="260"/>
      <c r="CD597" s="539"/>
      <c r="CE597" s="239"/>
      <c r="CF597" s="276"/>
      <c r="CG597" s="256"/>
      <c r="CH597" s="259"/>
      <c r="CI597" s="347"/>
      <c r="CJ597" s="540"/>
      <c r="CK597" s="256"/>
      <c r="CL597" s="244">
        <v>1</v>
      </c>
      <c r="CM597" s="274">
        <f t="shared" si="9"/>
        <v>2015</v>
      </c>
      <c r="CN597" s="244">
        <f>IF('Grille de saisie'!CM597&lt;18,0,IF('Grille de saisie'!CM597&lt;40,1,IF('Grille de saisie'!CM597&lt;65,2,IF('Grille de saisie'!CM597&lt;100,3,4))))</f>
        <v>4</v>
      </c>
      <c r="CO597" s="236">
        <f>IF(AND('Grille de saisie'!C597=1,'Grille de saisie'!BZ597=0),1,IF(AND('Grille de saisie'!C597="",'Grille de saisie'!BZ597=""),3,IF(AND('Grille de saisie'!C597=5),3,2)))</f>
        <v>3</v>
      </c>
      <c r="CP597" s="236">
        <f>IF(AND('Grille de saisie'!C597=1,'Grille de saisie'!BZ597=0),1,IF(AND('Grille de saisie'!C597=1,'Grille de saisie'!BZ597=1),2,IF(AND('Grille de saisie'!C597=2,'Grille de saisie'!BZ597=0),2,IF(AND('Grille de saisie'!C597=3,'Grille de saisie'!BZ597=0),3,IF(AND('Grille de saisie'!C597=2,'Grille de saisie'!BZ597=1),3,IF(AND('Grille de saisie'!C597=1,'Grille de saisie'!BZ597=2),3,IF(AND('Grille de saisie'!C597="",'Grille de saisie'!BZ597=""),5,IF(AND('Grille de saisie'!C597=5),5,4))))))))</f>
        <v>5</v>
      </c>
      <c r="CQ597" s="237">
        <f>IF('Grille de saisie'!BZ597="",3,IF('Grille de saisie'!C597=5,3,IF('Grille de saisie'!BZ597=0,1,2)))</f>
        <v>3</v>
      </c>
    </row>
    <row r="598" spans="1:95" ht="15">
      <c r="A598" s="510">
        <v>596</v>
      </c>
      <c r="B598" s="240"/>
      <c r="C598" s="513"/>
      <c r="D598" s="240"/>
      <c r="E598" s="517"/>
      <c r="F598" s="265"/>
      <c r="G598" s="513"/>
      <c r="H598" s="265"/>
      <c r="I598" s="520"/>
      <c r="J598" s="241"/>
      <c r="K598" s="520"/>
      <c r="L598" s="241"/>
      <c r="M598" s="521"/>
      <c r="N598" s="241"/>
      <c r="O598" s="521"/>
      <c r="P598" s="241"/>
      <c r="Q598" s="520"/>
      <c r="R598" s="241"/>
      <c r="S598" s="520"/>
      <c r="T598" s="241"/>
      <c r="U598" s="520"/>
      <c r="V598" s="241"/>
      <c r="W598" s="242"/>
      <c r="X598" s="241"/>
      <c r="Y598" s="242"/>
      <c r="Z598" s="241"/>
      <c r="AA598" s="241"/>
      <c r="AB598" s="275"/>
      <c r="AC598" s="524"/>
      <c r="AD598" s="241"/>
      <c r="AE598" s="241"/>
      <c r="AF598" s="241"/>
      <c r="AG598" s="241"/>
      <c r="AH598" s="241"/>
      <c r="AI598" s="241"/>
      <c r="AJ598" s="529"/>
      <c r="AK598" s="258"/>
      <c r="AL598" s="241"/>
      <c r="AM598" s="242"/>
      <c r="AN598" s="241"/>
      <c r="AO598" s="242"/>
      <c r="AP598" s="241"/>
      <c r="AQ598" s="242"/>
      <c r="AR598" s="241"/>
      <c r="AS598" s="242"/>
      <c r="AT598" s="241"/>
      <c r="AU598" s="241"/>
      <c r="AV598" s="256"/>
      <c r="AW598" s="241"/>
      <c r="AX598" s="256"/>
      <c r="AY598" s="241"/>
      <c r="AZ598" s="256"/>
      <c r="BA598" s="239"/>
      <c r="BB598" s="242"/>
      <c r="BC598" s="239"/>
      <c r="BD598" s="242"/>
      <c r="BE598" s="239"/>
      <c r="BF598" s="241"/>
      <c r="BG598" s="239"/>
      <c r="BH598" s="241"/>
      <c r="BI598" s="260"/>
      <c r="BJ598" s="241"/>
      <c r="BK598" s="260"/>
      <c r="BL598" s="239"/>
      <c r="BM598" s="256"/>
      <c r="BN598" s="241"/>
      <c r="BO598" s="243"/>
      <c r="BP598" s="241"/>
      <c r="BQ598" s="239"/>
      <c r="BR598" s="276"/>
      <c r="BS598" s="256"/>
      <c r="BT598" s="260"/>
      <c r="BU598" s="261"/>
      <c r="BV598" s="260"/>
      <c r="BW598" s="239"/>
      <c r="BX598" s="260"/>
      <c r="BY598" s="260"/>
      <c r="BZ598" s="239"/>
      <c r="CA598" s="260"/>
      <c r="CB598" s="239"/>
      <c r="CC598" s="260"/>
      <c r="CD598" s="539"/>
      <c r="CE598" s="239"/>
      <c r="CF598" s="276"/>
      <c r="CG598" s="256"/>
      <c r="CH598" s="259"/>
      <c r="CI598" s="347"/>
      <c r="CJ598" s="540"/>
      <c r="CK598" s="256"/>
      <c r="CL598" s="244">
        <v>1</v>
      </c>
      <c r="CM598" s="274">
        <f t="shared" si="9"/>
        <v>2015</v>
      </c>
      <c r="CN598" s="244">
        <f>IF('Grille de saisie'!CM598&lt;18,0,IF('Grille de saisie'!CM598&lt;40,1,IF('Grille de saisie'!CM598&lt;65,2,IF('Grille de saisie'!CM598&lt;100,3,4))))</f>
        <v>4</v>
      </c>
      <c r="CO598" s="236">
        <f>IF(AND('Grille de saisie'!C598=1,'Grille de saisie'!BZ598=0),1,IF(AND('Grille de saisie'!C598="",'Grille de saisie'!BZ598=""),3,IF(AND('Grille de saisie'!C598=5),3,2)))</f>
        <v>3</v>
      </c>
      <c r="CP598" s="236">
        <f>IF(AND('Grille de saisie'!C598=1,'Grille de saisie'!BZ598=0),1,IF(AND('Grille de saisie'!C598=1,'Grille de saisie'!BZ598=1),2,IF(AND('Grille de saisie'!C598=2,'Grille de saisie'!BZ598=0),2,IF(AND('Grille de saisie'!C598=3,'Grille de saisie'!BZ598=0),3,IF(AND('Grille de saisie'!C598=2,'Grille de saisie'!BZ598=1),3,IF(AND('Grille de saisie'!C598=1,'Grille de saisie'!BZ598=2),3,IF(AND('Grille de saisie'!C598="",'Grille de saisie'!BZ598=""),5,IF(AND('Grille de saisie'!C598=5),5,4))))))))</f>
        <v>5</v>
      </c>
      <c r="CQ598" s="237">
        <f>IF('Grille de saisie'!BZ598="",3,IF('Grille de saisie'!C598=5,3,IF('Grille de saisie'!BZ598=0,1,2)))</f>
        <v>3</v>
      </c>
    </row>
    <row r="599" spans="1:95" ht="15">
      <c r="A599" s="510">
        <v>597</v>
      </c>
      <c r="B599" s="240"/>
      <c r="C599" s="513"/>
      <c r="D599" s="240"/>
      <c r="E599" s="517"/>
      <c r="F599" s="265"/>
      <c r="G599" s="513"/>
      <c r="H599" s="265"/>
      <c r="I599" s="520"/>
      <c r="J599" s="241"/>
      <c r="K599" s="520"/>
      <c r="L599" s="241"/>
      <c r="M599" s="521"/>
      <c r="N599" s="241"/>
      <c r="O599" s="521"/>
      <c r="P599" s="241"/>
      <c r="Q599" s="520"/>
      <c r="R599" s="241"/>
      <c r="S599" s="520"/>
      <c r="T599" s="241"/>
      <c r="U599" s="520"/>
      <c r="V599" s="241"/>
      <c r="W599" s="242"/>
      <c r="X599" s="241"/>
      <c r="Y599" s="242"/>
      <c r="Z599" s="241"/>
      <c r="AA599" s="241"/>
      <c r="AB599" s="275"/>
      <c r="AC599" s="524"/>
      <c r="AD599" s="241"/>
      <c r="AE599" s="241"/>
      <c r="AF599" s="241"/>
      <c r="AG599" s="241"/>
      <c r="AH599" s="241"/>
      <c r="AI599" s="241"/>
      <c r="AJ599" s="529"/>
      <c r="AK599" s="258"/>
      <c r="AL599" s="241"/>
      <c r="AM599" s="242"/>
      <c r="AN599" s="241"/>
      <c r="AO599" s="242"/>
      <c r="AP599" s="241"/>
      <c r="AQ599" s="242"/>
      <c r="AR599" s="241"/>
      <c r="AS599" s="242"/>
      <c r="AT599" s="241"/>
      <c r="AU599" s="241"/>
      <c r="AV599" s="256"/>
      <c r="AW599" s="241"/>
      <c r="AX599" s="256"/>
      <c r="AY599" s="241"/>
      <c r="AZ599" s="256"/>
      <c r="BA599" s="239"/>
      <c r="BB599" s="242"/>
      <c r="BC599" s="239"/>
      <c r="BD599" s="242"/>
      <c r="BE599" s="239"/>
      <c r="BF599" s="241"/>
      <c r="BG599" s="239"/>
      <c r="BH599" s="241"/>
      <c r="BI599" s="260"/>
      <c r="BJ599" s="241"/>
      <c r="BK599" s="260"/>
      <c r="BL599" s="239"/>
      <c r="BM599" s="256"/>
      <c r="BN599" s="241"/>
      <c r="BO599" s="243"/>
      <c r="BP599" s="241"/>
      <c r="BQ599" s="239"/>
      <c r="BR599" s="276"/>
      <c r="BS599" s="256"/>
      <c r="BT599" s="260"/>
      <c r="BU599" s="261"/>
      <c r="BV599" s="260"/>
      <c r="BW599" s="239"/>
      <c r="BX599" s="260"/>
      <c r="BY599" s="260"/>
      <c r="BZ599" s="239"/>
      <c r="CA599" s="260"/>
      <c r="CB599" s="239"/>
      <c r="CC599" s="260"/>
      <c r="CD599" s="539"/>
      <c r="CE599" s="239"/>
      <c r="CF599" s="276"/>
      <c r="CG599" s="256"/>
      <c r="CH599" s="259"/>
      <c r="CI599" s="347"/>
      <c r="CJ599" s="540"/>
      <c r="CK599" s="256"/>
      <c r="CL599" s="244">
        <v>1</v>
      </c>
      <c r="CM599" s="274">
        <f t="shared" si="9"/>
        <v>2015</v>
      </c>
      <c r="CN599" s="244">
        <f>IF('Grille de saisie'!CM599&lt;18,0,IF('Grille de saisie'!CM599&lt;40,1,IF('Grille de saisie'!CM599&lt;65,2,IF('Grille de saisie'!CM599&lt;100,3,4))))</f>
        <v>4</v>
      </c>
      <c r="CO599" s="236">
        <f>IF(AND('Grille de saisie'!C599=1,'Grille de saisie'!BZ599=0),1,IF(AND('Grille de saisie'!C599="",'Grille de saisie'!BZ599=""),3,IF(AND('Grille de saisie'!C599=5),3,2)))</f>
        <v>3</v>
      </c>
      <c r="CP599" s="236">
        <f>IF(AND('Grille de saisie'!C599=1,'Grille de saisie'!BZ599=0),1,IF(AND('Grille de saisie'!C599=1,'Grille de saisie'!BZ599=1),2,IF(AND('Grille de saisie'!C599=2,'Grille de saisie'!BZ599=0),2,IF(AND('Grille de saisie'!C599=3,'Grille de saisie'!BZ599=0),3,IF(AND('Grille de saisie'!C599=2,'Grille de saisie'!BZ599=1),3,IF(AND('Grille de saisie'!C599=1,'Grille de saisie'!BZ599=2),3,IF(AND('Grille de saisie'!C599="",'Grille de saisie'!BZ599=""),5,IF(AND('Grille de saisie'!C599=5),5,4))))))))</f>
        <v>5</v>
      </c>
      <c r="CQ599" s="237">
        <f>IF('Grille de saisie'!BZ599="",3,IF('Grille de saisie'!C599=5,3,IF('Grille de saisie'!BZ599=0,1,2)))</f>
        <v>3</v>
      </c>
    </row>
    <row r="600" spans="1:95" ht="15">
      <c r="A600" s="510">
        <v>598</v>
      </c>
      <c r="B600" s="240"/>
      <c r="C600" s="513"/>
      <c r="D600" s="240"/>
      <c r="E600" s="517"/>
      <c r="F600" s="265"/>
      <c r="G600" s="513"/>
      <c r="H600" s="265"/>
      <c r="I600" s="520"/>
      <c r="J600" s="241"/>
      <c r="K600" s="520"/>
      <c r="L600" s="241"/>
      <c r="M600" s="521"/>
      <c r="N600" s="241"/>
      <c r="O600" s="521"/>
      <c r="P600" s="241"/>
      <c r="Q600" s="520"/>
      <c r="R600" s="241"/>
      <c r="S600" s="520"/>
      <c r="T600" s="241"/>
      <c r="U600" s="520"/>
      <c r="V600" s="241"/>
      <c r="W600" s="242"/>
      <c r="X600" s="241"/>
      <c r="Y600" s="242"/>
      <c r="Z600" s="241"/>
      <c r="AA600" s="241"/>
      <c r="AB600" s="275"/>
      <c r="AC600" s="524"/>
      <c r="AD600" s="241"/>
      <c r="AE600" s="241"/>
      <c r="AF600" s="241"/>
      <c r="AG600" s="241"/>
      <c r="AH600" s="241"/>
      <c r="AI600" s="241"/>
      <c r="AJ600" s="529"/>
      <c r="AK600" s="258"/>
      <c r="AL600" s="241"/>
      <c r="AM600" s="242"/>
      <c r="AN600" s="241"/>
      <c r="AO600" s="242"/>
      <c r="AP600" s="241"/>
      <c r="AQ600" s="242"/>
      <c r="AR600" s="241"/>
      <c r="AS600" s="242"/>
      <c r="AT600" s="241"/>
      <c r="AU600" s="241"/>
      <c r="AV600" s="256"/>
      <c r="AW600" s="241"/>
      <c r="AX600" s="256"/>
      <c r="AY600" s="241"/>
      <c r="AZ600" s="256"/>
      <c r="BA600" s="239"/>
      <c r="BB600" s="242"/>
      <c r="BC600" s="239"/>
      <c r="BD600" s="242"/>
      <c r="BE600" s="239"/>
      <c r="BF600" s="241"/>
      <c r="BG600" s="239"/>
      <c r="BH600" s="241"/>
      <c r="BI600" s="260"/>
      <c r="BJ600" s="241"/>
      <c r="BK600" s="260"/>
      <c r="BL600" s="239"/>
      <c r="BM600" s="256"/>
      <c r="BN600" s="241"/>
      <c r="BO600" s="243"/>
      <c r="BP600" s="241"/>
      <c r="BQ600" s="239"/>
      <c r="BR600" s="276"/>
      <c r="BS600" s="256"/>
      <c r="BT600" s="260"/>
      <c r="BU600" s="261"/>
      <c r="BV600" s="260"/>
      <c r="BW600" s="239"/>
      <c r="BX600" s="260"/>
      <c r="BY600" s="260"/>
      <c r="BZ600" s="239"/>
      <c r="CA600" s="260"/>
      <c r="CB600" s="239"/>
      <c r="CC600" s="260"/>
      <c r="CD600" s="539"/>
      <c r="CE600" s="239"/>
      <c r="CF600" s="276"/>
      <c r="CG600" s="256"/>
      <c r="CH600" s="259"/>
      <c r="CI600" s="347"/>
      <c r="CJ600" s="540"/>
      <c r="CK600" s="256"/>
      <c r="CL600" s="237">
        <v>1</v>
      </c>
      <c r="CM600" s="274">
        <f t="shared" si="9"/>
        <v>2015</v>
      </c>
      <c r="CN600" s="244">
        <f>IF('Grille de saisie'!CM600&lt;18,0,IF('Grille de saisie'!CM600&lt;40,1,IF('Grille de saisie'!CM600&lt;65,2,IF('Grille de saisie'!CM600&lt;100,3,4))))</f>
        <v>4</v>
      </c>
      <c r="CO600" s="236">
        <f>IF(AND('Grille de saisie'!C600=1,'Grille de saisie'!BZ600=0),1,IF(AND('Grille de saisie'!C600="",'Grille de saisie'!BZ600=""),3,IF(AND('Grille de saisie'!C600=5),3,2)))</f>
        <v>3</v>
      </c>
      <c r="CP600" s="236">
        <f>IF(AND('Grille de saisie'!C600=1,'Grille de saisie'!BZ600=0),1,IF(AND('Grille de saisie'!C600=1,'Grille de saisie'!BZ600=1),2,IF(AND('Grille de saisie'!C600=2,'Grille de saisie'!BZ600=0),2,IF(AND('Grille de saisie'!C600=3,'Grille de saisie'!BZ600=0),3,IF(AND('Grille de saisie'!C600=2,'Grille de saisie'!BZ600=1),3,IF(AND('Grille de saisie'!C600=1,'Grille de saisie'!BZ600=2),3,IF(AND('Grille de saisie'!C600="",'Grille de saisie'!BZ600=""),5,IF(AND('Grille de saisie'!C600=5),5,4))))))))</f>
        <v>5</v>
      </c>
      <c r="CQ600" s="237">
        <f>IF('Grille de saisie'!BZ600="",3,IF('Grille de saisie'!C600=5,3,IF('Grille de saisie'!BZ600=0,1,2)))</f>
        <v>3</v>
      </c>
    </row>
    <row r="601" spans="1:95" ht="15">
      <c r="A601" s="510">
        <v>599</v>
      </c>
      <c r="B601" s="240"/>
      <c r="C601" s="513"/>
      <c r="D601" s="240"/>
      <c r="E601" s="517"/>
      <c r="F601" s="265"/>
      <c r="G601" s="513"/>
      <c r="H601" s="265"/>
      <c r="I601" s="520"/>
      <c r="J601" s="241"/>
      <c r="K601" s="520"/>
      <c r="L601" s="241"/>
      <c r="M601" s="521"/>
      <c r="N601" s="241"/>
      <c r="O601" s="521"/>
      <c r="P601" s="241"/>
      <c r="Q601" s="520"/>
      <c r="R601" s="241"/>
      <c r="S601" s="520"/>
      <c r="T601" s="241"/>
      <c r="U601" s="520"/>
      <c r="V601" s="241"/>
      <c r="W601" s="242"/>
      <c r="X601" s="241"/>
      <c r="Y601" s="242"/>
      <c r="Z601" s="241"/>
      <c r="AA601" s="241"/>
      <c r="AB601" s="275"/>
      <c r="AC601" s="524"/>
      <c r="AD601" s="241"/>
      <c r="AE601" s="241"/>
      <c r="AF601" s="241"/>
      <c r="AG601" s="241"/>
      <c r="AH601" s="241"/>
      <c r="AI601" s="241"/>
      <c r="AJ601" s="529"/>
      <c r="AK601" s="258"/>
      <c r="AL601" s="241"/>
      <c r="AM601" s="242"/>
      <c r="AN601" s="241"/>
      <c r="AO601" s="242"/>
      <c r="AP601" s="241"/>
      <c r="AQ601" s="242"/>
      <c r="AR601" s="241"/>
      <c r="AS601" s="242"/>
      <c r="AT601" s="241"/>
      <c r="AU601" s="241"/>
      <c r="AV601" s="256"/>
      <c r="AW601" s="241"/>
      <c r="AX601" s="256"/>
      <c r="AY601" s="241"/>
      <c r="AZ601" s="256"/>
      <c r="BA601" s="239"/>
      <c r="BB601" s="242"/>
      <c r="BC601" s="239"/>
      <c r="BD601" s="242"/>
      <c r="BE601" s="239"/>
      <c r="BF601" s="241"/>
      <c r="BG601" s="239"/>
      <c r="BH601" s="241"/>
      <c r="BI601" s="260"/>
      <c r="BJ601" s="241"/>
      <c r="BK601" s="260"/>
      <c r="BL601" s="239"/>
      <c r="BM601" s="256"/>
      <c r="BN601" s="241"/>
      <c r="BO601" s="243"/>
      <c r="BP601" s="241"/>
      <c r="BQ601" s="239"/>
      <c r="BR601" s="276"/>
      <c r="BS601" s="256"/>
      <c r="BT601" s="260"/>
      <c r="BU601" s="261"/>
      <c r="BV601" s="260"/>
      <c r="BW601" s="239"/>
      <c r="BX601" s="260"/>
      <c r="BY601" s="260"/>
      <c r="BZ601" s="239"/>
      <c r="CA601" s="260"/>
      <c r="CB601" s="239"/>
      <c r="CC601" s="260"/>
      <c r="CD601" s="539"/>
      <c r="CE601" s="239"/>
      <c r="CF601" s="276"/>
      <c r="CG601" s="256"/>
      <c r="CH601" s="259"/>
      <c r="CI601" s="347"/>
      <c r="CJ601" s="540"/>
      <c r="CK601" s="256"/>
      <c r="CL601" s="237">
        <v>1</v>
      </c>
      <c r="CM601" s="274">
        <f t="shared" si="9"/>
        <v>2015</v>
      </c>
      <c r="CN601" s="244">
        <f>IF('Grille de saisie'!CM601&lt;18,0,IF('Grille de saisie'!CM601&lt;40,1,IF('Grille de saisie'!CM601&lt;65,2,IF('Grille de saisie'!CM601&lt;100,3,4))))</f>
        <v>4</v>
      </c>
      <c r="CO601" s="236">
        <f>IF(AND('Grille de saisie'!C601=1,'Grille de saisie'!BZ601=0),1,IF(AND('Grille de saisie'!C601="",'Grille de saisie'!BZ601=""),3,IF(AND('Grille de saisie'!C601=5),3,2)))</f>
        <v>3</v>
      </c>
      <c r="CP601" s="236">
        <f>IF(AND('Grille de saisie'!C601=1,'Grille de saisie'!BZ601=0),1,IF(AND('Grille de saisie'!C601=1,'Grille de saisie'!BZ601=1),2,IF(AND('Grille de saisie'!C601=2,'Grille de saisie'!BZ601=0),2,IF(AND('Grille de saisie'!C601=3,'Grille de saisie'!BZ601=0),3,IF(AND('Grille de saisie'!C601=2,'Grille de saisie'!BZ601=1),3,IF(AND('Grille de saisie'!C601=1,'Grille de saisie'!BZ601=2),3,IF(AND('Grille de saisie'!C601="",'Grille de saisie'!BZ601=""),5,IF(AND('Grille de saisie'!C601=5),5,4))))))))</f>
        <v>5</v>
      </c>
      <c r="CQ601" s="237">
        <f>IF('Grille de saisie'!BZ601="",3,IF('Grille de saisie'!C601=5,3,IF('Grille de saisie'!BZ601=0,1,2)))</f>
        <v>3</v>
      </c>
    </row>
    <row r="602" spans="1:95" ht="15">
      <c r="A602" s="510">
        <v>600</v>
      </c>
      <c r="B602" s="240"/>
      <c r="C602" s="513"/>
      <c r="D602" s="240"/>
      <c r="E602" s="517"/>
      <c r="F602" s="265"/>
      <c r="G602" s="513"/>
      <c r="H602" s="265"/>
      <c r="I602" s="520"/>
      <c r="J602" s="241"/>
      <c r="K602" s="520"/>
      <c r="L602" s="241"/>
      <c r="M602" s="521"/>
      <c r="N602" s="241"/>
      <c r="O602" s="521"/>
      <c r="P602" s="241"/>
      <c r="Q602" s="520"/>
      <c r="R602" s="241"/>
      <c r="S602" s="520"/>
      <c r="T602" s="241"/>
      <c r="U602" s="520"/>
      <c r="V602" s="241"/>
      <c r="W602" s="242"/>
      <c r="X602" s="241"/>
      <c r="Y602" s="242"/>
      <c r="Z602" s="241"/>
      <c r="AA602" s="241"/>
      <c r="AB602" s="275"/>
      <c r="AC602" s="524"/>
      <c r="AD602" s="241"/>
      <c r="AE602" s="241"/>
      <c r="AF602" s="241"/>
      <c r="AG602" s="241"/>
      <c r="AH602" s="241"/>
      <c r="AI602" s="241"/>
      <c r="AJ602" s="529"/>
      <c r="AK602" s="258"/>
      <c r="AL602" s="241"/>
      <c r="AM602" s="242"/>
      <c r="AN602" s="241"/>
      <c r="AO602" s="242"/>
      <c r="AP602" s="241"/>
      <c r="AQ602" s="242"/>
      <c r="AR602" s="241"/>
      <c r="AS602" s="242"/>
      <c r="AT602" s="241"/>
      <c r="AU602" s="241"/>
      <c r="AV602" s="256"/>
      <c r="AW602" s="241"/>
      <c r="AX602" s="256"/>
      <c r="AY602" s="241"/>
      <c r="AZ602" s="256"/>
      <c r="BA602" s="239"/>
      <c r="BB602" s="242"/>
      <c r="BC602" s="239"/>
      <c r="BD602" s="242"/>
      <c r="BE602" s="239"/>
      <c r="BF602" s="241"/>
      <c r="BG602" s="239"/>
      <c r="BH602" s="241"/>
      <c r="BI602" s="260"/>
      <c r="BJ602" s="241"/>
      <c r="BK602" s="260"/>
      <c r="BL602" s="239"/>
      <c r="BM602" s="256"/>
      <c r="BN602" s="241"/>
      <c r="BO602" s="243"/>
      <c r="BP602" s="241"/>
      <c r="BQ602" s="239"/>
      <c r="BR602" s="276"/>
      <c r="BS602" s="256"/>
      <c r="BT602" s="260"/>
      <c r="BU602" s="261"/>
      <c r="BV602" s="260"/>
      <c r="BW602" s="239"/>
      <c r="BX602" s="260"/>
      <c r="BY602" s="260"/>
      <c r="BZ602" s="239"/>
      <c r="CA602" s="260"/>
      <c r="CB602" s="239"/>
      <c r="CC602" s="260"/>
      <c r="CD602" s="539"/>
      <c r="CE602" s="239"/>
      <c r="CF602" s="276"/>
      <c r="CG602" s="256"/>
      <c r="CH602" s="259"/>
      <c r="CI602" s="347"/>
      <c r="CJ602" s="540"/>
      <c r="CK602" s="256"/>
      <c r="CL602" s="237">
        <v>1</v>
      </c>
      <c r="CM602" s="274">
        <f t="shared" si="9"/>
        <v>2015</v>
      </c>
      <c r="CN602" s="244">
        <f>IF('Grille de saisie'!CM602&lt;18,0,IF('Grille de saisie'!CM602&lt;40,1,IF('Grille de saisie'!CM602&lt;65,2,IF('Grille de saisie'!CM602&lt;100,3,4))))</f>
        <v>4</v>
      </c>
      <c r="CO602" s="236">
        <f>IF(AND('Grille de saisie'!C602=1,'Grille de saisie'!BZ602=0),1,IF(AND('Grille de saisie'!C602="",'Grille de saisie'!BZ602=""),3,IF(AND('Grille de saisie'!C602=5),3,2)))</f>
        <v>3</v>
      </c>
      <c r="CP602" s="236">
        <f>IF(AND('Grille de saisie'!C602=1,'Grille de saisie'!BZ602=0),1,IF(AND('Grille de saisie'!C602=1,'Grille de saisie'!BZ602=1),2,IF(AND('Grille de saisie'!C602=2,'Grille de saisie'!BZ602=0),2,IF(AND('Grille de saisie'!C602=3,'Grille de saisie'!BZ602=0),3,IF(AND('Grille de saisie'!C602=2,'Grille de saisie'!BZ602=1),3,IF(AND('Grille de saisie'!C602=1,'Grille de saisie'!BZ602=2),3,IF(AND('Grille de saisie'!C602="",'Grille de saisie'!BZ602=""),5,IF(AND('Grille de saisie'!C602=5),5,4))))))))</f>
        <v>5</v>
      </c>
      <c r="CQ602" s="237">
        <f>IF('Grille de saisie'!BZ602="",3,IF('Grille de saisie'!C602=5,3,IF('Grille de saisie'!BZ602=0,1,2)))</f>
        <v>3</v>
      </c>
    </row>
    <row r="603" spans="1:95" ht="15">
      <c r="BG603" s="234"/>
    </row>
    <row r="604" spans="1:95" ht="15">
      <c r="BG604" s="234"/>
    </row>
    <row r="605" spans="1:95" ht="15">
      <c r="C605" s="262"/>
      <c r="M605" s="250"/>
      <c r="Q605" s="247"/>
      <c r="S605" s="247"/>
      <c r="U605" s="247"/>
      <c r="X605" s="247"/>
      <c r="Z605" s="247"/>
      <c r="BC605" s="317"/>
      <c r="BD605" s="247"/>
      <c r="BG605" s="234"/>
    </row>
    <row r="606" spans="1:95" ht="15">
      <c r="C606" s="262">
        <v>1</v>
      </c>
      <c r="E606" s="245">
        <v>0</v>
      </c>
      <c r="I606" s="262"/>
      <c r="J606" s="262"/>
      <c r="K606" s="247"/>
      <c r="M606" s="250"/>
      <c r="Q606" s="247"/>
      <c r="S606" s="247"/>
      <c r="U606" s="247"/>
      <c r="X606" s="247"/>
      <c r="Z606" s="247"/>
      <c r="AW606" s="247"/>
      <c r="BC606" s="317"/>
      <c r="BD606" s="247"/>
      <c r="BG606" s="234"/>
      <c r="BZ606" s="251">
        <v>0</v>
      </c>
    </row>
    <row r="607" spans="1:95" ht="15">
      <c r="B607" s="245">
        <v>1</v>
      </c>
      <c r="C607" s="262">
        <v>2</v>
      </c>
      <c r="D607" s="245">
        <v>1</v>
      </c>
      <c r="E607" s="245">
        <v>1</v>
      </c>
      <c r="G607" s="262">
        <v>1</v>
      </c>
      <c r="H607" s="262">
        <v>1</v>
      </c>
      <c r="I607" s="262">
        <v>1</v>
      </c>
      <c r="J607" s="262">
        <v>1</v>
      </c>
      <c r="K607" s="247">
        <v>1</v>
      </c>
      <c r="L607" s="247">
        <v>1</v>
      </c>
      <c r="M607" s="250">
        <v>1</v>
      </c>
      <c r="N607" s="247">
        <v>1</v>
      </c>
      <c r="O607" s="250">
        <v>1</v>
      </c>
      <c r="P607" s="247">
        <v>1</v>
      </c>
      <c r="Q607" s="247">
        <v>1</v>
      </c>
      <c r="R607" s="247">
        <v>1</v>
      </c>
      <c r="S607" s="247">
        <v>1</v>
      </c>
      <c r="T607" s="247">
        <v>1</v>
      </c>
      <c r="U607" s="247">
        <v>1</v>
      </c>
      <c r="V607" s="247">
        <v>1</v>
      </c>
      <c r="W607" s="247">
        <v>1</v>
      </c>
      <c r="X607" s="247">
        <v>1</v>
      </c>
      <c r="Y607" s="247">
        <v>1</v>
      </c>
      <c r="Z607" s="247">
        <v>1</v>
      </c>
      <c r="AJ607" s="248">
        <v>1</v>
      </c>
      <c r="AL607" s="247">
        <v>1</v>
      </c>
      <c r="AM607" s="247">
        <v>1</v>
      </c>
      <c r="AN607" s="247">
        <v>1</v>
      </c>
      <c r="AO607" s="248">
        <v>1</v>
      </c>
      <c r="AP607" s="247">
        <v>1</v>
      </c>
      <c r="AQ607" s="248">
        <v>1</v>
      </c>
      <c r="AR607" s="247">
        <v>1</v>
      </c>
      <c r="AS607" s="248">
        <v>1</v>
      </c>
      <c r="AT607" s="247">
        <v>1</v>
      </c>
      <c r="AU607" s="248">
        <v>1</v>
      </c>
      <c r="AV607" s="247">
        <v>1</v>
      </c>
      <c r="AW607" s="247">
        <v>1</v>
      </c>
      <c r="AX607" s="247">
        <v>1</v>
      </c>
      <c r="AY607" s="248">
        <v>1</v>
      </c>
      <c r="AZ607" s="247">
        <v>1</v>
      </c>
      <c r="BA607" s="251">
        <v>1</v>
      </c>
      <c r="BB607" s="248">
        <v>1</v>
      </c>
      <c r="BC607" s="317">
        <v>1</v>
      </c>
      <c r="BD607" s="247">
        <v>1</v>
      </c>
      <c r="BE607" s="251">
        <v>1</v>
      </c>
      <c r="BF607" s="248">
        <v>1</v>
      </c>
      <c r="BG607" s="234"/>
      <c r="BI607" s="251">
        <v>1</v>
      </c>
      <c r="BJ607" s="248">
        <v>1</v>
      </c>
      <c r="BK607" s="251">
        <v>1</v>
      </c>
      <c r="BL607" s="251">
        <v>1</v>
      </c>
      <c r="BM607" s="248">
        <v>1</v>
      </c>
      <c r="BN607" s="247">
        <v>1</v>
      </c>
      <c r="BO607" s="250">
        <v>1</v>
      </c>
      <c r="BP607" s="247">
        <v>1</v>
      </c>
      <c r="BQ607" s="250">
        <v>1</v>
      </c>
      <c r="BS607" s="248">
        <v>1</v>
      </c>
      <c r="BT607" s="251">
        <v>1</v>
      </c>
      <c r="BU607" s="253">
        <v>1</v>
      </c>
      <c r="BW607" s="251">
        <v>1</v>
      </c>
      <c r="BX607" s="251">
        <v>1</v>
      </c>
      <c r="BZ607" s="251">
        <v>1</v>
      </c>
      <c r="CA607" s="251">
        <v>1</v>
      </c>
      <c r="CC607" s="250">
        <v>1</v>
      </c>
      <c r="CE607" s="250">
        <v>1</v>
      </c>
      <c r="CG607" s="248">
        <v>1</v>
      </c>
      <c r="CI607" s="346">
        <v>1</v>
      </c>
    </row>
    <row r="608" spans="1:95" ht="15">
      <c r="B608" s="245">
        <v>2</v>
      </c>
      <c r="C608" s="262">
        <v>3</v>
      </c>
      <c r="D608" s="245">
        <v>2</v>
      </c>
      <c r="E608" s="245">
        <v>2</v>
      </c>
      <c r="G608" s="262">
        <v>2</v>
      </c>
      <c r="H608" s="262">
        <v>2</v>
      </c>
      <c r="I608" s="262">
        <v>2</v>
      </c>
      <c r="J608" s="262">
        <v>2</v>
      </c>
      <c r="K608" s="247">
        <v>2</v>
      </c>
      <c r="L608" s="247">
        <v>2</v>
      </c>
      <c r="M608" s="250">
        <v>2</v>
      </c>
      <c r="N608" s="247">
        <v>2</v>
      </c>
      <c r="O608" s="250">
        <v>2</v>
      </c>
      <c r="P608" s="247">
        <v>2</v>
      </c>
      <c r="Q608" s="247">
        <v>2</v>
      </c>
      <c r="R608" s="247">
        <v>2</v>
      </c>
      <c r="S608" s="247">
        <v>2</v>
      </c>
      <c r="T608" s="247">
        <v>2</v>
      </c>
      <c r="U608" s="247">
        <v>2</v>
      </c>
      <c r="V608" s="247">
        <v>2</v>
      </c>
      <c r="W608" s="247">
        <v>2</v>
      </c>
      <c r="X608" s="247">
        <v>2</v>
      </c>
      <c r="Y608" s="247">
        <v>2</v>
      </c>
      <c r="Z608" s="247">
        <v>2</v>
      </c>
      <c r="AJ608" s="248">
        <v>2</v>
      </c>
      <c r="AL608" s="247">
        <v>2</v>
      </c>
      <c r="AM608" s="247">
        <v>2</v>
      </c>
      <c r="AN608" s="247">
        <v>2</v>
      </c>
      <c r="AO608" s="248">
        <v>2</v>
      </c>
      <c r="AP608" s="247">
        <v>2</v>
      </c>
      <c r="AQ608" s="248">
        <v>2</v>
      </c>
      <c r="AR608" s="247">
        <v>2</v>
      </c>
      <c r="AS608" s="248">
        <v>2</v>
      </c>
      <c r="AT608" s="247">
        <v>2</v>
      </c>
      <c r="AU608" s="248">
        <v>2</v>
      </c>
      <c r="AV608" s="247">
        <v>2</v>
      </c>
      <c r="AW608" s="247">
        <v>2</v>
      </c>
      <c r="AX608" s="247">
        <v>2</v>
      </c>
      <c r="AY608" s="248">
        <v>2</v>
      </c>
      <c r="AZ608" s="247">
        <v>2</v>
      </c>
      <c r="BA608" s="251">
        <v>2</v>
      </c>
      <c r="BB608" s="248">
        <v>2</v>
      </c>
      <c r="BC608" s="317">
        <v>2</v>
      </c>
      <c r="BD608" s="247">
        <v>2</v>
      </c>
      <c r="BE608" s="251">
        <v>2</v>
      </c>
      <c r="BF608" s="248">
        <v>2</v>
      </c>
      <c r="BG608" s="234"/>
      <c r="BI608" s="251">
        <v>2</v>
      </c>
      <c r="BJ608" s="248">
        <v>2</v>
      </c>
      <c r="BK608" s="251">
        <v>2</v>
      </c>
      <c r="BL608" s="251">
        <v>2</v>
      </c>
      <c r="BM608" s="248">
        <v>2</v>
      </c>
      <c r="BN608" s="247">
        <v>2</v>
      </c>
      <c r="BO608" s="250">
        <v>2</v>
      </c>
      <c r="BP608" s="247">
        <v>2</v>
      </c>
      <c r="BQ608" s="250">
        <v>2</v>
      </c>
      <c r="BS608" s="248">
        <v>2</v>
      </c>
      <c r="BT608" s="251">
        <v>2</v>
      </c>
      <c r="BU608" s="253">
        <v>2</v>
      </c>
      <c r="BW608" s="251">
        <v>2</v>
      </c>
      <c r="BX608" s="251">
        <v>2</v>
      </c>
      <c r="BZ608" s="251">
        <v>2</v>
      </c>
      <c r="CA608" s="251">
        <v>2</v>
      </c>
      <c r="CC608" s="250">
        <v>2</v>
      </c>
      <c r="CE608" s="250">
        <v>2</v>
      </c>
      <c r="CG608" s="248">
        <v>2</v>
      </c>
      <c r="CI608" s="346">
        <v>2</v>
      </c>
    </row>
    <row r="609" spans="2:87" ht="15">
      <c r="B609" s="245">
        <v>3</v>
      </c>
      <c r="C609" s="262">
        <v>4</v>
      </c>
      <c r="D609" s="245">
        <v>3</v>
      </c>
      <c r="E609" s="245">
        <v>3</v>
      </c>
      <c r="G609" s="262">
        <v>3</v>
      </c>
      <c r="H609" s="262">
        <v>3</v>
      </c>
      <c r="I609" s="262">
        <v>3</v>
      </c>
      <c r="J609" s="262">
        <v>3</v>
      </c>
      <c r="K609" s="247">
        <v>3</v>
      </c>
      <c r="L609" s="247">
        <v>3</v>
      </c>
      <c r="M609" s="250">
        <v>3</v>
      </c>
      <c r="N609" s="247">
        <v>3</v>
      </c>
      <c r="O609" s="250">
        <v>3</v>
      </c>
      <c r="P609" s="247">
        <v>3</v>
      </c>
      <c r="Q609" s="247">
        <v>3</v>
      </c>
      <c r="R609" s="247">
        <v>3</v>
      </c>
      <c r="S609" s="247">
        <v>3</v>
      </c>
      <c r="T609" s="247">
        <v>3</v>
      </c>
      <c r="U609" s="247">
        <v>3</v>
      </c>
      <c r="V609" s="247">
        <v>3</v>
      </c>
      <c r="W609" s="247">
        <v>3</v>
      </c>
      <c r="X609" s="247">
        <v>3</v>
      </c>
      <c r="Z609" s="247"/>
      <c r="AV609" s="247">
        <v>3</v>
      </c>
      <c r="AW609" s="247">
        <v>3</v>
      </c>
      <c r="AX609" s="247">
        <v>3</v>
      </c>
      <c r="AY609" s="248">
        <v>3</v>
      </c>
      <c r="AZ609" s="247">
        <v>3</v>
      </c>
      <c r="BA609" s="251">
        <v>3</v>
      </c>
      <c r="BB609" s="248">
        <v>3</v>
      </c>
      <c r="BC609" s="317">
        <v>3</v>
      </c>
      <c r="BD609" s="247">
        <v>3</v>
      </c>
      <c r="BE609" s="251">
        <v>3</v>
      </c>
      <c r="BF609" s="248">
        <v>3</v>
      </c>
      <c r="BG609" s="234"/>
      <c r="BP609" s="247">
        <v>3</v>
      </c>
      <c r="BQ609" s="250">
        <v>3</v>
      </c>
      <c r="BT609" s="251">
        <v>3</v>
      </c>
      <c r="BU609" s="253">
        <v>3</v>
      </c>
      <c r="BW609" s="251">
        <v>3</v>
      </c>
      <c r="BX609" s="251">
        <v>3</v>
      </c>
      <c r="BZ609" s="251">
        <v>3</v>
      </c>
      <c r="CC609" s="250">
        <v>3</v>
      </c>
      <c r="CE609" s="250">
        <v>3</v>
      </c>
      <c r="CG609" s="248">
        <v>3</v>
      </c>
      <c r="CI609" s="346">
        <v>3</v>
      </c>
    </row>
    <row r="610" spans="2:87" ht="15">
      <c r="C610" s="262">
        <v>5</v>
      </c>
      <c r="D610" s="245">
        <v>4</v>
      </c>
      <c r="E610" s="245">
        <v>8</v>
      </c>
      <c r="G610" s="262">
        <v>4</v>
      </c>
      <c r="H610" s="262">
        <v>4</v>
      </c>
      <c r="I610" s="262">
        <v>4</v>
      </c>
      <c r="J610" s="262">
        <v>4</v>
      </c>
      <c r="K610" s="247">
        <v>4</v>
      </c>
      <c r="L610" s="247">
        <v>4</v>
      </c>
      <c r="M610" s="250">
        <v>4</v>
      </c>
      <c r="N610" s="247">
        <v>4</v>
      </c>
      <c r="O610" s="250">
        <v>4</v>
      </c>
      <c r="P610" s="247">
        <v>4</v>
      </c>
      <c r="Q610" s="247">
        <v>4</v>
      </c>
      <c r="R610" s="247">
        <v>4</v>
      </c>
      <c r="S610" s="247">
        <v>4</v>
      </c>
      <c r="T610" s="247">
        <v>4</v>
      </c>
      <c r="U610" s="247">
        <v>4</v>
      </c>
      <c r="V610" s="247">
        <v>4</v>
      </c>
      <c r="W610" s="247">
        <v>4</v>
      </c>
      <c r="X610" s="247">
        <v>4</v>
      </c>
      <c r="Z610" s="247"/>
      <c r="AV610" s="247">
        <v>4</v>
      </c>
      <c r="AW610" s="247">
        <v>4</v>
      </c>
      <c r="AX610" s="247">
        <v>4</v>
      </c>
      <c r="AY610" s="248">
        <v>8</v>
      </c>
      <c r="AZ610" s="247">
        <v>4</v>
      </c>
      <c r="BA610" s="251">
        <v>4</v>
      </c>
      <c r="BB610" s="248">
        <v>4</v>
      </c>
      <c r="BC610" s="317">
        <v>4</v>
      </c>
      <c r="BD610" s="247">
        <v>4</v>
      </c>
      <c r="BE610" s="251">
        <v>4</v>
      </c>
      <c r="BF610" s="248">
        <v>4</v>
      </c>
      <c r="BG610" s="234"/>
      <c r="BP610" s="247">
        <v>4</v>
      </c>
      <c r="BQ610" s="250">
        <v>4</v>
      </c>
      <c r="BT610" s="251">
        <v>4</v>
      </c>
      <c r="BU610" s="253">
        <v>4</v>
      </c>
      <c r="BW610" s="251">
        <v>4</v>
      </c>
      <c r="BX610" s="251">
        <v>4</v>
      </c>
      <c r="BZ610" s="251">
        <v>4</v>
      </c>
      <c r="CC610" s="250">
        <v>96</v>
      </c>
      <c r="CE610" s="250">
        <v>4</v>
      </c>
      <c r="CG610" s="248">
        <v>4</v>
      </c>
      <c r="CI610" s="346">
        <v>4</v>
      </c>
    </row>
    <row r="611" spans="2:87" ht="15">
      <c r="H611" s="262">
        <v>7</v>
      </c>
      <c r="I611" s="262">
        <v>7</v>
      </c>
      <c r="J611" s="262">
        <v>7</v>
      </c>
      <c r="K611" s="247">
        <v>5</v>
      </c>
      <c r="L611" s="247">
        <v>5</v>
      </c>
      <c r="M611" s="250"/>
      <c r="Q611" s="247"/>
      <c r="S611" s="247"/>
      <c r="U611" s="247"/>
      <c r="X611" s="247"/>
      <c r="Z611" s="247"/>
      <c r="AV611" s="247">
        <v>8</v>
      </c>
      <c r="AW611" s="247">
        <v>8</v>
      </c>
      <c r="AX611" s="247">
        <v>8</v>
      </c>
      <c r="AZ611" s="247">
        <v>8</v>
      </c>
      <c r="BA611" s="251">
        <v>8</v>
      </c>
      <c r="BB611" s="248">
        <v>8</v>
      </c>
      <c r="BC611" s="317">
        <v>8</v>
      </c>
      <c r="BD611" s="247">
        <v>8</v>
      </c>
      <c r="BF611" s="248">
        <v>7</v>
      </c>
      <c r="BG611" s="234"/>
      <c r="BQ611" s="250">
        <v>5</v>
      </c>
      <c r="BU611" s="253">
        <v>5</v>
      </c>
      <c r="BW611" s="251">
        <v>5</v>
      </c>
      <c r="BX611" s="251">
        <v>5</v>
      </c>
      <c r="CE611" s="250">
        <v>5</v>
      </c>
      <c r="CG611" s="248">
        <v>5</v>
      </c>
      <c r="CI611" s="346">
        <v>96</v>
      </c>
    </row>
    <row r="612" spans="2:87" ht="15">
      <c r="K612" s="247"/>
      <c r="BG612" s="234"/>
      <c r="BQ612" s="250">
        <v>6</v>
      </c>
      <c r="BU612" s="253">
        <v>6</v>
      </c>
      <c r="BW612" s="251">
        <v>8</v>
      </c>
      <c r="BX612" s="251">
        <v>6</v>
      </c>
      <c r="CE612" s="250">
        <v>6</v>
      </c>
      <c r="CG612" s="248">
        <v>6</v>
      </c>
    </row>
    <row r="613" spans="2:87" ht="15">
      <c r="BG613" s="234"/>
      <c r="BQ613" s="250">
        <v>7</v>
      </c>
      <c r="BU613" s="253">
        <v>7</v>
      </c>
      <c r="BX613" s="251">
        <v>7</v>
      </c>
      <c r="CE613" s="250">
        <v>7</v>
      </c>
      <c r="CG613" s="248">
        <v>96</v>
      </c>
    </row>
    <row r="614" spans="2:87" ht="15">
      <c r="BG614" s="234"/>
      <c r="BQ614" s="250">
        <v>8</v>
      </c>
      <c r="BU614" s="253">
        <v>96</v>
      </c>
      <c r="BX614" s="251">
        <v>8</v>
      </c>
      <c r="CE614" s="250">
        <v>96</v>
      </c>
    </row>
    <row r="615" spans="2:87" ht="15">
      <c r="BG615" s="234"/>
      <c r="BQ615" s="250">
        <v>96</v>
      </c>
      <c r="BU615" s="253">
        <v>98</v>
      </c>
      <c r="BX615" s="251">
        <v>9</v>
      </c>
    </row>
    <row r="616" spans="2:87" ht="15">
      <c r="BG616" s="234"/>
      <c r="BQ616" s="250">
        <v>98</v>
      </c>
    </row>
    <row r="617" spans="2:87" ht="15">
      <c r="BG617" s="234"/>
    </row>
    <row r="618" spans="2:87" ht="15">
      <c r="BG618" s="234"/>
    </row>
    <row r="619" spans="2:87" ht="15">
      <c r="BG619" s="234"/>
    </row>
    <row r="620" spans="2:87" ht="15">
      <c r="BG620" s="234"/>
    </row>
    <row r="621" spans="2:87" ht="15">
      <c r="BG621" s="234"/>
    </row>
    <row r="622" spans="2:87" ht="15">
      <c r="BG622" s="234"/>
    </row>
    <row r="623" spans="2:87" ht="15">
      <c r="BG623" s="234"/>
    </row>
    <row r="624" spans="2:87" ht="15">
      <c r="BG624" s="234"/>
    </row>
    <row r="625" spans="59:59" ht="15">
      <c r="BG625" s="234"/>
    </row>
    <row r="626" spans="59:59" ht="15">
      <c r="BG626" s="234"/>
    </row>
    <row r="627" spans="59:59" ht="15">
      <c r="BG627" s="234"/>
    </row>
    <row r="628" spans="59:59" ht="15">
      <c r="BG628" s="234"/>
    </row>
    <row r="629" spans="59:59" ht="15">
      <c r="BG629" s="234"/>
    </row>
    <row r="630" spans="59:59" ht="15">
      <c r="BG630" s="234"/>
    </row>
    <row r="631" spans="59:59" ht="15">
      <c r="BG631" s="234"/>
    </row>
    <row r="632" spans="59:59" ht="15">
      <c r="BG632" s="234"/>
    </row>
    <row r="633" spans="59:59" ht="15">
      <c r="BG633" s="234"/>
    </row>
  </sheetData>
  <sheetProtection selectLockedCells="1"/>
  <dataConsolidate/>
  <phoneticPr fontId="9" type="noConversion"/>
  <conditionalFormatting sqref="A3:A602">
    <cfRule type="duplicateValues" dxfId="0" priority="1"/>
  </conditionalFormatting>
  <dataValidations xWindow="1145" yWindow="303" count="75">
    <dataValidation type="whole" allowBlank="1" showInputMessage="1" showErrorMessage="1" sqref="CN3:CN602">
      <formula1>1</formula1>
      <formula2>4</formula2>
    </dataValidation>
    <dataValidation allowBlank="1" showDropDown="1" showInputMessage="1" showErrorMessage="1" sqref="CD3:CD602 BY3:BY602 BG3:BH602 CJ3:CJ602 CH3:CH602 BV3:BV602 CF3:CF602 BR3:BR602"/>
    <dataValidation type="list" allowBlank="1" showDropDown="1" showInputMessage="1" showErrorMessage="1" errorTitle="CODES DE SAISIE QUESTION 33" error="1 = Maison individuelle_x000a_2 = Jumelé_x000a_3 = Maison en rangée_x000a_4 = Duplex_x000a_5 = Logement ou condo (8 ou moins)_x000a_6 = Logement ou condo (Plus de 8)_x000a_7 = Maison mobile_x000a_96 = Autre" sqref="CE3:CE602">
      <formula1>$CE$607:$CE$614</formula1>
    </dataValidation>
    <dataValidation type="list" allowBlank="1" showDropDown="1" showInputMessage="1" showErrorMessage="1" errorTitle="CODES DE SAISIE QUESTION 34" error="1 = Marié(e)_x000a_2 = Célibataire_x000a_3 = En union de fait_x000a_4 = Veuf / veuve_x000a_5 = Séparé(e)_x000a_6 = Divorcé(e)_x000a_96 = Autre" sqref="CG3:CG602">
      <formula1>$CG$607:$CG$613</formula1>
    </dataValidation>
    <dataValidation type="whole" allowBlank="1" showDropDown="1" showInputMessage="1" showErrorMessage="1" errorTitle="CODES DE SAISIE QUESTION 36" error="1 = Aucun diplôme_x000a_2 = Métier, DES, DEP_x000a_3 = DEC_x000a_4 = Université_x000a_" sqref="CK3:CK602">
      <formula1>1</formula1>
      <formula2>4</formula2>
    </dataValidation>
    <dataValidation type="list" allowBlank="1" showDropDown="1" showInputMessage="1" showErrorMessage="1" errorTitle="CODES DE SAISIE QUESTION 26A" error="1 = Une seule fois_x000a_2 = De 2 à 5 fois_x000a_3 = De 6 à 10 fois_x000a_4 = Plus de 10 fois" sqref="BT3:BT602">
      <formula1>$BT$607:$BT$610</formula1>
    </dataValidation>
    <dataValidation type="list" allowBlank="1" showDropDown="1" showInputMessage="1" showErrorMessage="1" errorTitle="CODES DE SAISIE QUESTION 26B" error="1 = Vélo/VTT/motoneige/Voiture_x000a_2 = Chute marchant_x000a_3 = Chute glissant_x000a_4 = Morsure animal_x000a_5 = Quasi-noyade_x000a_6 = Accident travail_x000a_7 = Blessure sportive_x000a_96 = Autre_x000a_98 = Je ne sais pas" sqref="BU3:BU602">
      <formula1>$BU$607:$BU$615</formula1>
    </dataValidation>
    <dataValidation type="list" allowBlank="1" showDropDown="1" showInputMessage="1" showErrorMessage="1" errorTitle="CODES DE SAISIE QUESTION 27" error="1 = Excellente_x000a_2 = Très bonne_x000a_3 = Bonne_x000a_4 = Moyenne_x000a_5 = Mauvaise_x000a_8 = Je ne sais pas" sqref="BW3:BW602">
      <formula1>$BW$607:$BW$612</formula1>
    </dataValidation>
    <dataValidation type="list" allowBlank="1" showDropDown="1" showInputMessage="1" showErrorMessage="1" errorTitle="CODES DE SAISIE QUESTION 30" error="1 = Un homme_x000a_2 = Une femme_x000a_" sqref="CA3:CA602">
      <formula1>$CA$607:$CA$608</formula1>
    </dataValidation>
    <dataValidation type="list" allowBlank="1" showDropDown="1" showInputMessage="1" showErrorMessage="1" errorTitle="CODES DE SAISIE QUESTION 32" error="1 = Propriétaire_x000a_2 = Locataire_x000a_3 = Quelqu'un du foyer est propriétaire ou locataire_x000a_96 = Autre_x000a_" sqref="CC3:CC602">
      <formula1>$CC$607:$CC$610</formula1>
    </dataValidation>
    <dataValidation type="list" allowBlank="1" showDropDown="1" showInputMessage="1" showErrorMessage="1" errorTitle="CODES DE SAISIE QUESTION 22.4" error="1 = Oui_x000a_2 = Non_x000a_" sqref="BL3:BL602">
      <formula1>$BL$607:$BL$608</formula1>
    </dataValidation>
    <dataValidation type="list" allowBlank="1" showDropDown="1" showInputMessage="1" showErrorMessage="1" errorTitle="CODES DE SAISIE QUESTION 22.5" error="1 = Oui_x000a_2 = Non_x000a_" sqref="BM3:BM602">
      <formula1>$BM$607:$BM$608</formula1>
    </dataValidation>
    <dataValidation type="list" allowBlank="1" showDropDown="1" showInputMessage="1" showErrorMessage="1" errorTitle="CODES DE SAISIE QUESTION 23" error="1 = Oui_x000a_2 = Non_x000a_" sqref="BN3:BN602">
      <formula1>$BN$607:$BN$608</formula1>
    </dataValidation>
    <dataValidation type="list" allowBlank="1" showDropDown="1" showInputMessage="1" showErrorMessage="1" errorTitle="CODES DE SAISIE QUESTION 24" error="1 = Oui_x000a_2 = Non" sqref="BO3:BO602">
      <formula1>$BO$607:$BO$608</formula1>
    </dataValidation>
    <dataValidation type="list" allowBlank="1" showDropDown="1" showInputMessage="1" showErrorMessage="1" errorTitle="CODES DE SAISIE QUESTION 25" error="1 = Souvent_x000a_2 = Quelquefois_x000a_3 = Rarement_x000a_4 = Jamais" sqref="BP3:BP602">
      <formula1>$BP$607:$BP$610</formula1>
    </dataValidation>
    <dataValidation type="list" allowBlank="1" showDropDown="1" showInputMessage="1" showErrorMessage="1" errorTitle="CODES DE SAISIE QUESTION 25A" error="1 = Pratique(s) religieuse(s)_x000a_2 = Origine ethnique_x000a_3 = Différence linguistique_x000a_4 = Orientation sexuelle_x000a_5 = Handicap_x000a_6 = Apparence physique_x000a_7 = Pauvreté_x000a_8 = Âge_x000a_96 = Autre_x000a_98 = Je ne sais pas" sqref="BQ3:BQ602">
      <formula1>$BQ$607:$BQ$616</formula1>
    </dataValidation>
    <dataValidation type="list" allowBlank="1" showDropDown="1" showInputMessage="1" showErrorMessage="1" errorTitle="CODES DE SAISIE QUESTION 26" error="1 = Oui_x000a_2 = Non_x000a_" sqref="BS3:BS602">
      <formula1>$BS$607:$BS$608</formula1>
    </dataValidation>
    <dataValidation type="list" allowBlank="1" showDropDown="1" showInputMessage="1" showErrorMessage="1" errorTitle="MAUVAIS CODE DE SAISIE Q35" error="1 = Domicile_x000a_2 = Autre endroit_x000a_3 = Extérieur du quartier_x000a_4 = Ne travaille pas/n'étudie pas/retraité(e)_x000a_96 = Autre" sqref="CI3:CI602">
      <formula1>$CI$607:$CI$611</formula1>
    </dataValidation>
    <dataValidation type="list" allowBlank="1" showDropDown="1" showInputMessage="1" showErrorMessage="1" errorTitle="CODES DE SAISIE QUESTION 19" error="1 = Très satisfait(e)_x000a_2 = Assez satisfait(e)_x000a_3 = Peu satisfait(e)_x000a_4 = Pas du tout satisfait(e)_x000a_8 = Je ne sais pas_x000a__x000a_" sqref="BA3:BA602">
      <formula1>$BA$607:$BA$611</formula1>
    </dataValidation>
    <dataValidation type="list" allowBlank="1" showDropDown="1" showInputMessage="1" showErrorMessage="1" errorTitle="CODES DE SAISIE QUESTION 20.1" error="1 = Très satisfait(e)_x000a_2 = Assez satisfait(e)_x000a_3 = Peu satisfait(e)_x000a_4 = Pas du tout satisfait(e)_x000a_8 = Je ne sais pas" sqref="BB3:BB602">
      <formula1>$BB$607:$BB$611</formula1>
    </dataValidation>
    <dataValidation type="list" allowBlank="1" showDropDown="1" showInputMessage="1" showErrorMessage="1" errorTitle="CODES DE SAISIE QUESTION 20.3" error="1 = Très satisfait(e)_x000a_2 = Assez satisfait(e)_x000a_3 = Peu satisfait(e)_x000a_4 = Pas du tout satisfait(e)_x000a_8 = Je ne sais pas" sqref="BD3:BD602">
      <formula1>$BD$607:$BD$611</formula1>
    </dataValidation>
    <dataValidation type="list" allowBlank="1" showDropDown="1" showInputMessage="1" showErrorMessage="1" errorTitle="CODES DE SAISIE QUESTION 20.2" error="1 = Très satisfait(e)_x000a_2 = Assez satisfait(e)_x000a_3 = Peu satisfait(e)_x000a_4 = Pas du tout satisfait(e)_x000a_8 = Je ne sais pas_x000a__x000a_" sqref="BC3:BC602">
      <formula1>$BC$607:$BC$611</formula1>
    </dataValidation>
    <dataValidation type="list" allowBlank="1" showDropDown="1" showInputMessage="1" showErrorMessage="1" errorTitle="CODES DE SAISIE QUESTION 21" error="1 = Aucune_x000a_2 = 1 fois_x000a_3 = 2 fois_x000a_4 = 3 fois ou plus_x000a_" sqref="BE3:BE602">
      <formula1>$BE$607:$BE$610</formula1>
    </dataValidation>
    <dataValidation type="list" allowBlank="1" showDropDown="1" showInputMessage="1" showErrorMessage="1" errorTitle="CODES DE SAISIE QUESTION 21A" error="1 = Très satisfait(e)_x000a_2 = Assez satisfait(e)_x000a_3 = Peu satisfait(e)_x000a_4 = Pas du tout satisfait(e)_x000a_7 = Ne s'applique pas" sqref="BF3:BF602">
      <formula1>$BF$607:$BF$611</formula1>
    </dataValidation>
    <dataValidation type="list" allowBlank="1" showDropDown="1" showInputMessage="1" showErrorMessage="1" errorTitle="CODES DE SAISIE QUESTION 22.1" error="1 = Oui_x000a_2 = Non_x000a_" sqref="BI3:BI602">
      <formula1>$BI$607:$BI$608</formula1>
    </dataValidation>
    <dataValidation type="list" allowBlank="1" showDropDown="1" showInputMessage="1" showErrorMessage="1" errorTitle="CODES DE SAISIE QUESTION 22.2" error="1 = Oui_x000a_2 = Non_x000a_" sqref="BJ3:BJ602">
      <formula1>$BJ$607:$BJ$608</formula1>
    </dataValidation>
    <dataValidation type="list" allowBlank="1" showDropDown="1" showInputMessage="1" showErrorMessage="1" errorTitle="CODES DE SAISIE QUESTION 22.3" error="1 = Oui_x000a_2 = Non_x000a_" sqref="BK3:BK602">
      <formula1>$BK$607:$BK$608</formula1>
    </dataValidation>
    <dataValidation type="list" allowBlank="1" showDropDown="1" showInputMessage="1" showErrorMessage="1" errorTitle="CODES DE SAISIE QUESTION 14.2" error="1 = Oui_x000a_2 = Non_x000a_" sqref="AM3:AM602">
      <formula1>$AM$607:$AM$608</formula1>
    </dataValidation>
    <dataValidation type="list" allowBlank="1" showDropDown="1" showInputMessage="1" showErrorMessage="1" errorTitle="CODES DE SAISIE QUESTION 14.3" error="1 = Oui_x000a_2 = Non" sqref="AN3:AN602">
      <formula1>$AN$607:$AN$608</formula1>
    </dataValidation>
    <dataValidation type="list" allowBlank="1" showDropDown="1" showInputMessage="1" showErrorMessage="1" errorTitle="CODES DE SAISIE QUESTION 14.4" error="1 = Oui_x000a_2 = Non" sqref="AO3:AO602">
      <formula1>$AO$607:$AO$608</formula1>
    </dataValidation>
    <dataValidation type="list" allowBlank="1" showDropDown="1" showInputMessage="1" showErrorMessage="1" errorTitle="CODES DE SAISIE QUESTION 14.5" error="1 = Oui_x000a_2 = Non" sqref="AP3:AP602">
      <formula1>$AP$607:$AP$608</formula1>
    </dataValidation>
    <dataValidation type="list" allowBlank="1" showDropDown="1" showInputMessage="1" showErrorMessage="1" errorTitle="CODES DE SAISIE QUESTION 14.6" error="1 = Oui_x000a_2 = Non" sqref="AQ3:AQ602">
      <formula1>$AQ$607:$AQ$608</formula1>
    </dataValidation>
    <dataValidation type="list" allowBlank="1" showDropDown="1" showInputMessage="1" showErrorMessage="1" errorTitle="CODES DE SAISIE QUESTION 14.7" error="1 = Oui_x000a_2 = Non" sqref="AR3:AR602">
      <formula1>$AR$607:$AR$608</formula1>
    </dataValidation>
    <dataValidation type="list" allowBlank="1" showDropDown="1" showInputMessage="1" showErrorMessage="1" errorTitle="CODES DE SAISIE QUESTION 14.8" error="1 = Oui_x000a_2 = Non" sqref="AS3:AS602">
      <formula1>$AS$607:$AS$608</formula1>
    </dataValidation>
    <dataValidation type="list" allowBlank="1" showDropDown="1" showInputMessage="1" showErrorMessage="1" errorTitle="CODES DE SAISIE QUESTION 15" error="1 = Oui_x000a_2 = Non" sqref="AT3:AT602">
      <formula1>$AT$607:$AT$608</formula1>
    </dataValidation>
    <dataValidation type="list" allowBlank="1" showDropDown="1" showInputMessage="1" showErrorMessage="1" errorTitle="CODES DE SAISIE QUESTION 15A" error="1 = Oui_x000a_2 = Non" sqref="AU3:AU602">
      <formula1>$AU$607:$AU$608</formula1>
    </dataValidation>
    <dataValidation type="list" allowBlank="1" showDropDown="1" showInputMessage="1" showErrorMessage="1" errorTitle="CODES DE SAISIE QUESTION 16.1" error="1 = Très satisfait(e)_x000a_2 = Assez satisfait(e)_x000a_3 = Peu satisfait(e)_x000a_4 = Pas du tout satisifait(e)_x000a_8 = Je ne sais pas" sqref="AV3:AV602">
      <formula1>$AV$607:$AV$611</formula1>
    </dataValidation>
    <dataValidation type="list" allowBlank="1" showDropDown="1" showInputMessage="1" showErrorMessage="1" errorTitle="CODES DE SAISIE QUESTION 16.3" error="1 = Très satisfait(e)_x000a_2 = Assez satisfait(e)_x000a_3 = Peu satisfait(e)_x000a_4 = Pas du tout satisfait(e)_x000a_8 = Je ne sais pas" sqref="AX3:AX602">
      <formula1>$AX$607:$AX$611</formula1>
    </dataValidation>
    <dataValidation type="list" allowBlank="1" showDropDown="1" showInputMessage="1" showErrorMessage="1" errorTitle="CODES DE SAISIE QUESTION 17" error="1 = Police municipale_x000a_2 = Régie intermunicipale_x000a_3 = Sûreté du Québec_x000a_8 = Je ne sais pas_x000a_" sqref="AY3:AY602">
      <formula1>$AY$607:$AY$610</formula1>
    </dataValidation>
    <dataValidation type="list" allowBlank="1" showDropDown="1" showInputMessage="1" showErrorMessage="1" errorTitle="CODES DE SAISIE QUESTION 18" error="1 = Très satisfait(e)_x000a_2 = Assez satisfait(e)_x000a_3 = Peu satisfait(e)_x000a_4 = Pas du tout satisfait(e)_x000a_8 = Je ne sais pas" sqref="AZ3:AZ602">
      <formula1>$AZ$607:$AZ$611</formula1>
    </dataValidation>
    <dataValidation type="list" allowBlank="1" showDropDown="1" showInputMessage="1" showErrorMessage="1" errorTitle="CODES DE SAISIE QUESTION 16.2" error="1 = Très satisfait(e)_x000a_2 = Assez satisfait(e)_x000a_3 = Peu satisfait(e)_x000a_4 = Pas du tout satisifait(e)_x000a_8 = Je ne sais pas" sqref="AW3:AW602">
      <formula1>$AW$607:$AW$611</formula1>
    </dataValidation>
    <dataValidation type="list" allowBlank="1" showDropDown="1" showInputMessage="1" showErrorMessage="1" errorTitle="CODES DE SAISIE QUESTION 10.1" error="1 = Très élevé_x000a_2 = Assez élevé_x000a_3 = Faible_x000a_4 = Inexistant" sqref="W3:W602">
      <formula1>$W$607:$W$610</formula1>
    </dataValidation>
    <dataValidation type="list" allowBlank="1" showDropDown="1" showInputMessage="1" showErrorMessage="1" errorTitle="CODES DE SAISIE QUESTION 10.2" error="1 = Très élevé_x000a_2 = Assez élevé_x000a_3 = Faible_x000a_4 = Inexistant" sqref="X3:X602">
      <formula1>$X$607:$X$610</formula1>
    </dataValidation>
    <dataValidation type="list" allowBlank="1" showDropDown="1" showInputMessage="1" showErrorMessage="1" errorTitle="CODES DE SAISIE QUESTION 11" error="1 = Oui_x000a_2 = Non_x000a_" sqref="Y3:Y602">
      <formula1>$Y$607:$Y$608</formula1>
    </dataValidation>
    <dataValidation type="list" allowBlank="1" showDropDown="1" showInputMessage="1" showErrorMessage="1" errorTitle="CODES DE SAISIE QUESTION 12" error="1 = Oui_x000a_2 = Non_x000a_" sqref="Z3:Z602">
      <formula1>$Z$607:$Z$608</formula1>
    </dataValidation>
    <dataValidation type="whole" operator="equal" allowBlank="1" showDropDown="1" showInputMessage="1" showErrorMessage="1" sqref="AB3:AB602">
      <formula1>1</formula1>
    </dataValidation>
    <dataValidation type="whole" operator="equal" allowBlank="1" showInputMessage="1" showErrorMessage="1" sqref="AC3:AG602">
      <formula1>1</formula1>
    </dataValidation>
    <dataValidation type="list" allowBlank="1" showDropDown="1" showInputMessage="1" showErrorMessage="1" errorTitle="CODES DE SAISIE QUESTION 5.2" error="1 = Très élevé_x000a_2 = Plutôt élevé_x000a_3 = Plutôt faible_x000a_4 = Très faible_x000a_7 = Ne s'applique pas_x000a__x000a_" sqref="I3:I602">
      <formula1>$I$607:$I$611</formula1>
    </dataValidation>
    <dataValidation type="list" allowBlank="1" showDropDown="1" showInputMessage="1" showErrorMessage="1" errorTitle="CODES DE SAISIE QUESTION 5.3" error="1 = Très élevé_x000a_2 = Plutôt élevé_x000a_3 = Plutôt faible_x000a_4 = Très faible_x000a_7 = Ne s'applique pas" sqref="J3:J602">
      <formula1>$J$607:$J$611</formula1>
    </dataValidation>
    <dataValidation type="list" allowBlank="1" showDropDown="1" showInputMessage="1" showErrorMessage="1" errorTitle="CODES DE SAISIE QUESTION 6" error="1 = Très élevé_x000a_2 = Plutôt élevé_x000a_3 = Plutôt faible_x000a_4 = Très faible_x000a_5 = Pas d'enfants moins 18 ans" sqref="K3:K602">
      <formula1>$K$607:$K$611</formula1>
    </dataValidation>
    <dataValidation type="list" allowBlank="1" showDropDown="1" showInputMessage="1" showErrorMessage="1" errorTitle="CODES DE SAISIE QUESTION 7" error="1 = Au moins 4 fois par mois_x000a_2 = 2-3 fois par mois_x000a_3 = 1 fois par mois_x000a_4 = Moins de 1 fois par mois_x000a_5 = Jamais" sqref="L3:L602">
      <formula1>$L$607:$L$611</formula1>
    </dataValidation>
    <dataValidation type="list" allowBlank="1" showDropDown="1" showInputMessage="1" showErrorMessage="1" errorTitle="CODES DE SAISIE QUESTION 8.1" error="1 = Très fréquents_x000a_2 = Assez fréquents_x000a_3 = Peu fréquents_x000a_4 = Pas du tout fréquents_x000a_" sqref="M3:M602">
      <formula1>$M$607:$M$610</formula1>
    </dataValidation>
    <dataValidation type="list" allowBlank="1" showDropDown="1" showInputMessage="1" showErrorMessage="1" errorTitle="CODES DE SAISIE QUESTION 8.2" error="1 = Très fréquents_x000a_2 = Assez fréquents_x000a_3 = Peu fréquents_x000a_4 = Pas du tout fréquents_x000a_" sqref="N3:N602">
      <formula1>$N$607:$N$610</formula1>
    </dataValidation>
    <dataValidation type="list" allowBlank="1" showDropDown="1" showInputMessage="1" showErrorMessage="1" errorTitle="CODES DE SAISIE QUESTION 8.3" error="1 = Très fréquents_x000a_2 = Assez fréquents_x000a_3 = Peu fréquents_x000a_4 = Pas du tout fréquents" sqref="O3:O602">
      <formula1>$O$607:$O$610</formula1>
    </dataValidation>
    <dataValidation type="list" allowBlank="1" showDropDown="1" showInputMessage="1" showErrorMessage="1" errorTitle="CODES DE SAISIE QUESTION 8.4" error="1 = Très fréquents_x000a_2 = Assez fréquents_x000a_3 = Peu fréquents_x000a_4 = Pas du tout fréquents" sqref="P3:P602">
      <formula1>$P$607:$P$610</formula1>
    </dataValidation>
    <dataValidation type="list" allowBlank="1" showDropDown="1" showInputMessage="1" showErrorMessage="1" errorTitle="CODES DE SAISIE QUESTION 8.5" error="1 = Très fréquents_x000a_2 = Assez fréquents_x000a_3 = Peu fréquents_x000a_4 = Pas du tout fréquents_x000a_" sqref="Q3:Q602">
      <formula1>$Q$607:$Q$610</formula1>
    </dataValidation>
    <dataValidation type="list" allowBlank="1" showDropDown="1" showInputMessage="1" showErrorMessage="1" errorTitle="CODES DE SAISIE QUESTION 8.6" error="1 = Très fréquents_x000a_2 = Assez fréquents_x000a_3 = Peu fréquents_x000a_4 = Pas du tout fréquents" sqref="R3:R602">
      <formula1>$R$607:$R$610</formula1>
    </dataValidation>
    <dataValidation type="list" allowBlank="1" showDropDown="1" showInputMessage="1" showErrorMessage="1" errorTitle="CODES DE SAISIE QUESTION 8.7" error="1 = Très fréquents_x000a_2 = Assez fréquents_x000a_3 = Peu fréquents_x000a_4 = Pas du tout fréquents" sqref="S3:S602">
      <formula1>$S$607:$S$610</formula1>
    </dataValidation>
    <dataValidation type="list" allowBlank="1" showDropDown="1" showInputMessage="1" showErrorMessage="1" errorTitle="CODES DE SAISIE QUESTION 8.8" error="1 = Très fréquents_x000a_2 = Assez fréquents_x000a_3 = Peu fréquents_x000a_4 = Pas du tout fréquents" sqref="T3:T602">
      <formula1>$T$607:$T$610</formula1>
    </dataValidation>
    <dataValidation type="list" allowBlank="1" showDropDown="1" showInputMessage="1" showErrorMessage="1" errorTitle="CODES DE SAISIE QUESTION 9.1" error="1 = Très nombreux_x000a_2 = Nombreux_x000a_3 = Rares_x000a_4 = Inexistants" sqref="U3:U602">
      <formula1>$U$607:$U$610</formula1>
    </dataValidation>
    <dataValidation type="list" allowBlank="1" showDropDown="1" showInputMessage="1" showErrorMessage="1" errorTitle="CODES DE SAISIE QUESTION 9.2" error="1 = Très nombreux_x000a_2 = Nombreux_x000a_3 = Rares_x000a_4 = Inexistants" sqref="V3:V602">
      <formula1>$V$607:$V$610</formula1>
    </dataValidation>
    <dataValidation type="list" allowBlank="1" showDropDown="1" showInputMessage="1" showErrorMessage="1" errorTitle="Mauvais code - E2" error="1=Une personne_x000a_2=Deux personnes_x000a_3=Trois personnes_x000a_4=Quatre personnes et plus_x000a_5=Aucune_x000a_" promptTitle="AVERTISSEMENT" sqref="C3:C602">
      <formula1>$C$606:$C$610</formula1>
    </dataValidation>
    <dataValidation allowBlank="1" showDropDown="1" showInputMessage="1" showErrorMessage="1" errorTitle="CODES DE SAISIE QUESTION 2" error="1 = Très sécuritaire_x000a_2 = Assez sécuritaire_x000a_3 = Peu sécuritaire_x000a_4=Pas du tout sécuritaire_x000a__x000a_" sqref="F3:F602"/>
    <dataValidation type="list" allowBlank="1" showDropDown="1" showInputMessage="1" showErrorMessage="1" errorTitle="Mauvais code - E1" error="1=Moins de 2 ans_x000a_2=Entre 2 et 4 ans_x000a_3=5 ans et plus" sqref="B3:B602">
      <formula1>$B$607:$B$609</formula1>
    </dataValidation>
    <dataValidation type="list" allowBlank="1" showDropDown="1" showInputMessage="1" showErrorMessage="1" errorTitle="CODES DE SAISIE QUESTION 5.1" error="1 = Très élevé_x000a_2 = Plutôt élevé_x000a_3 = Plutôt faible_x000a_4 = Très faible_x000a_7 = Ne s'applique pas_x000a_" sqref="H3:H602">
      <formula1>$H$607:$H$611</formula1>
    </dataValidation>
    <dataValidation type="list" allowBlank="1" showDropDown="1" showInputMessage="1" showErrorMessage="1" errorTitle="CODES DE SAISIE QUESTION Q1" error="1 = Très sécuritaire_x000a_2 = Assez sécuritaire_x000a_3 = Peu sécuritaire_x000a_4 = Pas du tout sécuritaire_x000a_" sqref="D3:D602">
      <formula1>$D$607:$D$610</formula1>
    </dataValidation>
    <dataValidation type="list" allowBlank="1" showDropDown="1" showInputMessage="1" showErrorMessage="1" errorTitle="CODES DE SAISIE QUESTION 4" error="1 = Souvent_x000a_2 = Quelquefois_x000a_3 = Rarement_x000a_4 = Jamais_x000a__x000a_" sqref="G3:G602">
      <formula1>$G$607:$G$610</formula1>
    </dataValidation>
    <dataValidation type="list" allowBlank="1" showDropDown="1" showInputMessage="1" showErrorMessage="1" errorTitle="CODES DE SAISIE QUESTION 14.1" error="1 = Oui_x000a_2 = Non_x000a_" sqref="AL3:AL602">
      <formula1>$AL$607:$AL$608</formula1>
    </dataValidation>
    <dataValidation type="whole" operator="equal" allowBlank="1" showInputMessage="1" showErrorMessage="1" sqref="AH3:AH602">
      <formula1>1</formula1>
    </dataValidation>
    <dataValidation type="list" allowBlank="1" showDropDown="1" showInputMessage="1" showErrorMessage="1" errorTitle="CODES DE SAISIE QUESTION 13" error="1=Oui_x000a_2=Non" sqref="AJ3:AJ602">
      <formula1>$AJ$607:$AJ$608</formula1>
    </dataValidation>
    <dataValidation type="list" allowBlank="1" showDropDown="1" showInputMessage="1" showErrorMessage="1" errorTitle="CODES DE SAISIE QUESTION 28" sqref="BX3:BX602">
      <formula1>$BX$607:$BX$615</formula1>
    </dataValidation>
    <dataValidation type="list" allowBlank="1" showDropDown="1" showInputMessage="1" showErrorMessage="1" errorTitle="MAUVAIS CODE QUESTION 2" error="0 = J'habite le quartier moins de 5 ans_x000a_1 = Plus en sécurité_x000a_2 = Moins en sécurité_x000a_3 = Peu ou pas de changement_x000a_8 = Je ne sais pas" sqref="E3:E602">
      <formula1>$E$606:$E$610</formula1>
    </dataValidation>
    <dataValidation type="list" allowBlank="1" showDropDown="1" showInputMessage="1" showErrorMessage="1" errorTitle="CODES DE SAISIE QUESTION 29" error="0 = Aucune_x000a_1 = Une personne_x000a_2 = Deux personnes_x000a_3 = Trois personnes_x000a_4 = Quatre personnes et plus_x000a_" sqref="BZ3:BZ602">
      <formula1>$BZ$606:$BZ$610</formula1>
    </dataValidation>
    <dataValidation type="whole" allowBlank="1" showInputMessage="1" showErrorMessage="1" sqref="CB3:CB602">
      <formula1>1910</formula1>
      <formula2>2030</formula2>
    </dataValidation>
    <dataValidation type="whole" operator="equal" allowBlank="1" showDropDown="1" showInputMessage="1" showErrorMessage="1" sqref="AA3:AA602">
      <formula1>1</formula1>
    </dataValidation>
  </dataValidations>
  <pageMargins left="0.78740157480314965" right="0.78740157480314965" top="0.98425196850393704" bottom="0.98425196850393704" header="0.51181102362204722" footer="0.51181102362204722"/>
  <pageSetup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Feuil29" enableFormatConditionsCalculation="0">
    <tabColor indexed="12"/>
  </sheetPr>
  <dimension ref="A1:G58"/>
  <sheetViews>
    <sheetView view="pageBreakPreview" zoomScale="90" zoomScaleNormal="90" workbookViewId="0">
      <selection activeCell="A48" sqref="A48"/>
    </sheetView>
  </sheetViews>
  <sheetFormatPr baseColWidth="10" defaultRowHeight="12.75"/>
  <cols>
    <col min="1" max="1" width="34.5703125" style="1" customWidth="1"/>
    <col min="2" max="2" width="39.85546875" style="1" customWidth="1"/>
    <col min="3" max="3" width="5.7109375" style="1" customWidth="1"/>
    <col min="4" max="4" width="13.140625" style="7" customWidth="1"/>
    <col min="5" max="5" width="15" style="7" customWidth="1"/>
    <col min="6" max="6" width="14.85546875" style="7" customWidth="1"/>
    <col min="7" max="7" width="15.42578125" style="7" customWidth="1"/>
    <col min="8" max="16384" width="11.42578125" style="1"/>
  </cols>
  <sheetData>
    <row r="1" spans="1:7" s="4" customFormat="1">
      <c r="A1" s="584" t="s">
        <v>7</v>
      </c>
      <c r="B1" s="584" t="s">
        <v>6</v>
      </c>
      <c r="C1" s="584" t="s">
        <v>20</v>
      </c>
      <c r="D1" s="584" t="s">
        <v>16</v>
      </c>
      <c r="E1" s="584" t="s">
        <v>17</v>
      </c>
      <c r="F1" s="584" t="s">
        <v>18</v>
      </c>
      <c r="G1" s="582" t="s">
        <v>19</v>
      </c>
    </row>
    <row r="2" spans="1:7" s="4" customFormat="1">
      <c r="A2" s="585"/>
      <c r="B2" s="586"/>
      <c r="C2" s="586"/>
      <c r="D2" s="586"/>
      <c r="E2" s="587"/>
      <c r="F2" s="586"/>
      <c r="G2" s="583"/>
    </row>
    <row r="3" spans="1:7">
      <c r="A3" s="128" t="s">
        <v>165</v>
      </c>
      <c r="B3" s="153"/>
      <c r="C3" s="210"/>
      <c r="D3" s="148"/>
      <c r="E3" s="213"/>
      <c r="F3" s="148"/>
      <c r="G3" s="267"/>
    </row>
    <row r="4" spans="1:7">
      <c r="A4" s="172" t="s">
        <v>607</v>
      </c>
      <c r="B4" s="281" t="s">
        <v>611</v>
      </c>
      <c r="C4" s="210">
        <v>1</v>
      </c>
      <c r="D4" s="148">
        <f>F4</f>
        <v>0</v>
      </c>
      <c r="E4" s="213" t="e">
        <f>D4/$F$7</f>
        <v>#DIV/0!</v>
      </c>
      <c r="F4" s="148">
        <f>FREQUENCY('Grille de saisie'!$AY$3:$AY$602,C4)</f>
        <v>0</v>
      </c>
      <c r="G4" s="267" t="e">
        <f>E4</f>
        <v>#DIV/0!</v>
      </c>
    </row>
    <row r="5" spans="1:7">
      <c r="A5" s="172" t="s">
        <v>608</v>
      </c>
      <c r="B5" s="281" t="s">
        <v>612</v>
      </c>
      <c r="C5" s="210">
        <v>2</v>
      </c>
      <c r="D5" s="148">
        <f>F5-F4</f>
        <v>0</v>
      </c>
      <c r="E5" s="213" t="e">
        <f t="shared" ref="E5:E7" si="0">D5/$F$7</f>
        <v>#DIV/0!</v>
      </c>
      <c r="F5" s="148">
        <f>FREQUENCY('Grille de saisie'!$AY$3:$AY$602,C5)</f>
        <v>0</v>
      </c>
      <c r="G5" s="267" t="e">
        <f>E5+E4</f>
        <v>#DIV/0!</v>
      </c>
    </row>
    <row r="6" spans="1:7">
      <c r="A6" s="172" t="s">
        <v>609</v>
      </c>
      <c r="B6" s="281" t="s">
        <v>613</v>
      </c>
      <c r="C6" s="210">
        <v>3</v>
      </c>
      <c r="D6" s="148">
        <f>F6-F5</f>
        <v>0</v>
      </c>
      <c r="E6" s="213" t="e">
        <f t="shared" si="0"/>
        <v>#DIV/0!</v>
      </c>
      <c r="F6" s="148">
        <f>FREQUENCY('Grille de saisie'!$AY$3:$AY$602,C6)</f>
        <v>0</v>
      </c>
      <c r="G6" s="267" t="e">
        <f>E6+E5+E4</f>
        <v>#DIV/0!</v>
      </c>
    </row>
    <row r="7" spans="1:7">
      <c r="A7" s="199" t="s">
        <v>610</v>
      </c>
      <c r="B7" s="281" t="s">
        <v>375</v>
      </c>
      <c r="C7" s="210">
        <v>8</v>
      </c>
      <c r="D7" s="148">
        <f>F7-F6</f>
        <v>0</v>
      </c>
      <c r="E7" s="213" t="e">
        <f t="shared" si="0"/>
        <v>#DIV/0!</v>
      </c>
      <c r="F7" s="148">
        <f>FREQUENCY('Grille de saisie'!$AY$3:$AY$602,C7)</f>
        <v>0</v>
      </c>
      <c r="G7" s="267" t="e">
        <f>E7+E6+E5+E4</f>
        <v>#DIV/0!</v>
      </c>
    </row>
    <row r="8" spans="1:7">
      <c r="A8" s="204"/>
      <c r="B8" s="155"/>
      <c r="C8" s="205"/>
      <c r="D8" s="157"/>
      <c r="E8" s="350"/>
      <c r="F8" s="148"/>
      <c r="G8" s="267"/>
    </row>
    <row r="9" spans="1:7">
      <c r="A9" s="128" t="s">
        <v>136</v>
      </c>
      <c r="B9" s="146"/>
      <c r="C9" s="192"/>
      <c r="D9" s="148"/>
      <c r="E9" s="184"/>
      <c r="F9" s="149"/>
      <c r="G9" s="149"/>
    </row>
    <row r="10" spans="1:7">
      <c r="A10" s="172" t="s">
        <v>406</v>
      </c>
      <c r="B10" s="281" t="s">
        <v>460</v>
      </c>
      <c r="C10" s="210" t="s">
        <v>73</v>
      </c>
      <c r="D10" s="148">
        <f>Fréquence!D253+Fréquence!D254</f>
        <v>0</v>
      </c>
      <c r="E10" s="212" t="e">
        <f>D10/$F$12</f>
        <v>#DIV/0!</v>
      </c>
      <c r="F10" s="148">
        <f>D10</f>
        <v>0</v>
      </c>
      <c r="G10" s="267" t="e">
        <f>E10</f>
        <v>#DIV/0!</v>
      </c>
    </row>
    <row r="11" spans="1:7">
      <c r="A11" s="172" t="s">
        <v>407</v>
      </c>
      <c r="B11" s="281" t="s">
        <v>461</v>
      </c>
      <c r="C11" s="210" t="s">
        <v>74</v>
      </c>
      <c r="D11" s="148">
        <f>Fréquence!D255+Fréquence!D256</f>
        <v>0</v>
      </c>
      <c r="E11" s="212" t="e">
        <f t="shared" ref="E11:E12" si="1">D11/$F$12</f>
        <v>#DIV/0!</v>
      </c>
      <c r="F11" s="148">
        <f>D11+D10</f>
        <v>0</v>
      </c>
      <c r="G11" s="267" t="e">
        <f>E11+E10</f>
        <v>#DIV/0!</v>
      </c>
    </row>
    <row r="12" spans="1:7">
      <c r="A12" s="199" t="s">
        <v>408</v>
      </c>
      <c r="B12" s="281" t="s">
        <v>375</v>
      </c>
      <c r="C12" s="192">
        <v>8</v>
      </c>
      <c r="D12" s="148">
        <f>Fréquence!D257</f>
        <v>0</v>
      </c>
      <c r="E12" s="212" t="e">
        <f t="shared" si="1"/>
        <v>#DIV/0!</v>
      </c>
      <c r="F12" s="148">
        <f>D12+D11+D10</f>
        <v>0</v>
      </c>
      <c r="G12" s="267" t="e">
        <f>E12+E11+E10</f>
        <v>#DIV/0!</v>
      </c>
    </row>
    <row r="13" spans="1:7">
      <c r="A13" s="153"/>
      <c r="B13" s="281"/>
      <c r="C13" s="192"/>
      <c r="D13" s="148"/>
      <c r="E13" s="212"/>
      <c r="F13" s="148"/>
      <c r="G13" s="267"/>
    </row>
    <row r="14" spans="1:7">
      <c r="A14" s="199"/>
      <c r="B14" s="3"/>
      <c r="C14" s="268"/>
      <c r="D14" s="148"/>
      <c r="E14" s="212"/>
      <c r="F14" s="148"/>
      <c r="G14" s="267"/>
    </row>
    <row r="15" spans="1:7">
      <c r="A15" s="191"/>
      <c r="B15" s="155"/>
      <c r="C15" s="205"/>
      <c r="D15" s="157"/>
      <c r="E15" s="197"/>
      <c r="F15" s="157"/>
      <c r="G15" s="158"/>
    </row>
    <row r="16" spans="1:7">
      <c r="A16" s="128" t="s">
        <v>137</v>
      </c>
      <c r="B16" s="146"/>
      <c r="C16" s="192"/>
      <c r="D16" s="148"/>
      <c r="E16" s="184"/>
      <c r="F16" s="148"/>
      <c r="G16" s="148"/>
    </row>
    <row r="17" spans="1:7">
      <c r="A17" s="172" t="s">
        <v>406</v>
      </c>
      <c r="B17" s="281" t="s">
        <v>460</v>
      </c>
      <c r="C17" s="210" t="s">
        <v>73</v>
      </c>
      <c r="D17" s="148">
        <f>Fréquence!D260+Fréquence!D261</f>
        <v>0</v>
      </c>
      <c r="E17" s="212" t="e">
        <f>D17/$F$19</f>
        <v>#DIV/0!</v>
      </c>
      <c r="F17" s="148">
        <f>D17</f>
        <v>0</v>
      </c>
      <c r="G17" s="267" t="e">
        <f>E17</f>
        <v>#DIV/0!</v>
      </c>
    </row>
    <row r="18" spans="1:7">
      <c r="A18" s="172" t="s">
        <v>409</v>
      </c>
      <c r="B18" s="281" t="s">
        <v>461</v>
      </c>
      <c r="C18" s="210" t="s">
        <v>74</v>
      </c>
      <c r="D18" s="148">
        <f>Fréquence!D262+Fréquence!D263</f>
        <v>0</v>
      </c>
      <c r="E18" s="212" t="e">
        <f t="shared" ref="E18:E19" si="2">D18/$F$19</f>
        <v>#DIV/0!</v>
      </c>
      <c r="F18" s="148">
        <f>D18+D17</f>
        <v>0</v>
      </c>
      <c r="G18" s="267" t="e">
        <f>E18+E17</f>
        <v>#DIV/0!</v>
      </c>
    </row>
    <row r="19" spans="1:7">
      <c r="A19" s="172" t="s">
        <v>410</v>
      </c>
      <c r="B19" s="281" t="s">
        <v>375</v>
      </c>
      <c r="C19" s="192">
        <v>8</v>
      </c>
      <c r="D19" s="148">
        <f>Fréquence!D264</f>
        <v>0</v>
      </c>
      <c r="E19" s="212" t="e">
        <f t="shared" si="2"/>
        <v>#DIV/0!</v>
      </c>
      <c r="F19" s="148">
        <f>D19+D18+D17</f>
        <v>0</v>
      </c>
      <c r="G19" s="267" t="e">
        <f>E19+E18+E17</f>
        <v>#DIV/0!</v>
      </c>
    </row>
    <row r="20" spans="1:7">
      <c r="A20" s="199"/>
      <c r="B20" s="281"/>
      <c r="C20" s="210"/>
      <c r="D20" s="148"/>
      <c r="E20" s="212"/>
      <c r="F20" s="148"/>
      <c r="G20" s="267"/>
    </row>
    <row r="21" spans="1:7">
      <c r="A21" s="199"/>
      <c r="B21" s="281"/>
      <c r="C21" s="147"/>
      <c r="D21" s="148"/>
      <c r="E21" s="212"/>
      <c r="F21" s="148"/>
      <c r="G21" s="267"/>
    </row>
    <row r="22" spans="1:7">
      <c r="A22" s="155"/>
      <c r="B22" s="187"/>
      <c r="C22" s="187"/>
      <c r="D22" s="223"/>
      <c r="E22" s="187"/>
      <c r="F22" s="187"/>
      <c r="G22" s="154"/>
    </row>
    <row r="23" spans="1:7">
      <c r="A23" s="174" t="s">
        <v>138</v>
      </c>
      <c r="B23" s="201"/>
      <c r="C23" s="188"/>
      <c r="D23" s="189"/>
      <c r="E23" s="202"/>
      <c r="F23" s="189"/>
      <c r="G23" s="224"/>
    </row>
    <row r="24" spans="1:7">
      <c r="A24" s="283" t="s">
        <v>614</v>
      </c>
      <c r="B24" s="180"/>
      <c r="C24" s="205"/>
      <c r="D24" s="196"/>
      <c r="E24" s="206"/>
      <c r="F24" s="196"/>
      <c r="G24" s="207"/>
    </row>
    <row r="25" spans="1:7">
      <c r="A25" s="128" t="s">
        <v>570</v>
      </c>
      <c r="B25" s="146"/>
      <c r="C25" s="192"/>
      <c r="D25" s="148"/>
      <c r="E25" s="184"/>
      <c r="F25" s="148"/>
      <c r="G25" s="148"/>
    </row>
    <row r="26" spans="1:7">
      <c r="A26" s="199" t="s">
        <v>235</v>
      </c>
      <c r="B26" s="281" t="s">
        <v>460</v>
      </c>
      <c r="C26" s="210" t="s">
        <v>73</v>
      </c>
      <c r="D26" s="148">
        <f>Fréquence!D269+Fréquence!D270</f>
        <v>0</v>
      </c>
      <c r="E26" s="212" t="e">
        <f>D26/$F$28</f>
        <v>#DIV/0!</v>
      </c>
      <c r="F26" s="148">
        <f>D26</f>
        <v>0</v>
      </c>
      <c r="G26" s="267" t="e">
        <f>E26</f>
        <v>#DIV/0!</v>
      </c>
    </row>
    <row r="27" spans="1:7">
      <c r="A27" s="172" t="s">
        <v>415</v>
      </c>
      <c r="B27" s="281" t="s">
        <v>461</v>
      </c>
      <c r="C27" s="210" t="s">
        <v>74</v>
      </c>
      <c r="D27" s="148">
        <f>Fréquence!D271+Fréquence!D272</f>
        <v>0</v>
      </c>
      <c r="E27" s="212" t="e">
        <f t="shared" ref="E27:E28" si="3">D27/$F$28</f>
        <v>#DIV/0!</v>
      </c>
      <c r="F27" s="148">
        <f>D27+D26</f>
        <v>0</v>
      </c>
      <c r="G27" s="267" t="e">
        <f>E27+E26</f>
        <v>#DIV/0!</v>
      </c>
    </row>
    <row r="28" spans="1:7">
      <c r="A28" s="128"/>
      <c r="B28" s="281" t="s">
        <v>375</v>
      </c>
      <c r="C28" s="192">
        <v>8</v>
      </c>
      <c r="D28" s="148">
        <f>Fréquence!D273</f>
        <v>0</v>
      </c>
      <c r="E28" s="212" t="e">
        <f t="shared" si="3"/>
        <v>#DIV/0!</v>
      </c>
      <c r="F28" s="148">
        <f>D28+D27+D26</f>
        <v>0</v>
      </c>
      <c r="G28" s="267" t="e">
        <f>E28+E27+E26</f>
        <v>#DIV/0!</v>
      </c>
    </row>
    <row r="29" spans="1:7">
      <c r="A29" s="128"/>
      <c r="B29" s="281"/>
      <c r="C29" s="192"/>
      <c r="D29" s="148"/>
      <c r="E29" s="212"/>
      <c r="F29" s="148"/>
      <c r="G29" s="267"/>
    </row>
    <row r="30" spans="1:7">
      <c r="A30" s="128"/>
      <c r="B30" s="281"/>
      <c r="C30" s="192"/>
      <c r="D30" s="148"/>
      <c r="E30" s="212"/>
      <c r="F30" s="148"/>
      <c r="G30" s="267"/>
    </row>
    <row r="31" spans="1:7">
      <c r="A31" s="225"/>
      <c r="B31" s="155"/>
      <c r="C31" s="205"/>
      <c r="D31" s="157"/>
      <c r="E31" s="158"/>
      <c r="F31" s="148"/>
      <c r="G31" s="158"/>
    </row>
    <row r="32" spans="1:7">
      <c r="A32" s="128" t="s">
        <v>571</v>
      </c>
      <c r="B32" s="170"/>
      <c r="C32" s="192"/>
      <c r="D32" s="148"/>
      <c r="E32" s="184"/>
      <c r="F32" s="149"/>
      <c r="G32" s="149"/>
    </row>
    <row r="33" spans="1:7">
      <c r="A33" s="199" t="s">
        <v>236</v>
      </c>
      <c r="B33" s="281" t="s">
        <v>460</v>
      </c>
      <c r="C33" s="210" t="s">
        <v>73</v>
      </c>
      <c r="D33" s="148">
        <f>Fréquence!D276+Fréquence!D277</f>
        <v>0</v>
      </c>
      <c r="E33" s="212" t="e">
        <f>D33/$F$35</f>
        <v>#DIV/0!</v>
      </c>
      <c r="F33" s="148">
        <f>D33</f>
        <v>0</v>
      </c>
      <c r="G33" s="267" t="e">
        <f>E33</f>
        <v>#DIV/0!</v>
      </c>
    </row>
    <row r="34" spans="1:7">
      <c r="A34" s="172" t="s">
        <v>408</v>
      </c>
      <c r="B34" s="281" t="s">
        <v>461</v>
      </c>
      <c r="C34" s="210" t="s">
        <v>74</v>
      </c>
      <c r="D34" s="148">
        <f>Fréquence!D278+Fréquence!D279</f>
        <v>0</v>
      </c>
      <c r="E34" s="212" t="e">
        <f t="shared" ref="E34:E35" si="4">D34/$F$35</f>
        <v>#DIV/0!</v>
      </c>
      <c r="F34" s="148">
        <f>D34+D33</f>
        <v>0</v>
      </c>
      <c r="G34" s="267" t="e">
        <f>E34+E33</f>
        <v>#DIV/0!</v>
      </c>
    </row>
    <row r="35" spans="1:7">
      <c r="A35" s="151"/>
      <c r="B35" s="281" t="s">
        <v>375</v>
      </c>
      <c r="C35" s="192">
        <v>8</v>
      </c>
      <c r="D35" s="148">
        <f>Fréquence!D280</f>
        <v>0</v>
      </c>
      <c r="E35" s="212" t="e">
        <f t="shared" si="4"/>
        <v>#DIV/0!</v>
      </c>
      <c r="F35" s="148">
        <f>D35+D34+D33</f>
        <v>0</v>
      </c>
      <c r="G35" s="267" t="e">
        <f>E35+E34+E33</f>
        <v>#DIV/0!</v>
      </c>
    </row>
    <row r="36" spans="1:7">
      <c r="A36" s="151"/>
      <c r="B36" s="281"/>
      <c r="C36" s="192"/>
      <c r="D36" s="148"/>
      <c r="E36" s="212"/>
      <c r="F36" s="148"/>
      <c r="G36" s="267"/>
    </row>
    <row r="37" spans="1:7">
      <c r="A37" s="151"/>
      <c r="B37" s="281"/>
      <c r="C37" s="192"/>
      <c r="D37" s="148"/>
      <c r="E37" s="212"/>
      <c r="F37" s="148"/>
      <c r="G37" s="267"/>
    </row>
    <row r="38" spans="1:7">
      <c r="A38" s="225"/>
      <c r="B38" s="155"/>
      <c r="C38" s="205"/>
      <c r="D38" s="157"/>
      <c r="E38" s="197"/>
      <c r="F38" s="157"/>
      <c r="G38" s="158"/>
    </row>
    <row r="39" spans="1:7">
      <c r="A39" s="128" t="s">
        <v>572</v>
      </c>
      <c r="B39" s="146"/>
      <c r="C39" s="192"/>
      <c r="D39" s="148"/>
      <c r="E39" s="184"/>
      <c r="F39" s="148"/>
      <c r="G39" s="148"/>
    </row>
    <row r="40" spans="1:7">
      <c r="A40" s="199" t="s">
        <v>237</v>
      </c>
      <c r="B40" s="281" t="s">
        <v>460</v>
      </c>
      <c r="C40" s="210" t="s">
        <v>73</v>
      </c>
      <c r="D40" s="148">
        <f>Fréquence!D283+Fréquence!D284</f>
        <v>0</v>
      </c>
      <c r="E40" s="212" t="e">
        <f>D40/$F$42</f>
        <v>#DIV/0!</v>
      </c>
      <c r="F40" s="148">
        <f>D40</f>
        <v>0</v>
      </c>
      <c r="G40" s="267" t="e">
        <f>E40</f>
        <v>#DIV/0!</v>
      </c>
    </row>
    <row r="41" spans="1:7">
      <c r="A41" s="199" t="s">
        <v>238</v>
      </c>
      <c r="B41" s="281" t="s">
        <v>461</v>
      </c>
      <c r="C41" s="210" t="s">
        <v>74</v>
      </c>
      <c r="D41" s="148">
        <f>Fréquence!D285+Fréquence!D286</f>
        <v>0</v>
      </c>
      <c r="E41" s="212" t="e">
        <f t="shared" ref="E41:E42" si="5">D41/$F$42</f>
        <v>#DIV/0!</v>
      </c>
      <c r="F41" s="148">
        <f>D41+D40</f>
        <v>0</v>
      </c>
      <c r="G41" s="267" t="e">
        <f>E41+E40</f>
        <v>#DIV/0!</v>
      </c>
    </row>
    <row r="42" spans="1:7">
      <c r="A42" s="172" t="s">
        <v>416</v>
      </c>
      <c r="B42" s="281" t="s">
        <v>375</v>
      </c>
      <c r="C42" s="192">
        <v>8</v>
      </c>
      <c r="D42" s="148">
        <f>Fréquence!D287</f>
        <v>0</v>
      </c>
      <c r="E42" s="212" t="e">
        <f t="shared" si="5"/>
        <v>#DIV/0!</v>
      </c>
      <c r="F42" s="148">
        <f>D42+D41+D40</f>
        <v>0</v>
      </c>
      <c r="G42" s="267" t="e">
        <f>E42+E41+E40</f>
        <v>#DIV/0!</v>
      </c>
    </row>
    <row r="43" spans="1:7">
      <c r="A43" s="199"/>
      <c r="B43" s="281"/>
      <c r="C43" s="192"/>
      <c r="D43" s="148"/>
      <c r="E43" s="212"/>
      <c r="F43" s="148"/>
      <c r="G43" s="267"/>
    </row>
    <row r="44" spans="1:7">
      <c r="A44" s="199"/>
      <c r="B44" s="281"/>
      <c r="C44" s="192"/>
      <c r="D44" s="148"/>
      <c r="E44" s="212"/>
      <c r="F44" s="148"/>
      <c r="G44" s="267"/>
    </row>
    <row r="45" spans="1:7">
      <c r="A45" s="225"/>
      <c r="B45" s="155"/>
      <c r="C45" s="205"/>
      <c r="D45" s="157"/>
      <c r="E45" s="197"/>
      <c r="F45" s="157"/>
      <c r="G45" s="158"/>
    </row>
    <row r="46" spans="1:7">
      <c r="A46" s="128" t="s">
        <v>139</v>
      </c>
      <c r="B46" s="146"/>
      <c r="C46" s="192"/>
      <c r="D46" s="148"/>
      <c r="E46" s="184"/>
      <c r="F46" s="148"/>
      <c r="G46" s="148"/>
    </row>
    <row r="47" spans="1:7">
      <c r="A47" s="172" t="s">
        <v>26</v>
      </c>
      <c r="B47" s="153" t="s">
        <v>47</v>
      </c>
      <c r="C47" s="192">
        <v>1</v>
      </c>
      <c r="D47" s="148">
        <f>Fréquence!D290</f>
        <v>0</v>
      </c>
      <c r="E47" s="212" t="e">
        <f>D47/$F$50</f>
        <v>#DIV/0!</v>
      </c>
      <c r="F47" s="148">
        <f>D47</f>
        <v>0</v>
      </c>
      <c r="G47" s="267" t="e">
        <f>E47</f>
        <v>#DIV/0!</v>
      </c>
    </row>
    <row r="48" spans="1:7">
      <c r="A48" s="172" t="s">
        <v>417</v>
      </c>
      <c r="B48" s="153" t="s">
        <v>48</v>
      </c>
      <c r="C48" s="192">
        <v>2</v>
      </c>
      <c r="D48" s="148">
        <f>Fréquence!D291</f>
        <v>0</v>
      </c>
      <c r="E48" s="212" t="e">
        <f>D48/$F$50</f>
        <v>#DIV/0!</v>
      </c>
      <c r="F48" s="148">
        <f>D48+D47</f>
        <v>0</v>
      </c>
      <c r="G48" s="267" t="e">
        <f>E48+E47</f>
        <v>#DIV/0!</v>
      </c>
    </row>
    <row r="49" spans="1:7">
      <c r="A49" s="172" t="s">
        <v>418</v>
      </c>
      <c r="B49" s="153" t="s">
        <v>49</v>
      </c>
      <c r="C49" s="192">
        <v>3</v>
      </c>
      <c r="D49" s="148">
        <f>Fréquence!D292</f>
        <v>0</v>
      </c>
      <c r="E49" s="212" t="e">
        <f>D49/$F$50</f>
        <v>#DIV/0!</v>
      </c>
      <c r="F49" s="148">
        <f>D49+D48+D47</f>
        <v>0</v>
      </c>
      <c r="G49" s="267" t="e">
        <f>E49+E48+E47</f>
        <v>#DIV/0!</v>
      </c>
    </row>
    <row r="50" spans="1:7">
      <c r="A50" s="172" t="s">
        <v>378</v>
      </c>
      <c r="B50" s="153" t="s">
        <v>50</v>
      </c>
      <c r="C50" s="192">
        <v>4</v>
      </c>
      <c r="D50" s="148">
        <f>Fréquence!D293</f>
        <v>0</v>
      </c>
      <c r="E50" s="212" t="e">
        <f>D50/$F$50</f>
        <v>#DIV/0!</v>
      </c>
      <c r="F50" s="148">
        <f>D50+D49+D48+D47</f>
        <v>0</v>
      </c>
      <c r="G50" s="267" t="e">
        <f>E50+E49+E48+E47</f>
        <v>#DIV/0!</v>
      </c>
    </row>
    <row r="51" spans="1:7">
      <c r="A51" s="204"/>
      <c r="B51" s="155"/>
      <c r="C51" s="205"/>
      <c r="D51" s="157"/>
      <c r="E51" s="197"/>
      <c r="F51" s="157"/>
      <c r="G51" s="158"/>
    </row>
    <row r="52" spans="1:7">
      <c r="A52" s="128" t="s">
        <v>140</v>
      </c>
      <c r="B52" s="146"/>
      <c r="C52" s="192"/>
      <c r="D52" s="148"/>
      <c r="E52" s="184"/>
      <c r="F52" s="148"/>
      <c r="G52" s="148"/>
    </row>
    <row r="53" spans="1:7">
      <c r="A53" s="199" t="s">
        <v>51</v>
      </c>
      <c r="B53" s="281" t="s">
        <v>460</v>
      </c>
      <c r="C53" s="210" t="s">
        <v>73</v>
      </c>
      <c r="D53" s="148">
        <f>Fréquence!D297+Fréquence!D298</f>
        <v>0</v>
      </c>
      <c r="E53" s="212" t="e">
        <f>D53/F55</f>
        <v>#DIV/0!</v>
      </c>
      <c r="F53" s="148">
        <f>D53</f>
        <v>0</v>
      </c>
      <c r="G53" s="267" t="e">
        <f>E53</f>
        <v>#DIV/0!</v>
      </c>
    </row>
    <row r="54" spans="1:7">
      <c r="A54" s="172" t="s">
        <v>419</v>
      </c>
      <c r="B54" s="281" t="s">
        <v>461</v>
      </c>
      <c r="C54" s="210" t="s">
        <v>74</v>
      </c>
      <c r="D54" s="148">
        <f>Fréquence!D299+Fréquence!D300</f>
        <v>0</v>
      </c>
      <c r="E54" s="212" t="e">
        <f>D54/F55</f>
        <v>#DIV/0!</v>
      </c>
      <c r="F54" s="148">
        <f>D54+D53</f>
        <v>0</v>
      </c>
      <c r="G54" s="267" t="e">
        <f>E54+E53</f>
        <v>#DIV/0!</v>
      </c>
    </row>
    <row r="55" spans="1:7">
      <c r="A55" s="172" t="s">
        <v>420</v>
      </c>
      <c r="B55" s="153" t="s">
        <v>41</v>
      </c>
      <c r="C55" s="227">
        <v>7</v>
      </c>
      <c r="D55" s="148">
        <f>Fréquence!D301</f>
        <v>0</v>
      </c>
      <c r="E55" s="212" t="e">
        <f>D55/F55</f>
        <v>#DIV/0!</v>
      </c>
      <c r="F55" s="148">
        <f>D55+D54+D53</f>
        <v>0</v>
      </c>
      <c r="G55" s="267" t="e">
        <f>E55+E54+E53</f>
        <v>#DIV/0!</v>
      </c>
    </row>
    <row r="56" spans="1:7">
      <c r="A56" s="199" t="s">
        <v>421</v>
      </c>
      <c r="B56" s="281"/>
      <c r="C56" s="227"/>
      <c r="D56" s="148"/>
      <c r="E56" s="212"/>
      <c r="F56" s="148"/>
      <c r="G56" s="267"/>
    </row>
    <row r="57" spans="1:7">
      <c r="A57" s="199"/>
      <c r="B57" s="153"/>
      <c r="C57" s="227"/>
      <c r="D57" s="148"/>
      <c r="E57" s="212"/>
      <c r="F57" s="148"/>
      <c r="G57" s="267"/>
    </row>
    <row r="58" spans="1:7">
      <c r="A58" s="204"/>
      <c r="B58" s="155"/>
      <c r="C58" s="228"/>
      <c r="D58" s="157"/>
      <c r="E58" s="226"/>
      <c r="F58" s="157"/>
      <c r="G58" s="182"/>
    </row>
  </sheetData>
  <sheetProtection password="EF72" sheet="1" objects="1" scenarios="1"/>
  <mergeCells count="7">
    <mergeCell ref="E1:E2"/>
    <mergeCell ref="F1:F2"/>
    <mergeCell ref="G1:G2"/>
    <mergeCell ref="A1:A2"/>
    <mergeCell ref="B1:B2"/>
    <mergeCell ref="C1:C2"/>
    <mergeCell ref="D1:D2"/>
  </mergeCells>
  <phoneticPr fontId="9" type="noConversion"/>
  <pageMargins left="0.78740157480314965" right="0.78740157480314965" top="1.1811023622047245" bottom="0.98425196850393704" header="0.51181102362204722" footer="0.51181102362204722"/>
  <pageSetup scale="64" orientation="portrait" r:id="rId1"/>
  <headerFooter alignWithMargins="0">
    <oddHeader>&amp;L
[Lieu, année]&amp;C&amp;"Arial,Gras"&amp;11Réponse obtenue sur la satisfaction des services policiers</oddHeader>
    <oddFooter xml:space="preserve">&amp;LSource : Inscrire le nom de l'enquête
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Feuil3">
    <tabColor indexed="12"/>
  </sheetPr>
  <dimension ref="A1:BL29"/>
  <sheetViews>
    <sheetView view="pageBreakPreview" zoomScale="90" zoomScaleNormal="90" workbookViewId="0">
      <selection activeCell="A26" sqref="A26"/>
    </sheetView>
  </sheetViews>
  <sheetFormatPr baseColWidth="10" defaultRowHeight="12.75"/>
  <cols>
    <col min="1" max="1" width="34.5703125" style="1" customWidth="1"/>
    <col min="2" max="2" width="39.85546875" style="1" customWidth="1"/>
    <col min="3" max="3" width="5.7109375" style="1" customWidth="1"/>
    <col min="4" max="4" width="13.140625" style="7" customWidth="1"/>
    <col min="5" max="5" width="15" style="7" customWidth="1"/>
    <col min="6" max="6" width="14.85546875" style="7" customWidth="1"/>
    <col min="7" max="7" width="15.42578125" style="7" customWidth="1"/>
    <col min="8" max="16384" width="11.42578125" style="1"/>
  </cols>
  <sheetData>
    <row r="1" spans="1:64" s="4" customFormat="1">
      <c r="A1" s="584" t="s">
        <v>7</v>
      </c>
      <c r="B1" s="584" t="s">
        <v>6</v>
      </c>
      <c r="C1" s="584" t="s">
        <v>20</v>
      </c>
      <c r="D1" s="584" t="s">
        <v>16</v>
      </c>
      <c r="E1" s="584" t="s">
        <v>17</v>
      </c>
      <c r="F1" s="584" t="s">
        <v>18</v>
      </c>
      <c r="G1" s="582" t="s">
        <v>19</v>
      </c>
    </row>
    <row r="2" spans="1:64" s="4" customFormat="1">
      <c r="A2" s="585"/>
      <c r="B2" s="586"/>
      <c r="C2" s="586"/>
      <c r="D2" s="586"/>
      <c r="E2" s="587"/>
      <c r="F2" s="586"/>
      <c r="G2" s="583"/>
    </row>
    <row r="3" spans="1:64">
      <c r="A3" s="128" t="s">
        <v>141</v>
      </c>
      <c r="B3" s="221"/>
      <c r="C3" s="229"/>
      <c r="D3" s="189"/>
      <c r="E3" s="202"/>
      <c r="F3" s="189"/>
      <c r="G3" s="224"/>
    </row>
    <row r="4" spans="1:64">
      <c r="A4" s="172" t="s">
        <v>422</v>
      </c>
      <c r="B4" s="201"/>
      <c r="C4" s="230"/>
      <c r="D4" s="194"/>
      <c r="E4" s="190"/>
      <c r="F4" s="194"/>
      <c r="G4" s="224"/>
    </row>
    <row r="5" spans="1:64">
      <c r="A5" s="172" t="s">
        <v>423</v>
      </c>
      <c r="B5" s="201"/>
      <c r="C5" s="230"/>
      <c r="D5" s="194"/>
      <c r="E5" s="190"/>
      <c r="F5" s="194"/>
      <c r="G5" s="224"/>
    </row>
    <row r="6" spans="1:64">
      <c r="A6" s="199" t="s">
        <v>240</v>
      </c>
      <c r="B6" s="201"/>
      <c r="C6" s="230"/>
      <c r="D6" s="194"/>
      <c r="E6" s="190"/>
      <c r="F6" s="194"/>
      <c r="G6" s="224"/>
    </row>
    <row r="7" spans="1:64">
      <c r="A7" s="172" t="s">
        <v>424</v>
      </c>
      <c r="B7" s="201"/>
      <c r="C7" s="230"/>
      <c r="D7" s="194"/>
      <c r="E7" s="190"/>
      <c r="F7" s="194"/>
      <c r="G7" s="224"/>
    </row>
    <row r="8" spans="1:64" s="5" customFormat="1">
      <c r="A8" s="174" t="s">
        <v>574</v>
      </c>
      <c r="B8" s="170"/>
      <c r="C8" s="188"/>
      <c r="D8" s="149"/>
      <c r="E8" s="189"/>
      <c r="F8" s="149"/>
      <c r="G8" s="149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</row>
    <row r="9" spans="1:64">
      <c r="A9" s="199" t="s">
        <v>117</v>
      </c>
      <c r="B9" s="146" t="s">
        <v>35</v>
      </c>
      <c r="C9" s="192">
        <v>1</v>
      </c>
      <c r="D9" s="148">
        <f>F9</f>
        <v>0</v>
      </c>
      <c r="E9" s="212" t="e">
        <f>D9/$F$10</f>
        <v>#DIV/0!</v>
      </c>
      <c r="F9" s="148">
        <f>FREQUENCY('Grille de saisie'!$BI$3:$BI$602,C9)</f>
        <v>0</v>
      </c>
      <c r="G9" s="193" t="e">
        <f>E9</f>
        <v>#DIV/0!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</row>
    <row r="10" spans="1:64">
      <c r="A10" s="199" t="s">
        <v>118</v>
      </c>
      <c r="B10" s="146" t="s">
        <v>36</v>
      </c>
      <c r="C10" s="192">
        <v>2</v>
      </c>
      <c r="D10" s="148">
        <f>F10-F9</f>
        <v>0</v>
      </c>
      <c r="E10" s="212" t="e">
        <f>D10/$F$10</f>
        <v>#DIV/0!</v>
      </c>
      <c r="F10" s="148">
        <f>FREQUENCY('Grille de saisie'!$BI$3:$BI$602,C10)</f>
        <v>0</v>
      </c>
      <c r="G10" s="267" t="e">
        <f>E10+E9</f>
        <v>#DIV/0!</v>
      </c>
    </row>
    <row r="11" spans="1:64">
      <c r="A11" s="172" t="s">
        <v>425</v>
      </c>
      <c r="B11" s="146"/>
      <c r="C11" s="192"/>
      <c r="D11" s="148"/>
      <c r="E11" s="212"/>
      <c r="F11" s="148"/>
      <c r="G11" s="267"/>
    </row>
    <row r="12" spans="1:64">
      <c r="A12" s="225"/>
      <c r="B12" s="155"/>
      <c r="C12" s="205"/>
      <c r="D12" s="157"/>
      <c r="E12" s="197"/>
      <c r="F12" s="157"/>
      <c r="G12" s="158"/>
    </row>
    <row r="13" spans="1:64">
      <c r="A13" s="128" t="s">
        <v>575</v>
      </c>
      <c r="B13" s="170"/>
      <c r="C13" s="175"/>
      <c r="D13" s="184"/>
      <c r="E13" s="148"/>
      <c r="F13" s="184"/>
      <c r="G13" s="149"/>
    </row>
    <row r="14" spans="1:64">
      <c r="A14" s="199" t="s">
        <v>119</v>
      </c>
      <c r="B14" s="153" t="s">
        <v>35</v>
      </c>
      <c r="C14" s="227">
        <v>1</v>
      </c>
      <c r="D14" s="148">
        <f>F14</f>
        <v>0</v>
      </c>
      <c r="E14" s="267" t="e">
        <f>D14/$F$15</f>
        <v>#DIV/0!</v>
      </c>
      <c r="F14" s="184">
        <f>FREQUENCY('Grille de saisie'!$BJ$3:$BJ$602,C14)</f>
        <v>0</v>
      </c>
      <c r="G14" s="176" t="e">
        <f>E14</f>
        <v>#DIV/0!</v>
      </c>
    </row>
    <row r="15" spans="1:64">
      <c r="A15" s="199" t="s">
        <v>120</v>
      </c>
      <c r="B15" s="153" t="s">
        <v>36</v>
      </c>
      <c r="C15" s="227">
        <v>2</v>
      </c>
      <c r="D15" s="148">
        <f>F15-F14</f>
        <v>0</v>
      </c>
      <c r="E15" s="267" t="e">
        <f>D15/$F$15</f>
        <v>#DIV/0!</v>
      </c>
      <c r="F15" s="184">
        <f>FREQUENCY('Grille de saisie'!$BJ$3:$BJ$602,C15)</f>
        <v>0</v>
      </c>
      <c r="G15" s="176" t="e">
        <f>E15+E14</f>
        <v>#DIV/0!</v>
      </c>
    </row>
    <row r="16" spans="1:64">
      <c r="A16" s="225"/>
      <c r="B16" s="155"/>
      <c r="C16" s="228"/>
      <c r="D16" s="157"/>
      <c r="E16" s="158"/>
      <c r="F16" s="200"/>
      <c r="G16" s="182"/>
    </row>
    <row r="17" spans="1:7">
      <c r="A17" s="128" t="s">
        <v>576</v>
      </c>
      <c r="B17" s="146"/>
      <c r="C17" s="268"/>
      <c r="D17" s="184"/>
      <c r="E17" s="148"/>
      <c r="F17" s="184"/>
      <c r="G17" s="148"/>
    </row>
    <row r="18" spans="1:7">
      <c r="A18" s="172" t="s">
        <v>889</v>
      </c>
      <c r="B18" s="146" t="s">
        <v>35</v>
      </c>
      <c r="C18" s="268">
        <v>1</v>
      </c>
      <c r="D18" s="184">
        <f>F18</f>
        <v>0</v>
      </c>
      <c r="E18" s="267" t="e">
        <f>D18/$F$19</f>
        <v>#DIV/0!</v>
      </c>
      <c r="F18" s="184">
        <f>FREQUENCY('Grille de saisie'!$BK$3:$BK$602,C18)</f>
        <v>0</v>
      </c>
      <c r="G18" s="267" t="e">
        <f>E18</f>
        <v>#DIV/0!</v>
      </c>
    </row>
    <row r="19" spans="1:7">
      <c r="A19" s="172" t="s">
        <v>877</v>
      </c>
      <c r="B19" s="146" t="s">
        <v>36</v>
      </c>
      <c r="C19" s="268">
        <v>2</v>
      </c>
      <c r="D19" s="184">
        <f>F19-F18</f>
        <v>0</v>
      </c>
      <c r="E19" s="267" t="e">
        <f>D19/$F$19</f>
        <v>#DIV/0!</v>
      </c>
      <c r="F19" s="184">
        <f>FREQUENCY('Grille de saisie'!$BK$3:$BK$602,C19)</f>
        <v>0</v>
      </c>
      <c r="G19" s="267" t="e">
        <f>E19+E18</f>
        <v>#DIV/0!</v>
      </c>
    </row>
    <row r="20" spans="1:7">
      <c r="A20" s="283" t="s">
        <v>890</v>
      </c>
      <c r="B20" s="155"/>
      <c r="C20" s="377"/>
      <c r="D20" s="196"/>
      <c r="E20" s="158"/>
      <c r="F20" s="157"/>
      <c r="G20" s="158"/>
    </row>
    <row r="21" spans="1:7">
      <c r="A21" s="128" t="s">
        <v>577</v>
      </c>
      <c r="B21" s="146"/>
      <c r="C21" s="192"/>
      <c r="D21" s="148"/>
      <c r="E21" s="184"/>
      <c r="F21" s="148"/>
      <c r="G21" s="148"/>
    </row>
    <row r="22" spans="1:7">
      <c r="A22" s="199" t="s">
        <v>121</v>
      </c>
      <c r="B22" s="146" t="s">
        <v>35</v>
      </c>
      <c r="C22" s="268">
        <v>1</v>
      </c>
      <c r="D22" s="148">
        <f>F22</f>
        <v>0</v>
      </c>
      <c r="E22" s="212" t="e">
        <f>D22/$F$23</f>
        <v>#DIV/0!</v>
      </c>
      <c r="F22" s="148">
        <f>FREQUENCY('Grille de saisie'!$BL$3:$BL$602,C22)</f>
        <v>0</v>
      </c>
      <c r="G22" s="267" t="e">
        <f>E22</f>
        <v>#DIV/0!</v>
      </c>
    </row>
    <row r="23" spans="1:7">
      <c r="A23" s="199" t="s">
        <v>122</v>
      </c>
      <c r="B23" s="146" t="s">
        <v>36</v>
      </c>
      <c r="C23" s="268">
        <v>2</v>
      </c>
      <c r="D23" s="148">
        <f>F23-F22</f>
        <v>0</v>
      </c>
      <c r="E23" s="212" t="e">
        <f>D23/$F$23</f>
        <v>#DIV/0!</v>
      </c>
      <c r="F23" s="148">
        <f>FREQUENCY('Grille de saisie'!$BL$3:$BL$602,C23)</f>
        <v>0</v>
      </c>
      <c r="G23" s="267" t="e">
        <f>E23+E22</f>
        <v>#DIV/0!</v>
      </c>
    </row>
    <row r="24" spans="1:7">
      <c r="A24" s="154"/>
      <c r="B24" s="155"/>
      <c r="C24" s="377"/>
      <c r="D24" s="157"/>
      <c r="E24" s="197"/>
      <c r="F24" s="157"/>
      <c r="G24" s="158"/>
    </row>
    <row r="25" spans="1:7">
      <c r="A25" s="128" t="s">
        <v>578</v>
      </c>
      <c r="B25" s="146"/>
      <c r="C25" s="192"/>
      <c r="D25" s="148"/>
      <c r="E25" s="184"/>
      <c r="F25" s="148"/>
      <c r="G25" s="148"/>
    </row>
    <row r="26" spans="1:7">
      <c r="A26" s="199" t="s">
        <v>125</v>
      </c>
      <c r="B26" s="146" t="s">
        <v>35</v>
      </c>
      <c r="C26" s="192">
        <v>1</v>
      </c>
      <c r="D26" s="268">
        <f>F26</f>
        <v>0</v>
      </c>
      <c r="E26" s="212" t="e">
        <f>D26/$F$27</f>
        <v>#DIV/0!</v>
      </c>
      <c r="F26" s="148">
        <f>FREQUENCY('Grille de saisie'!$BM$3:$BM$602,C26)</f>
        <v>0</v>
      </c>
      <c r="G26" s="269" t="e">
        <f>E26</f>
        <v>#DIV/0!</v>
      </c>
    </row>
    <row r="27" spans="1:7">
      <c r="A27" s="199" t="s">
        <v>43</v>
      </c>
      <c r="B27" s="146" t="s">
        <v>36</v>
      </c>
      <c r="C27" s="192">
        <v>2</v>
      </c>
      <c r="D27" s="268">
        <f>F27-F26</f>
        <v>0</v>
      </c>
      <c r="E27" s="212" t="e">
        <f>D27/$F$27</f>
        <v>#DIV/0!</v>
      </c>
      <c r="F27" s="148">
        <f>FREQUENCY('Grille de saisie'!$BM$3:$BM$602,C27)</f>
        <v>0</v>
      </c>
      <c r="G27" s="269" t="e">
        <f>E27+E26</f>
        <v>#DIV/0!</v>
      </c>
    </row>
    <row r="28" spans="1:7">
      <c r="A28" s="172" t="s">
        <v>426</v>
      </c>
      <c r="B28" s="146"/>
      <c r="C28" s="192"/>
      <c r="D28" s="268"/>
      <c r="E28" s="212"/>
      <c r="F28" s="148"/>
      <c r="G28" s="269"/>
    </row>
    <row r="29" spans="1:7">
      <c r="A29" s="154"/>
      <c r="B29" s="155"/>
      <c r="C29" s="205"/>
      <c r="D29" s="377"/>
      <c r="E29" s="197"/>
      <c r="F29" s="157"/>
      <c r="G29" s="231"/>
    </row>
  </sheetData>
  <sheetProtection password="EF72" sheet="1" objects="1" scenarios="1"/>
  <mergeCells count="7">
    <mergeCell ref="G1:G2"/>
    <mergeCell ref="A1:A2"/>
    <mergeCell ref="B1:B2"/>
    <mergeCell ref="C1:C2"/>
    <mergeCell ref="D1:D2"/>
    <mergeCell ref="E1:E2"/>
    <mergeCell ref="F1:F2"/>
  </mergeCells>
  <pageMargins left="0.78740157480314965" right="0.78740157480314965" top="1.1811023622047245" bottom="0.98425196850393704" header="0.51181102362204722" footer="0.51181102362204722"/>
  <pageSetup scale="60" orientation="portrait" r:id="rId1"/>
  <headerFooter alignWithMargins="0">
    <oddHeader>&amp;L
[Lieu, année]&amp;C&amp;"Arial,Gras"&amp;11Réponse obtenue sur la cohésion et la paix sociales</oddHeader>
    <oddFooter xml:space="preserve">&amp;LSource : Inscrire le nom de l'enquête
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Feuil25" enableFormatConditionsCalculation="0">
    <tabColor indexed="12"/>
  </sheetPr>
  <dimension ref="A1:G15"/>
  <sheetViews>
    <sheetView view="pageBreakPreview" zoomScale="90" zoomScaleNormal="90" workbookViewId="0">
      <pane ySplit="2" topLeftCell="A3" activePane="bottomLeft" state="frozen"/>
      <selection pane="bottomLeft" activeCell="A4" sqref="A4"/>
    </sheetView>
  </sheetViews>
  <sheetFormatPr baseColWidth="10" defaultRowHeight="12.75"/>
  <cols>
    <col min="1" max="1" width="35.140625" style="1" customWidth="1"/>
    <col min="2" max="2" width="39.85546875" style="1" customWidth="1"/>
    <col min="3" max="3" width="5.7109375" style="1" customWidth="1"/>
    <col min="4" max="4" width="13.140625" style="7" customWidth="1"/>
    <col min="5" max="5" width="15" style="7" customWidth="1"/>
    <col min="6" max="6" width="14.85546875" style="7" customWidth="1"/>
    <col min="7" max="7" width="15.42578125" style="7" customWidth="1"/>
    <col min="8" max="16384" width="11.42578125" style="1"/>
  </cols>
  <sheetData>
    <row r="1" spans="1:7" s="4" customFormat="1">
      <c r="A1" s="584" t="s">
        <v>7</v>
      </c>
      <c r="B1" s="584" t="s">
        <v>6</v>
      </c>
      <c r="C1" s="584" t="s">
        <v>20</v>
      </c>
      <c r="D1" s="584" t="s">
        <v>16</v>
      </c>
      <c r="E1" s="584" t="s">
        <v>17</v>
      </c>
      <c r="F1" s="584" t="s">
        <v>18</v>
      </c>
      <c r="G1" s="582" t="s">
        <v>19</v>
      </c>
    </row>
    <row r="2" spans="1:7" s="4" customFormat="1">
      <c r="A2" s="585"/>
      <c r="B2" s="586"/>
      <c r="C2" s="586"/>
      <c r="D2" s="586"/>
      <c r="E2" s="587"/>
      <c r="F2" s="586"/>
      <c r="G2" s="583"/>
    </row>
    <row r="3" spans="1:7">
      <c r="A3" s="128" t="s">
        <v>142</v>
      </c>
      <c r="B3" s="146"/>
      <c r="C3" s="192"/>
      <c r="D3" s="148"/>
      <c r="E3" s="184"/>
      <c r="F3" s="148"/>
      <c r="G3" s="148"/>
    </row>
    <row r="4" spans="1:7">
      <c r="A4" s="172" t="s">
        <v>26</v>
      </c>
      <c r="B4" s="153" t="s">
        <v>35</v>
      </c>
      <c r="C4" s="227">
        <v>1</v>
      </c>
      <c r="D4" s="148">
        <f>F4</f>
        <v>0</v>
      </c>
      <c r="E4" s="212" t="e">
        <f>D4/$F$5</f>
        <v>#DIV/0!</v>
      </c>
      <c r="F4" s="148">
        <f>FREQUENCY('Grille de saisie'!$BN$3:$BN$602,C4)</f>
        <v>0</v>
      </c>
      <c r="G4" s="267" t="e">
        <f>E4</f>
        <v>#DIV/0!</v>
      </c>
    </row>
    <row r="5" spans="1:7">
      <c r="A5" s="172" t="s">
        <v>241</v>
      </c>
      <c r="B5" s="153" t="s">
        <v>36</v>
      </c>
      <c r="C5" s="227">
        <v>2</v>
      </c>
      <c r="D5" s="148">
        <f>F5-F4</f>
        <v>0</v>
      </c>
      <c r="E5" s="212" t="e">
        <f>D5/$F$5</f>
        <v>#DIV/0!</v>
      </c>
      <c r="F5" s="148">
        <f>FREQUENCY('Grille de saisie'!$BN$3:$BN$602,C5)</f>
        <v>0</v>
      </c>
      <c r="G5" s="267" t="e">
        <f>E5+E4</f>
        <v>#DIV/0!</v>
      </c>
    </row>
    <row r="6" spans="1:7">
      <c r="A6" s="172" t="s">
        <v>242</v>
      </c>
      <c r="B6" s="153"/>
      <c r="C6" s="227"/>
      <c r="D6" s="148"/>
      <c r="E6" s="212"/>
      <c r="F6" s="148"/>
      <c r="G6" s="267"/>
    </row>
    <row r="7" spans="1:7">
      <c r="A7" s="172" t="s">
        <v>427</v>
      </c>
      <c r="B7" s="153"/>
      <c r="C7" s="227"/>
      <c r="D7" s="148"/>
      <c r="E7" s="212"/>
      <c r="F7" s="148"/>
      <c r="G7" s="267"/>
    </row>
    <row r="8" spans="1:7">
      <c r="A8" s="204"/>
      <c r="B8" s="187"/>
      <c r="C8" s="228"/>
      <c r="D8" s="157"/>
      <c r="E8" s="206"/>
      <c r="F8" s="157"/>
      <c r="G8" s="182"/>
    </row>
    <row r="9" spans="1:7">
      <c r="A9" s="128" t="s">
        <v>147</v>
      </c>
      <c r="B9" s="146"/>
      <c r="C9" s="192"/>
      <c r="D9" s="148"/>
      <c r="E9" s="184"/>
      <c r="F9" s="148"/>
      <c r="G9" s="148"/>
    </row>
    <row r="10" spans="1:7">
      <c r="A10" s="172" t="s">
        <v>26</v>
      </c>
      <c r="B10" s="153" t="s">
        <v>35</v>
      </c>
      <c r="C10" s="227">
        <v>1</v>
      </c>
      <c r="D10" s="148">
        <f>F10</f>
        <v>0</v>
      </c>
      <c r="E10" s="212" t="e">
        <f>D10/F11</f>
        <v>#DIV/0!</v>
      </c>
      <c r="F10" s="148">
        <f>FREQUENCY('Grille de saisie'!$BO$3:$BO$602,C10)</f>
        <v>0</v>
      </c>
      <c r="G10" s="267" t="e">
        <f>E10</f>
        <v>#DIV/0!</v>
      </c>
    </row>
    <row r="11" spans="1:7">
      <c r="A11" s="172" t="s">
        <v>428</v>
      </c>
      <c r="B11" s="153" t="s">
        <v>36</v>
      </c>
      <c r="C11" s="227">
        <v>2</v>
      </c>
      <c r="D11" s="148">
        <f>F11-F10</f>
        <v>0</v>
      </c>
      <c r="E11" s="212" t="e">
        <f>D11/F11</f>
        <v>#DIV/0!</v>
      </c>
      <c r="F11" s="148">
        <f>FREQUENCY('Grille de saisie'!$BO$3:$BO$602,C11)</f>
        <v>0</v>
      </c>
      <c r="G11" s="267" t="e">
        <f>E11+E10</f>
        <v>#DIV/0!</v>
      </c>
    </row>
    <row r="12" spans="1:7">
      <c r="A12" s="172" t="s">
        <v>429</v>
      </c>
      <c r="B12" s="153"/>
      <c r="C12" s="230"/>
      <c r="D12" s="148"/>
      <c r="E12" s="212"/>
      <c r="F12" s="148"/>
      <c r="G12" s="267"/>
    </row>
    <row r="13" spans="1:7">
      <c r="A13" s="199" t="s">
        <v>430</v>
      </c>
      <c r="B13" s="153"/>
      <c r="C13" s="230"/>
      <c r="D13" s="148"/>
      <c r="E13" s="212"/>
      <c r="F13" s="148"/>
      <c r="G13" s="267"/>
    </row>
    <row r="14" spans="1:7">
      <c r="A14" s="154"/>
      <c r="B14" s="187"/>
      <c r="C14" s="228"/>
      <c r="D14" s="157"/>
      <c r="E14" s="182"/>
      <c r="F14" s="157"/>
      <c r="G14" s="182"/>
    </row>
    <row r="15" spans="1:7">
      <c r="E15" s="6"/>
    </row>
  </sheetData>
  <sheetProtection password="EF72" sheet="1" objects="1" scenarios="1"/>
  <mergeCells count="7">
    <mergeCell ref="F1:F2"/>
    <mergeCell ref="G1:G2"/>
    <mergeCell ref="A1:A2"/>
    <mergeCell ref="B1:B2"/>
    <mergeCell ref="C1:C2"/>
    <mergeCell ref="D1:D2"/>
    <mergeCell ref="E1:E2"/>
  </mergeCells>
  <phoneticPr fontId="9" type="noConversion"/>
  <pageMargins left="0.78740157480314965" right="0.78740157480314965" top="1.1811023622047245" bottom="0.98425196850393704" header="0.51181102362204722" footer="0.51181102362204722"/>
  <pageSetup scale="60" orientation="portrait" r:id="rId1"/>
  <headerFooter alignWithMargins="0">
    <oddHeader>&amp;L
[Lieu, année]&amp;C&amp;"Arial,Gras"&amp;11Réponse obtenue sur la victimation contre la personne</oddHeader>
    <oddFooter xml:space="preserve">&amp;LSource : Inscrire le nom de l'enquête
</oddFooter>
  </headerFooter>
  <rowBreaks count="1" manualBreakCount="1">
    <brk id="14" max="6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sheetPr codeName="Feuil27" enableFormatConditionsCalculation="0">
    <tabColor indexed="12"/>
  </sheetPr>
  <dimension ref="A1:G27"/>
  <sheetViews>
    <sheetView view="pageBreakPreview" zoomScale="90" zoomScaleNormal="90" workbookViewId="0">
      <selection activeCell="A18" sqref="A18"/>
    </sheetView>
  </sheetViews>
  <sheetFormatPr baseColWidth="10" defaultRowHeight="12.75"/>
  <cols>
    <col min="1" max="1" width="31.85546875" style="1" customWidth="1"/>
    <col min="2" max="2" width="47.5703125" style="1" customWidth="1"/>
    <col min="3" max="3" width="5.7109375" style="1" customWidth="1"/>
    <col min="4" max="4" width="13.140625" style="7" customWidth="1"/>
    <col min="5" max="5" width="15" style="7" customWidth="1"/>
    <col min="6" max="6" width="14.85546875" style="7" customWidth="1"/>
    <col min="7" max="7" width="15.42578125" style="7" customWidth="1"/>
    <col min="8" max="16384" width="11.42578125" style="1"/>
  </cols>
  <sheetData>
    <row r="1" spans="1:7" s="4" customFormat="1">
      <c r="A1" s="584" t="s">
        <v>7</v>
      </c>
      <c r="B1" s="584" t="s">
        <v>6</v>
      </c>
      <c r="C1" s="584" t="s">
        <v>20</v>
      </c>
      <c r="D1" s="584" t="s">
        <v>16</v>
      </c>
      <c r="E1" s="584" t="s">
        <v>17</v>
      </c>
      <c r="F1" s="584" t="s">
        <v>18</v>
      </c>
      <c r="G1" s="582" t="s">
        <v>19</v>
      </c>
    </row>
    <row r="2" spans="1:7" s="4" customFormat="1">
      <c r="A2" s="585"/>
      <c r="B2" s="586"/>
      <c r="C2" s="586"/>
      <c r="D2" s="586"/>
      <c r="E2" s="587"/>
      <c r="F2" s="586"/>
      <c r="G2" s="583"/>
    </row>
    <row r="3" spans="1:7">
      <c r="A3" s="128" t="s">
        <v>166</v>
      </c>
      <c r="B3" s="146"/>
      <c r="C3" s="192"/>
      <c r="D3" s="148"/>
      <c r="E3" s="184"/>
      <c r="F3" s="148"/>
      <c r="G3" s="148"/>
    </row>
    <row r="4" spans="1:7">
      <c r="A4" s="318" t="s">
        <v>944</v>
      </c>
      <c r="B4" s="146" t="s">
        <v>35</v>
      </c>
      <c r="C4" s="192">
        <v>1</v>
      </c>
      <c r="D4" s="148">
        <f>F4</f>
        <v>0</v>
      </c>
      <c r="E4" s="213" t="e">
        <f>D4/$F$5</f>
        <v>#DIV/0!</v>
      </c>
      <c r="F4" s="148">
        <f>FREQUENCY('Grille de saisie'!$BS$3:$BS$602,C4)</f>
        <v>0</v>
      </c>
      <c r="G4" s="267" t="e">
        <f>E4</f>
        <v>#DIV/0!</v>
      </c>
    </row>
    <row r="5" spans="1:7">
      <c r="A5" s="172" t="s">
        <v>945</v>
      </c>
      <c r="B5" s="146" t="s">
        <v>36</v>
      </c>
      <c r="C5" s="210">
        <v>2</v>
      </c>
      <c r="D5" s="148">
        <f>F5-F4</f>
        <v>0</v>
      </c>
      <c r="E5" s="213" t="e">
        <f>D5/$F$5</f>
        <v>#DIV/0!</v>
      </c>
      <c r="F5" s="148">
        <f>FREQUENCY('Grille de saisie'!$BS$3:$BS$602,C5)</f>
        <v>0</v>
      </c>
      <c r="G5" s="267" t="e">
        <f>E5+E4</f>
        <v>#DIV/0!</v>
      </c>
    </row>
    <row r="6" spans="1:7">
      <c r="A6" s="172" t="s">
        <v>946</v>
      </c>
      <c r="B6" s="146"/>
      <c r="C6" s="192"/>
      <c r="D6" s="148"/>
      <c r="E6" s="184"/>
      <c r="F6" s="148"/>
      <c r="G6" s="148"/>
    </row>
    <row r="7" spans="1:7">
      <c r="A7" s="172" t="s">
        <v>947</v>
      </c>
      <c r="B7" s="146"/>
      <c r="C7" s="192"/>
      <c r="D7" s="148"/>
      <c r="E7" s="184"/>
      <c r="F7" s="148"/>
      <c r="G7" s="148"/>
    </row>
    <row r="8" spans="1:7">
      <c r="A8" s="172" t="s">
        <v>948</v>
      </c>
      <c r="B8" s="146"/>
      <c r="C8" s="192"/>
      <c r="D8" s="148"/>
      <c r="E8" s="184"/>
      <c r="F8" s="148"/>
      <c r="G8" s="148"/>
    </row>
    <row r="9" spans="1:7">
      <c r="A9" s="172" t="s">
        <v>949</v>
      </c>
      <c r="B9" s="146"/>
      <c r="C9" s="192"/>
      <c r="D9" s="148"/>
      <c r="E9" s="184"/>
      <c r="F9" s="148"/>
      <c r="G9" s="148"/>
    </row>
    <row r="10" spans="1:7">
      <c r="A10" s="204"/>
      <c r="B10" s="187"/>
      <c r="C10" s="205"/>
      <c r="D10" s="157"/>
      <c r="E10" s="196"/>
      <c r="F10" s="157"/>
      <c r="G10" s="157"/>
    </row>
    <row r="11" spans="1:7">
      <c r="A11" s="128" t="s">
        <v>149</v>
      </c>
      <c r="B11" s="153"/>
      <c r="C11" s="233"/>
      <c r="D11" s="148"/>
      <c r="E11" s="190"/>
      <c r="F11" s="148"/>
      <c r="G11" s="176"/>
    </row>
    <row r="12" spans="1:7">
      <c r="A12" s="172" t="s">
        <v>942</v>
      </c>
      <c r="B12" s="281" t="s">
        <v>52</v>
      </c>
      <c r="C12" s="227">
        <v>1</v>
      </c>
      <c r="D12" s="148">
        <f>F12</f>
        <v>0</v>
      </c>
      <c r="E12" s="213" t="e">
        <f>D12/$F$15</f>
        <v>#DIV/0!</v>
      </c>
      <c r="F12" s="148">
        <f>FREQUENCY('Grille de saisie'!$BT$3:$BT$602,C12)</f>
        <v>0</v>
      </c>
      <c r="G12" s="267" t="e">
        <f>E12</f>
        <v>#DIV/0!</v>
      </c>
    </row>
    <row r="13" spans="1:7">
      <c r="A13" s="151" t="s">
        <v>943</v>
      </c>
      <c r="B13" s="281" t="s">
        <v>439</v>
      </c>
      <c r="C13" s="227">
        <v>2</v>
      </c>
      <c r="D13" s="148">
        <f>F13-F12</f>
        <v>0</v>
      </c>
      <c r="E13" s="213" t="e">
        <f t="shared" ref="E13:E15" si="0">D13/$F$15</f>
        <v>#DIV/0!</v>
      </c>
      <c r="F13" s="148">
        <f>FREQUENCY('Grille de saisie'!$BT$3:$BT$602,C13)</f>
        <v>0</v>
      </c>
      <c r="G13" s="267" t="e">
        <f>E13+E12</f>
        <v>#DIV/0!</v>
      </c>
    </row>
    <row r="14" spans="1:7">
      <c r="A14" s="151"/>
      <c r="B14" s="281" t="s">
        <v>622</v>
      </c>
      <c r="C14" s="227">
        <v>3</v>
      </c>
      <c r="D14" s="148">
        <f>F14-F13</f>
        <v>0</v>
      </c>
      <c r="E14" s="213" t="e">
        <f t="shared" si="0"/>
        <v>#DIV/0!</v>
      </c>
      <c r="F14" s="148">
        <f>FREQUENCY('Grille de saisie'!$BT$3:$BT$602,C14)</f>
        <v>0</v>
      </c>
      <c r="G14" s="267" t="e">
        <f>E14+E13+E12</f>
        <v>#DIV/0!</v>
      </c>
    </row>
    <row r="15" spans="1:7">
      <c r="A15" s="151"/>
      <c r="B15" s="281" t="s">
        <v>440</v>
      </c>
      <c r="C15" s="230">
        <v>4</v>
      </c>
      <c r="D15" s="148">
        <f>F15-F14</f>
        <v>0</v>
      </c>
      <c r="E15" s="213" t="e">
        <f t="shared" si="0"/>
        <v>#DIV/0!</v>
      </c>
      <c r="F15" s="148">
        <f>FREQUENCY('Grille de saisie'!$BT$3:$BT$602,C15)</f>
        <v>0</v>
      </c>
      <c r="G15" s="267" t="e">
        <f>E15+E14+E13+E12</f>
        <v>#DIV/0!</v>
      </c>
    </row>
    <row r="16" spans="1:7">
      <c r="A16" s="154"/>
      <c r="B16" s="155"/>
      <c r="C16" s="228"/>
      <c r="D16" s="157"/>
      <c r="E16" s="197"/>
      <c r="F16" s="157"/>
      <c r="G16" s="158"/>
    </row>
    <row r="17" spans="1:7">
      <c r="A17" s="128" t="s">
        <v>150</v>
      </c>
      <c r="B17" s="153"/>
      <c r="C17" s="230"/>
      <c r="D17" s="148"/>
      <c r="E17" s="190"/>
      <c r="F17" s="148"/>
      <c r="G17" s="176"/>
    </row>
    <row r="18" spans="1:7">
      <c r="A18" s="172" t="s">
        <v>940</v>
      </c>
      <c r="B18" s="281" t="s">
        <v>886</v>
      </c>
      <c r="C18" s="230">
        <v>1</v>
      </c>
      <c r="D18" s="148">
        <f>F18</f>
        <v>0</v>
      </c>
      <c r="E18" s="213" t="e">
        <f>D18/$F$26</f>
        <v>#DIV/0!</v>
      </c>
      <c r="F18" s="148">
        <f>FREQUENCY('Grille de saisie'!$BU$3:$BU$602,C18)</f>
        <v>0</v>
      </c>
      <c r="G18" s="267" t="e">
        <f>E18</f>
        <v>#DIV/0!</v>
      </c>
    </row>
    <row r="19" spans="1:7">
      <c r="A19" s="172" t="s">
        <v>941</v>
      </c>
      <c r="B19" s="153" t="s">
        <v>244</v>
      </c>
      <c r="C19" s="230">
        <v>2</v>
      </c>
      <c r="D19" s="148">
        <f t="shared" ref="D19:D25" si="1">F19-F18</f>
        <v>0</v>
      </c>
      <c r="E19" s="213" t="e">
        <f t="shared" ref="E19:E26" si="2">D19/$F$26</f>
        <v>#DIV/0!</v>
      </c>
      <c r="F19" s="148">
        <f>FREQUENCY('Grille de saisie'!$BU$3:$BU$602,C19)</f>
        <v>0</v>
      </c>
      <c r="G19" s="267" t="e">
        <f>E19+E18</f>
        <v>#DIV/0!</v>
      </c>
    </row>
    <row r="20" spans="1:7">
      <c r="A20" s="151"/>
      <c r="B20" s="153" t="s">
        <v>245</v>
      </c>
      <c r="C20" s="230">
        <v>3</v>
      </c>
      <c r="D20" s="148">
        <f t="shared" si="1"/>
        <v>0</v>
      </c>
      <c r="E20" s="213" t="e">
        <f t="shared" si="2"/>
        <v>#DIV/0!</v>
      </c>
      <c r="F20" s="148">
        <f>FREQUENCY('Grille de saisie'!$BU$3:$BU$602,C20)</f>
        <v>0</v>
      </c>
      <c r="G20" s="267" t="e">
        <f>E20+E19+E18</f>
        <v>#DIV/0!</v>
      </c>
    </row>
    <row r="21" spans="1:7">
      <c r="A21" s="151"/>
      <c r="B21" s="153" t="s">
        <v>246</v>
      </c>
      <c r="C21" s="230">
        <v>4</v>
      </c>
      <c r="D21" s="148">
        <f t="shared" si="1"/>
        <v>0</v>
      </c>
      <c r="E21" s="213" t="e">
        <f t="shared" si="2"/>
        <v>#DIV/0!</v>
      </c>
      <c r="F21" s="148">
        <f>FREQUENCY('Grille de saisie'!$BU$3:$BU$602,C21)</f>
        <v>0</v>
      </c>
      <c r="G21" s="267" t="e">
        <f>E21+E20+E19+E18</f>
        <v>#DIV/0!</v>
      </c>
    </row>
    <row r="22" spans="1:7">
      <c r="A22" s="151"/>
      <c r="B22" s="281" t="s">
        <v>939</v>
      </c>
      <c r="C22" s="230">
        <v>5</v>
      </c>
      <c r="D22" s="148">
        <f t="shared" si="1"/>
        <v>0</v>
      </c>
      <c r="E22" s="213" t="e">
        <f t="shared" si="2"/>
        <v>#DIV/0!</v>
      </c>
      <c r="F22" s="148">
        <f>FREQUENCY('Grille de saisie'!$BU$3:$BU$602,C22)</f>
        <v>0</v>
      </c>
      <c r="G22" s="267" t="e">
        <f>E22+E21+E20+E19+E18</f>
        <v>#DIV/0!</v>
      </c>
    </row>
    <row r="23" spans="1:7">
      <c r="A23" s="151"/>
      <c r="B23" s="153" t="s">
        <v>247</v>
      </c>
      <c r="C23" s="230">
        <v>6</v>
      </c>
      <c r="D23" s="148">
        <f t="shared" si="1"/>
        <v>0</v>
      </c>
      <c r="E23" s="213" t="e">
        <f t="shared" si="2"/>
        <v>#DIV/0!</v>
      </c>
      <c r="F23" s="148">
        <f>FREQUENCY('Grille de saisie'!$BU$3:$BU$602,C23)</f>
        <v>0</v>
      </c>
      <c r="G23" s="267" t="e">
        <f>E23+E22+E21+E20+E19+E18</f>
        <v>#DIV/0!</v>
      </c>
    </row>
    <row r="24" spans="1:7">
      <c r="A24" s="151"/>
      <c r="B24" s="153" t="s">
        <v>248</v>
      </c>
      <c r="C24" s="230">
        <v>7</v>
      </c>
      <c r="D24" s="148">
        <f t="shared" si="1"/>
        <v>0</v>
      </c>
      <c r="E24" s="213" t="e">
        <f t="shared" si="2"/>
        <v>#DIV/0!</v>
      </c>
      <c r="F24" s="148">
        <f>FREQUENCY('Grille de saisie'!$BU$3:$BU$602,C24)</f>
        <v>0</v>
      </c>
      <c r="G24" s="267" t="e">
        <f>E24+E23+E22+E21+E20+E19+E18</f>
        <v>#DIV/0!</v>
      </c>
    </row>
    <row r="25" spans="1:7">
      <c r="A25" s="151"/>
      <c r="B25" s="153" t="s">
        <v>249</v>
      </c>
      <c r="C25" s="233">
        <v>96</v>
      </c>
      <c r="D25" s="148">
        <f t="shared" si="1"/>
        <v>0</v>
      </c>
      <c r="E25" s="213" t="e">
        <f t="shared" si="2"/>
        <v>#DIV/0!</v>
      </c>
      <c r="F25" s="148">
        <f>FREQUENCY('Grille de saisie'!$BU$3:$BU$602,C25)</f>
        <v>0</v>
      </c>
      <c r="G25" s="267" t="e">
        <f>E25+E24+E23+E22+E21+E20+E19+E18</f>
        <v>#DIV/0!</v>
      </c>
    </row>
    <row r="26" spans="1:7">
      <c r="A26" s="151"/>
      <c r="B26" s="281" t="s">
        <v>375</v>
      </c>
      <c r="C26" s="233">
        <v>98</v>
      </c>
      <c r="D26" s="148">
        <f>F26-F25</f>
        <v>0</v>
      </c>
      <c r="E26" s="213" t="e">
        <f t="shared" si="2"/>
        <v>#DIV/0!</v>
      </c>
      <c r="F26" s="148">
        <f>FREQUENCY('Grille de saisie'!$BU$3:$BU$602,C26)</f>
        <v>0</v>
      </c>
      <c r="G26" s="267" t="e">
        <f>E26+E25+E24+E23+E22+E21+E20+E19+E18</f>
        <v>#DIV/0!</v>
      </c>
    </row>
    <row r="27" spans="1:7">
      <c r="A27" s="154"/>
      <c r="B27" s="155"/>
      <c r="C27" s="232"/>
      <c r="D27" s="157"/>
      <c r="E27" s="197"/>
      <c r="F27" s="157"/>
      <c r="G27" s="158"/>
    </row>
  </sheetData>
  <sheetProtection password="EF72" sheet="1" objects="1" scenarios="1"/>
  <mergeCells count="7">
    <mergeCell ref="F1:F2"/>
    <mergeCell ref="G1:G2"/>
    <mergeCell ref="A1:A2"/>
    <mergeCell ref="B1:B2"/>
    <mergeCell ref="C1:C2"/>
    <mergeCell ref="D1:D2"/>
    <mergeCell ref="E1:E2"/>
  </mergeCells>
  <phoneticPr fontId="9" type="noConversion"/>
  <pageMargins left="0.78740157480314965" right="0.78740157480314965" top="1.1811023622047245" bottom="0.98425196850393704" header="0.51181102362204722" footer="0.51181102362204722"/>
  <pageSetup scale="62" orientation="portrait" r:id="rId1"/>
  <headerFooter alignWithMargins="0">
    <oddHeader>&amp;L
[Lieu, année]&amp;C&amp;"Arial,Gras"&amp;11Réponse obtenue pour les accidents (traumatismes)</oddHeader>
    <oddFooter xml:space="preserve">&amp;LSource : Inscrire le nom de l'enquête
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Feuil22" enableFormatConditionsCalculation="0">
    <tabColor indexed="12"/>
  </sheetPr>
  <dimension ref="A1:G87"/>
  <sheetViews>
    <sheetView view="pageBreakPreview" topLeftCell="A49" zoomScale="90" zoomScaleNormal="90" workbookViewId="0">
      <selection activeCell="E78" sqref="E78"/>
    </sheetView>
  </sheetViews>
  <sheetFormatPr baseColWidth="10" defaultRowHeight="12.75"/>
  <cols>
    <col min="1" max="1" width="34.7109375" style="1" customWidth="1"/>
    <col min="2" max="2" width="45.28515625" style="1" bestFit="1" customWidth="1"/>
    <col min="3" max="3" width="5.7109375" style="1" customWidth="1"/>
    <col min="4" max="4" width="13.140625" style="7" customWidth="1"/>
    <col min="5" max="5" width="15" style="7" customWidth="1"/>
    <col min="6" max="6" width="14.85546875" style="7" customWidth="1"/>
    <col min="7" max="7" width="15.42578125" style="7" customWidth="1"/>
    <col min="8" max="16384" width="11.42578125" style="1"/>
  </cols>
  <sheetData>
    <row r="1" spans="1:7" s="4" customFormat="1">
      <c r="A1" s="584" t="s">
        <v>7</v>
      </c>
      <c r="B1" s="584" t="s">
        <v>6</v>
      </c>
      <c r="C1" s="584" t="s">
        <v>20</v>
      </c>
      <c r="D1" s="584" t="s">
        <v>16</v>
      </c>
      <c r="E1" s="584" t="s">
        <v>17</v>
      </c>
      <c r="F1" s="584" t="s">
        <v>18</v>
      </c>
      <c r="G1" s="582" t="s">
        <v>19</v>
      </c>
    </row>
    <row r="2" spans="1:7" s="4" customFormat="1">
      <c r="A2" s="585"/>
      <c r="B2" s="586"/>
      <c r="C2" s="586"/>
      <c r="D2" s="586"/>
      <c r="E2" s="587"/>
      <c r="F2" s="586"/>
      <c r="G2" s="583"/>
    </row>
    <row r="3" spans="1:7" s="150" customFormat="1">
      <c r="A3" s="128" t="s">
        <v>151</v>
      </c>
      <c r="B3" s="153"/>
      <c r="C3" s="230"/>
      <c r="D3" s="148"/>
      <c r="E3" s="190"/>
      <c r="F3" s="148"/>
      <c r="G3" s="176"/>
    </row>
    <row r="4" spans="1:7" s="150" customFormat="1">
      <c r="A4" s="199" t="s">
        <v>250</v>
      </c>
      <c r="B4" s="153" t="s">
        <v>254</v>
      </c>
      <c r="C4" s="230">
        <v>1</v>
      </c>
      <c r="D4" s="148">
        <f>F4</f>
        <v>0</v>
      </c>
      <c r="E4" s="213" t="e">
        <f>D4/$F$9</f>
        <v>#DIV/0!</v>
      </c>
      <c r="F4" s="148">
        <f>FREQUENCY('Grille de saisie'!$BW$3:$BW$602,C4)</f>
        <v>0</v>
      </c>
      <c r="G4" s="267" t="e">
        <f>E4</f>
        <v>#DIV/0!</v>
      </c>
    </row>
    <row r="5" spans="1:7" s="150" customFormat="1">
      <c r="A5" s="199" t="s">
        <v>251</v>
      </c>
      <c r="B5" s="153" t="s">
        <v>255</v>
      </c>
      <c r="C5" s="230">
        <v>2</v>
      </c>
      <c r="D5" s="148">
        <f>F5-F4</f>
        <v>0</v>
      </c>
      <c r="E5" s="213" t="e">
        <f t="shared" ref="E5:E9" si="0">D5/$F$9</f>
        <v>#DIV/0!</v>
      </c>
      <c r="F5" s="148">
        <f>FREQUENCY('Grille de saisie'!$BW$3:$BW$602,C5)</f>
        <v>0</v>
      </c>
      <c r="G5" s="267" t="e">
        <f>E5+E4</f>
        <v>#DIV/0!</v>
      </c>
    </row>
    <row r="6" spans="1:7" s="150" customFormat="1">
      <c r="A6" s="199" t="s">
        <v>252</v>
      </c>
      <c r="B6" s="153" t="s">
        <v>256</v>
      </c>
      <c r="C6" s="230">
        <v>3</v>
      </c>
      <c r="D6" s="148">
        <f t="shared" ref="D6:D9" si="1">F6-F5</f>
        <v>0</v>
      </c>
      <c r="E6" s="213" t="e">
        <f t="shared" si="0"/>
        <v>#DIV/0!</v>
      </c>
      <c r="F6" s="148">
        <f>FREQUENCY('Grille de saisie'!$BW$3:$BW$602,C6)</f>
        <v>0</v>
      </c>
      <c r="G6" s="267" t="e">
        <f>E6+E5+E4</f>
        <v>#DIV/0!</v>
      </c>
    </row>
    <row r="7" spans="1:7" s="150" customFormat="1">
      <c r="A7" s="199" t="s">
        <v>253</v>
      </c>
      <c r="B7" s="153" t="s">
        <v>257</v>
      </c>
      <c r="C7" s="230">
        <v>4</v>
      </c>
      <c r="D7" s="148">
        <f t="shared" si="1"/>
        <v>0</v>
      </c>
      <c r="E7" s="213" t="e">
        <f t="shared" si="0"/>
        <v>#DIV/0!</v>
      </c>
      <c r="F7" s="148">
        <f>FREQUENCY('Grille de saisie'!$BW$3:$BW$602,C7)</f>
        <v>0</v>
      </c>
      <c r="G7" s="267" t="e">
        <f>E7+E6+E5+E4</f>
        <v>#DIV/0!</v>
      </c>
    </row>
    <row r="8" spans="1:7" s="150" customFormat="1">
      <c r="A8" s="151"/>
      <c r="B8" s="153" t="s">
        <v>258</v>
      </c>
      <c r="C8" s="230">
        <v>5</v>
      </c>
      <c r="D8" s="148">
        <f t="shared" si="1"/>
        <v>0</v>
      </c>
      <c r="E8" s="213" t="e">
        <f t="shared" si="0"/>
        <v>#DIV/0!</v>
      </c>
      <c r="F8" s="148">
        <f>FREQUENCY('Grille de saisie'!$BW$3:$BW$602,C8)</f>
        <v>0</v>
      </c>
      <c r="G8" s="267" t="e">
        <f>E8+E7+E6+E5+E4</f>
        <v>#DIV/0!</v>
      </c>
    </row>
    <row r="9" spans="1:7" s="150" customFormat="1">
      <c r="A9" s="151"/>
      <c r="B9" s="281" t="s">
        <v>375</v>
      </c>
      <c r="C9" s="230">
        <v>8</v>
      </c>
      <c r="D9" s="148">
        <f t="shared" si="1"/>
        <v>0</v>
      </c>
      <c r="E9" s="213" t="e">
        <f t="shared" si="0"/>
        <v>#DIV/0!</v>
      </c>
      <c r="F9" s="148">
        <f>FREQUENCY('Grille de saisie'!$BW$3:$BW$602,C9)</f>
        <v>0</v>
      </c>
      <c r="G9" s="267" t="e">
        <f>E9+E8+E7+E6+E5+E4</f>
        <v>#DIV/0!</v>
      </c>
    </row>
    <row r="10" spans="1:7" s="150" customFormat="1">
      <c r="A10" s="154"/>
      <c r="B10" s="155"/>
      <c r="C10" s="228"/>
      <c r="D10" s="157"/>
      <c r="E10" s="197"/>
      <c r="F10" s="157"/>
      <c r="G10" s="158"/>
    </row>
    <row r="11" spans="1:7" s="150" customFormat="1">
      <c r="A11" s="128" t="s">
        <v>152</v>
      </c>
      <c r="B11" s="153"/>
      <c r="C11" s="230"/>
      <c r="D11" s="148"/>
      <c r="E11" s="213"/>
      <c r="F11" s="148"/>
      <c r="G11" s="267"/>
    </row>
    <row r="12" spans="1:7" s="150" customFormat="1">
      <c r="A12" s="172" t="s">
        <v>582</v>
      </c>
      <c r="B12" s="281" t="s">
        <v>623</v>
      </c>
      <c r="C12" s="230">
        <v>1</v>
      </c>
      <c r="D12" s="148">
        <f>F12</f>
        <v>0</v>
      </c>
      <c r="E12" s="213" t="e">
        <f>D12/$F$19</f>
        <v>#DIV/0!</v>
      </c>
      <c r="F12" s="148">
        <f>FREQUENCY('Grille de saisie'!$BX$3:$BX$602,C12)</f>
        <v>0</v>
      </c>
      <c r="G12" s="267" t="e">
        <f>E12</f>
        <v>#DIV/0!</v>
      </c>
    </row>
    <row r="13" spans="1:7" s="150" customFormat="1">
      <c r="A13" s="151"/>
      <c r="B13" s="281" t="s">
        <v>624</v>
      </c>
      <c r="C13" s="230">
        <v>2</v>
      </c>
      <c r="D13" s="148">
        <f t="shared" ref="D13:D20" si="2">F13-F12</f>
        <v>0</v>
      </c>
      <c r="E13" s="213" t="e">
        <f>D13/$F$19</f>
        <v>#DIV/0!</v>
      </c>
      <c r="F13" s="148">
        <f>FREQUENCY('Grille de saisie'!$BX$3:$BX$602,C13)</f>
        <v>0</v>
      </c>
      <c r="G13" s="267" t="e">
        <f>E13+E12</f>
        <v>#DIV/0!</v>
      </c>
    </row>
    <row r="14" spans="1:7" s="150" customFormat="1">
      <c r="A14" s="151"/>
      <c r="B14" s="281" t="s">
        <v>625</v>
      </c>
      <c r="C14" s="230">
        <v>3</v>
      </c>
      <c r="D14" s="148">
        <f t="shared" si="2"/>
        <v>0</v>
      </c>
      <c r="E14" s="213" t="e">
        <f>D14/$F$19</f>
        <v>#DIV/0!</v>
      </c>
      <c r="F14" s="148">
        <f>FREQUENCY('Grille de saisie'!$BX$3:$BX$602,C14)</f>
        <v>0</v>
      </c>
      <c r="G14" s="267" t="e">
        <f>E14+E13+E12</f>
        <v>#DIV/0!</v>
      </c>
    </row>
    <row r="15" spans="1:7" s="150" customFormat="1">
      <c r="A15" s="151"/>
      <c r="B15" s="281" t="s">
        <v>626</v>
      </c>
      <c r="C15" s="230">
        <v>4</v>
      </c>
      <c r="D15" s="148">
        <f t="shared" si="2"/>
        <v>0</v>
      </c>
      <c r="E15" s="213" t="e">
        <f>D15/$F$19</f>
        <v>#DIV/0!</v>
      </c>
      <c r="F15" s="148">
        <f>FREQUENCY('Grille de saisie'!$BX$3:$BX$602,C15)</f>
        <v>0</v>
      </c>
      <c r="G15" s="267" t="e">
        <f>E15+E14+E13+E12</f>
        <v>#DIV/0!</v>
      </c>
    </row>
    <row r="16" spans="1:7" s="150" customFormat="1">
      <c r="A16" s="151"/>
      <c r="B16" s="281" t="s">
        <v>950</v>
      </c>
      <c r="C16" s="230">
        <v>5</v>
      </c>
      <c r="D16" s="148">
        <f t="shared" si="2"/>
        <v>0</v>
      </c>
      <c r="E16" s="213" t="e">
        <f t="shared" ref="E16:E20" si="3">D16/$F$19</f>
        <v>#DIV/0!</v>
      </c>
      <c r="F16" s="148">
        <f>FREQUENCY('Grille de saisie'!$BX$3:$BX$602,C16)</f>
        <v>0</v>
      </c>
      <c r="G16" s="267" t="e">
        <f>E16+E15+E14+E13+E12</f>
        <v>#DIV/0!</v>
      </c>
    </row>
    <row r="17" spans="1:7" s="150" customFormat="1">
      <c r="A17" s="151"/>
      <c r="B17" s="281" t="s">
        <v>951</v>
      </c>
      <c r="C17" s="230">
        <v>6</v>
      </c>
      <c r="D17" s="148">
        <f t="shared" si="2"/>
        <v>0</v>
      </c>
      <c r="E17" s="213" t="e">
        <f t="shared" si="3"/>
        <v>#DIV/0!</v>
      </c>
      <c r="F17" s="148">
        <f>FREQUENCY('Grille de saisie'!$BX$3:$BX$602,C17)</f>
        <v>0</v>
      </c>
      <c r="G17" s="267" t="e">
        <f>E17+E16+E15+E14+E13+E12</f>
        <v>#DIV/0!</v>
      </c>
    </row>
    <row r="18" spans="1:7" s="150" customFormat="1">
      <c r="A18" s="151"/>
      <c r="B18" s="281" t="s">
        <v>952</v>
      </c>
      <c r="C18" s="230">
        <v>7</v>
      </c>
      <c r="D18" s="148">
        <f t="shared" si="2"/>
        <v>0</v>
      </c>
      <c r="E18" s="213" t="e">
        <f t="shared" si="3"/>
        <v>#DIV/0!</v>
      </c>
      <c r="F18" s="148">
        <f>FREQUENCY('Grille de saisie'!$BX$3:$BX$602,C18)</f>
        <v>0</v>
      </c>
      <c r="G18" s="267" t="e">
        <f>E18+E17+E16+E15+E14+E13+E12</f>
        <v>#DIV/0!</v>
      </c>
    </row>
    <row r="19" spans="1:7" s="150" customFormat="1">
      <c r="A19" s="151"/>
      <c r="B19" s="281" t="s">
        <v>953</v>
      </c>
      <c r="C19" s="230">
        <v>8</v>
      </c>
      <c r="D19" s="148">
        <f t="shared" si="2"/>
        <v>0</v>
      </c>
      <c r="E19" s="213" t="e">
        <f t="shared" si="3"/>
        <v>#DIV/0!</v>
      </c>
      <c r="F19" s="148">
        <f>FREQUENCY('Grille de saisie'!$BX$3:$BX$602,C19)</f>
        <v>0</v>
      </c>
      <c r="G19" s="267" t="e">
        <f>E19+E18+E17+E16+E15+E14+E13+E12</f>
        <v>#DIV/0!</v>
      </c>
    </row>
    <row r="20" spans="1:7" s="150" customFormat="1">
      <c r="A20" s="151"/>
      <c r="B20" s="281" t="s">
        <v>954</v>
      </c>
      <c r="C20" s="230">
        <v>9</v>
      </c>
      <c r="D20" s="148">
        <f t="shared" si="2"/>
        <v>0</v>
      </c>
      <c r="E20" s="213" t="e">
        <f t="shared" si="3"/>
        <v>#DIV/0!</v>
      </c>
      <c r="F20" s="148">
        <f>FREQUENCY('Grille de saisie'!$BX$3:$BX$602,C20)</f>
        <v>0</v>
      </c>
      <c r="G20" s="267" t="e">
        <f>E20+E19+E18+E17+E16+E15+E14+E13+E12</f>
        <v>#DIV/0!</v>
      </c>
    </row>
    <row r="21" spans="1:7" s="150" customFormat="1">
      <c r="A21" s="154"/>
      <c r="B21" s="282"/>
      <c r="C21" s="228"/>
      <c r="D21" s="157"/>
      <c r="E21" s="214"/>
      <c r="F21" s="157"/>
      <c r="G21" s="158"/>
    </row>
    <row r="22" spans="1:7" s="150" customFormat="1">
      <c r="A22" s="128" t="s">
        <v>153</v>
      </c>
      <c r="B22" s="281"/>
      <c r="C22" s="230"/>
      <c r="D22" s="148"/>
      <c r="E22" s="213"/>
      <c r="F22" s="148"/>
      <c r="G22" s="267"/>
    </row>
    <row r="23" spans="1:7" s="150" customFormat="1">
      <c r="A23" s="281" t="s">
        <v>627</v>
      </c>
      <c r="B23" s="509" t="s">
        <v>47</v>
      </c>
      <c r="C23" s="147">
        <v>0</v>
      </c>
      <c r="D23" s="268">
        <f>F23</f>
        <v>0</v>
      </c>
      <c r="E23" s="213" t="e">
        <f>D23/$F$27</f>
        <v>#DIV/0!</v>
      </c>
      <c r="F23" s="148">
        <f>FREQUENCY('Grille de saisie'!$BZ$3:$BZ$602,C23)</f>
        <v>0</v>
      </c>
      <c r="G23" s="269" t="e">
        <f>E23</f>
        <v>#DIV/0!</v>
      </c>
    </row>
    <row r="24" spans="1:7" s="150" customFormat="1">
      <c r="A24" s="172" t="s">
        <v>955</v>
      </c>
      <c r="B24" s="281" t="s">
        <v>175</v>
      </c>
      <c r="C24" s="230">
        <v>1</v>
      </c>
      <c r="D24" s="148">
        <f>F24-F23</f>
        <v>0</v>
      </c>
      <c r="E24" s="213" t="e">
        <f>D24/$F$27</f>
        <v>#DIV/0!</v>
      </c>
      <c r="F24" s="148">
        <f>FREQUENCY('Grille de saisie'!$BZ$3:$BZ$602,C24)</f>
        <v>0</v>
      </c>
      <c r="G24" s="267" t="e">
        <f>E24+E23</f>
        <v>#DIV/0!</v>
      </c>
    </row>
    <row r="25" spans="1:7" s="150" customFormat="1">
      <c r="A25" s="172"/>
      <c r="B25" s="281" t="s">
        <v>176</v>
      </c>
      <c r="C25" s="230">
        <v>2</v>
      </c>
      <c r="D25" s="148">
        <f>F25-F24</f>
        <v>0</v>
      </c>
      <c r="E25" s="213" t="e">
        <f t="shared" ref="E25:E27" si="4">D25/$F$27</f>
        <v>#DIV/0!</v>
      </c>
      <c r="F25" s="148">
        <f>FREQUENCY('Grille de saisie'!$BZ$3:$BZ$602,C25)</f>
        <v>0</v>
      </c>
      <c r="G25" s="267" t="e">
        <f>E25+E24+E23</f>
        <v>#DIV/0!</v>
      </c>
    </row>
    <row r="26" spans="1:7" s="150" customFormat="1">
      <c r="A26" s="172"/>
      <c r="B26" s="281" t="s">
        <v>177</v>
      </c>
      <c r="C26" s="230">
        <v>3</v>
      </c>
      <c r="D26" s="148">
        <f>F26-F25</f>
        <v>0</v>
      </c>
      <c r="E26" s="213" t="e">
        <f t="shared" si="4"/>
        <v>#DIV/0!</v>
      </c>
      <c r="F26" s="148">
        <f>FREQUENCY('Grille de saisie'!$BZ$3:$BZ$602,C26)</f>
        <v>0</v>
      </c>
      <c r="G26" s="267" t="e">
        <f>E26+E25+E24+E23</f>
        <v>#DIV/0!</v>
      </c>
    </row>
    <row r="27" spans="1:7" s="150" customFormat="1">
      <c r="A27" s="151"/>
      <c r="B27" s="281" t="s">
        <v>178</v>
      </c>
      <c r="C27" s="230">
        <v>4</v>
      </c>
      <c r="D27" s="148">
        <f>F27-F26</f>
        <v>0</v>
      </c>
      <c r="E27" s="213" t="e">
        <f t="shared" si="4"/>
        <v>#DIV/0!</v>
      </c>
      <c r="F27" s="148">
        <f>FREQUENCY('Grille de saisie'!$BZ$3:$BZ$602,C27)</f>
        <v>0</v>
      </c>
      <c r="G27" s="267" t="e">
        <f>E27+E26+E25+E24+E23</f>
        <v>#DIV/0!</v>
      </c>
    </row>
    <row r="28" spans="1:7" s="150" customFormat="1">
      <c r="A28" s="154"/>
      <c r="B28" s="282"/>
      <c r="C28" s="228"/>
      <c r="D28" s="157"/>
      <c r="E28" s="214"/>
      <c r="F28" s="157"/>
      <c r="G28" s="158"/>
    </row>
    <row r="29" spans="1:7" s="150" customFormat="1">
      <c r="A29" s="128" t="s">
        <v>54</v>
      </c>
      <c r="B29" s="146"/>
      <c r="C29" s="230"/>
      <c r="D29" s="148"/>
      <c r="E29" s="190"/>
      <c r="F29" s="148"/>
      <c r="G29" s="176"/>
    </row>
    <row r="30" spans="1:7" s="150" customFormat="1">
      <c r="A30" s="172" t="s">
        <v>369</v>
      </c>
      <c r="B30" s="281" t="s">
        <v>441</v>
      </c>
      <c r="C30" s="230">
        <v>1</v>
      </c>
      <c r="D30" s="148">
        <f>F30</f>
        <v>0</v>
      </c>
      <c r="E30" s="213" t="e">
        <f>D30/$F$31</f>
        <v>#DIV/0!</v>
      </c>
      <c r="F30" s="148">
        <f>FREQUENCY('Grille de saisie'!$CA$3:$CA$602,C30)</f>
        <v>0</v>
      </c>
      <c r="G30" s="267" t="e">
        <f>E30</f>
        <v>#DIV/0!</v>
      </c>
    </row>
    <row r="31" spans="1:7" s="150" customFormat="1">
      <c r="A31" s="199"/>
      <c r="B31" s="281" t="s">
        <v>442</v>
      </c>
      <c r="C31" s="230">
        <v>2</v>
      </c>
      <c r="D31" s="148">
        <f>F31-F30</f>
        <v>0</v>
      </c>
      <c r="E31" s="213" t="e">
        <f>D31/$F$31</f>
        <v>#DIV/0!</v>
      </c>
      <c r="F31" s="148">
        <f>FREQUENCY('Grille de saisie'!$CA$3:$CA$602,C31)</f>
        <v>0</v>
      </c>
      <c r="G31" s="267" t="e">
        <f>E31+E30</f>
        <v>#DIV/0!</v>
      </c>
    </row>
    <row r="32" spans="1:7" s="150" customFormat="1">
      <c r="A32" s="154"/>
      <c r="B32" s="155"/>
      <c r="C32" s="228"/>
      <c r="D32" s="157"/>
      <c r="E32" s="197"/>
      <c r="F32" s="157"/>
      <c r="G32" s="158"/>
    </row>
    <row r="33" spans="1:7" s="127" customFormat="1">
      <c r="A33" s="183" t="s">
        <v>156</v>
      </c>
      <c r="B33" s="170"/>
      <c r="C33" s="192"/>
      <c r="D33" s="148"/>
      <c r="E33" s="184"/>
      <c r="F33" s="149"/>
      <c r="G33" s="149"/>
    </row>
    <row r="34" spans="1:7" s="127" customFormat="1">
      <c r="A34" s="146" t="s">
        <v>83</v>
      </c>
      <c r="B34" s="146" t="s">
        <v>84</v>
      </c>
      <c r="C34" s="192">
        <v>1</v>
      </c>
      <c r="D34" s="148">
        <f>F34</f>
        <v>0</v>
      </c>
      <c r="E34" s="212" t="e">
        <f>D34/F36</f>
        <v>#DIV/0!</v>
      </c>
      <c r="F34" s="148">
        <f>FREQUENCY('Grille de saisie'!$CN$3:$CN$602,C34)</f>
        <v>0</v>
      </c>
      <c r="G34" s="267" t="e">
        <f>E34</f>
        <v>#DIV/0!</v>
      </c>
    </row>
    <row r="35" spans="1:7" s="127" customFormat="1">
      <c r="A35" s="146"/>
      <c r="B35" s="146" t="s">
        <v>85</v>
      </c>
      <c r="C35" s="210">
        <v>2</v>
      </c>
      <c r="D35" s="148">
        <f>F35-F34</f>
        <v>0</v>
      </c>
      <c r="E35" s="212" t="e">
        <f>D35/F36</f>
        <v>#DIV/0!</v>
      </c>
      <c r="F35" s="148">
        <f>FREQUENCY('Grille de saisie'!$CN$3:$CN$602,C35)</f>
        <v>0</v>
      </c>
      <c r="G35" s="267" t="e">
        <f>E35+E34</f>
        <v>#DIV/0!</v>
      </c>
    </row>
    <row r="36" spans="1:7" s="127" customFormat="1">
      <c r="A36" s="146"/>
      <c r="B36" s="146" t="s">
        <v>90</v>
      </c>
      <c r="C36" s="210">
        <v>3</v>
      </c>
      <c r="D36" s="148">
        <f>F36-F35</f>
        <v>0</v>
      </c>
      <c r="E36" s="267" t="e">
        <f>D36/F36</f>
        <v>#DIV/0!</v>
      </c>
      <c r="F36" s="148">
        <f>FREQUENCY('Grille de saisie'!$CN$3:$CN$602,C36)</f>
        <v>0</v>
      </c>
      <c r="G36" s="267" t="e">
        <f>E36+E35+E34</f>
        <v>#DIV/0!</v>
      </c>
    </row>
    <row r="37" spans="1:7" s="127" customFormat="1">
      <c r="A37" s="187"/>
      <c r="B37" s="187"/>
      <c r="C37" s="205"/>
      <c r="D37" s="157"/>
      <c r="E37" s="214"/>
      <c r="F37" s="157"/>
      <c r="G37" s="158"/>
    </row>
    <row r="38" spans="1:7" s="127" customFormat="1">
      <c r="A38" s="185" t="s">
        <v>157</v>
      </c>
      <c r="B38" s="146"/>
      <c r="C38" s="233"/>
      <c r="D38" s="148"/>
      <c r="E38" s="211"/>
      <c r="F38" s="148"/>
      <c r="G38" s="176"/>
    </row>
    <row r="39" spans="1:7" s="127" customFormat="1">
      <c r="A39" s="146" t="s">
        <v>259</v>
      </c>
      <c r="B39" s="146" t="s">
        <v>261</v>
      </c>
      <c r="C39" s="230">
        <v>1</v>
      </c>
      <c r="D39" s="148">
        <f>F39</f>
        <v>0</v>
      </c>
      <c r="E39" s="212" t="e">
        <f>D39/$F$42</f>
        <v>#DIV/0!</v>
      </c>
      <c r="F39" s="148">
        <f>FREQUENCY('Grille de saisie'!$CC$3:$CC$602,C39)</f>
        <v>0</v>
      </c>
      <c r="G39" s="267" t="e">
        <f>E39</f>
        <v>#DIV/0!</v>
      </c>
    </row>
    <row r="40" spans="1:7" s="127" customFormat="1">
      <c r="A40" s="146" t="s">
        <v>260</v>
      </c>
      <c r="B40" s="146" t="s">
        <v>262</v>
      </c>
      <c r="C40" s="230">
        <v>2</v>
      </c>
      <c r="D40" s="148">
        <f>F40-F39</f>
        <v>0</v>
      </c>
      <c r="E40" s="212" t="e">
        <f t="shared" ref="E40:E42" si="5">D40/$F$42</f>
        <v>#DIV/0!</v>
      </c>
      <c r="F40" s="148">
        <f>FREQUENCY('Grille de saisie'!$CC$3:$CC$602,C40)</f>
        <v>0</v>
      </c>
      <c r="G40" s="267" t="e">
        <f>E40+E39</f>
        <v>#DIV/0!</v>
      </c>
    </row>
    <row r="41" spans="1:7" s="127" customFormat="1">
      <c r="A41" s="146"/>
      <c r="B41" s="146" t="s">
        <v>263</v>
      </c>
      <c r="C41" s="230">
        <v>3</v>
      </c>
      <c r="D41" s="148">
        <f>F41-F40</f>
        <v>0</v>
      </c>
      <c r="E41" s="212" t="e">
        <f t="shared" si="5"/>
        <v>#DIV/0!</v>
      </c>
      <c r="F41" s="148">
        <f>FREQUENCY('Grille de saisie'!$CC$3:$CC$602,C41)</f>
        <v>0</v>
      </c>
      <c r="G41" s="267" t="e">
        <f>E41+E40+E39</f>
        <v>#DIV/0!</v>
      </c>
    </row>
    <row r="42" spans="1:7" s="127" customFormat="1">
      <c r="A42" s="146"/>
      <c r="B42" s="281" t="s">
        <v>62</v>
      </c>
      <c r="C42" s="230">
        <v>96</v>
      </c>
      <c r="D42" s="148">
        <f>F42-F41</f>
        <v>0</v>
      </c>
      <c r="E42" s="212" t="e">
        <f t="shared" si="5"/>
        <v>#DIV/0!</v>
      </c>
      <c r="F42" s="148">
        <f>FREQUENCY('Grille de saisie'!$CC$3:$CC$602,C42)</f>
        <v>0</v>
      </c>
      <c r="G42" s="267" t="e">
        <f>E42+E41+E40+E39</f>
        <v>#DIV/0!</v>
      </c>
    </row>
    <row r="43" spans="1:7" s="127" customFormat="1">
      <c r="A43" s="187"/>
      <c r="B43" s="187"/>
      <c r="C43" s="232"/>
      <c r="D43" s="157"/>
      <c r="E43" s="197"/>
      <c r="F43" s="157"/>
      <c r="G43" s="158"/>
    </row>
    <row r="44" spans="1:7" s="127" customFormat="1">
      <c r="A44" s="183" t="s">
        <v>159</v>
      </c>
      <c r="B44" s="146"/>
      <c r="C44" s="233"/>
      <c r="D44" s="148"/>
      <c r="E44" s="190"/>
      <c r="F44" s="148"/>
      <c r="G44" s="176"/>
    </row>
    <row r="45" spans="1:7" s="127" customFormat="1">
      <c r="A45" s="281" t="s">
        <v>628</v>
      </c>
      <c r="B45" s="146" t="s">
        <v>265</v>
      </c>
      <c r="C45" s="230">
        <v>1</v>
      </c>
      <c r="D45" s="148">
        <f>F45</f>
        <v>0</v>
      </c>
      <c r="E45" s="213" t="e">
        <f>D45/$F$52</f>
        <v>#DIV/0!</v>
      </c>
      <c r="F45" s="148">
        <f>FREQUENCY('Grille de saisie'!$CE$3:$CE$602,C45)</f>
        <v>0</v>
      </c>
      <c r="G45" s="267" t="e">
        <f>E45</f>
        <v>#DIV/0!</v>
      </c>
    </row>
    <row r="46" spans="1:7" s="127" customFormat="1">
      <c r="A46" s="146"/>
      <c r="B46" s="146" t="s">
        <v>266</v>
      </c>
      <c r="C46" s="230">
        <v>2</v>
      </c>
      <c r="D46" s="148">
        <f t="shared" ref="D46:D52" si="6">F46-F45</f>
        <v>0</v>
      </c>
      <c r="E46" s="213" t="e">
        <f t="shared" ref="E46:E52" si="7">D46/$F$52</f>
        <v>#DIV/0!</v>
      </c>
      <c r="F46" s="148">
        <f>FREQUENCY('Grille de saisie'!$CE$3:$CE$602,C46)</f>
        <v>0</v>
      </c>
      <c r="G46" s="267" t="e">
        <f>E46+E45</f>
        <v>#DIV/0!</v>
      </c>
    </row>
    <row r="47" spans="1:7" s="127" customFormat="1">
      <c r="A47" s="146"/>
      <c r="B47" s="146" t="s">
        <v>267</v>
      </c>
      <c r="C47" s="230">
        <v>3</v>
      </c>
      <c r="D47" s="148">
        <f t="shared" si="6"/>
        <v>0</v>
      </c>
      <c r="E47" s="213" t="e">
        <f t="shared" si="7"/>
        <v>#DIV/0!</v>
      </c>
      <c r="F47" s="148">
        <f>FREQUENCY('Grille de saisie'!$CE$3:$CE$602,C47)</f>
        <v>0</v>
      </c>
      <c r="G47" s="267" t="e">
        <f>E47+E46+E45</f>
        <v>#DIV/0!</v>
      </c>
    </row>
    <row r="48" spans="1:7" s="127" customFormat="1">
      <c r="A48" s="146"/>
      <c r="B48" s="146" t="s">
        <v>268</v>
      </c>
      <c r="C48" s="230">
        <v>4</v>
      </c>
      <c r="D48" s="148">
        <f t="shared" si="6"/>
        <v>0</v>
      </c>
      <c r="E48" s="213" t="e">
        <f t="shared" si="7"/>
        <v>#DIV/0!</v>
      </c>
      <c r="F48" s="148">
        <f>FREQUENCY('Grille de saisie'!$CE$3:$CE$602,C48)</f>
        <v>0</v>
      </c>
      <c r="G48" s="267" t="e">
        <f>E48+E47+E46+E45</f>
        <v>#DIV/0!</v>
      </c>
    </row>
    <row r="49" spans="1:7" s="127" customFormat="1">
      <c r="A49" s="146"/>
      <c r="B49" s="146" t="s">
        <v>269</v>
      </c>
      <c r="C49" s="230">
        <v>5</v>
      </c>
      <c r="D49" s="148">
        <f t="shared" si="6"/>
        <v>0</v>
      </c>
      <c r="E49" s="213" t="e">
        <f t="shared" si="7"/>
        <v>#DIV/0!</v>
      </c>
      <c r="F49" s="148">
        <f>FREQUENCY('Grille de saisie'!$CE$3:$CE$602,C49)</f>
        <v>0</v>
      </c>
      <c r="G49" s="267" t="e">
        <f>E49+E48+E47+E46+E45</f>
        <v>#DIV/0!</v>
      </c>
    </row>
    <row r="50" spans="1:7" s="127" customFormat="1">
      <c r="A50" s="146"/>
      <c r="B50" s="146" t="s">
        <v>270</v>
      </c>
      <c r="C50" s="230">
        <v>6</v>
      </c>
      <c r="D50" s="148">
        <f t="shared" si="6"/>
        <v>0</v>
      </c>
      <c r="E50" s="213" t="e">
        <f t="shared" si="7"/>
        <v>#DIV/0!</v>
      </c>
      <c r="F50" s="148">
        <f>FREQUENCY('Grille de saisie'!$CE$3:$CE$602,C50)</f>
        <v>0</v>
      </c>
      <c r="G50" s="267" t="e">
        <f>E50+E49+E48+E47+E46+E45</f>
        <v>#DIV/0!</v>
      </c>
    </row>
    <row r="51" spans="1:7" s="127" customFormat="1">
      <c r="A51" s="146"/>
      <c r="B51" s="146" t="s">
        <v>271</v>
      </c>
      <c r="C51" s="230">
        <v>7</v>
      </c>
      <c r="D51" s="148">
        <f t="shared" si="6"/>
        <v>0</v>
      </c>
      <c r="E51" s="213" t="e">
        <f t="shared" si="7"/>
        <v>#DIV/0!</v>
      </c>
      <c r="F51" s="148">
        <f>FREQUENCY('Grille de saisie'!$CE$3:$CE$602,C51)</f>
        <v>0</v>
      </c>
      <c r="G51" s="267" t="e">
        <f>E51+E50+E49+E48+E47+E46+E45</f>
        <v>#DIV/0!</v>
      </c>
    </row>
    <row r="52" spans="1:7" s="127" customFormat="1">
      <c r="A52" s="146"/>
      <c r="B52" s="146" t="s">
        <v>62</v>
      </c>
      <c r="C52" s="233">
        <v>96</v>
      </c>
      <c r="D52" s="148">
        <f t="shared" si="6"/>
        <v>0</v>
      </c>
      <c r="E52" s="213" t="e">
        <f t="shared" si="7"/>
        <v>#DIV/0!</v>
      </c>
      <c r="F52" s="148">
        <f>FREQUENCY('Grille de saisie'!$CE$3:$CE$602,C52)</f>
        <v>0</v>
      </c>
      <c r="G52" s="267" t="e">
        <f>E52+E51+E50+E49+E48+E47+E46+E45</f>
        <v>#DIV/0!</v>
      </c>
    </row>
    <row r="53" spans="1:7" s="127" customFormat="1">
      <c r="A53" s="187"/>
      <c r="B53" s="187"/>
      <c r="C53" s="232"/>
      <c r="D53" s="157"/>
      <c r="E53" s="158"/>
      <c r="F53" s="157"/>
      <c r="G53" s="158"/>
    </row>
    <row r="54" spans="1:7" s="150" customFormat="1">
      <c r="A54" s="185" t="s">
        <v>160</v>
      </c>
      <c r="B54" s="146"/>
      <c r="C54" s="227"/>
      <c r="D54" s="148"/>
      <c r="E54" s="184"/>
      <c r="F54" s="148"/>
      <c r="G54" s="148"/>
    </row>
    <row r="55" spans="1:7" s="150" customFormat="1">
      <c r="A55" s="146" t="s">
        <v>158</v>
      </c>
      <c r="B55" s="146" t="s">
        <v>56</v>
      </c>
      <c r="C55" s="227">
        <v>1</v>
      </c>
      <c r="D55" s="148">
        <f>F55</f>
        <v>0</v>
      </c>
      <c r="E55" s="212" t="e">
        <f>D55/$F$61</f>
        <v>#DIV/0!</v>
      </c>
      <c r="F55" s="148">
        <f>FREQUENCY('Grille de saisie'!$CG$3:$CG$602,C55)</f>
        <v>0</v>
      </c>
      <c r="G55" s="267" t="e">
        <f>E55</f>
        <v>#DIV/0!</v>
      </c>
    </row>
    <row r="56" spans="1:7" s="150" customFormat="1">
      <c r="A56" s="146"/>
      <c r="B56" s="146" t="s">
        <v>57</v>
      </c>
      <c r="C56" s="227">
        <v>2</v>
      </c>
      <c r="D56" s="148">
        <f t="shared" ref="D56:D61" si="8">F56-F55</f>
        <v>0</v>
      </c>
      <c r="E56" s="212" t="e">
        <f t="shared" ref="E56:E61" si="9">D56/$F$61</f>
        <v>#DIV/0!</v>
      </c>
      <c r="F56" s="148">
        <f>FREQUENCY('Grille de saisie'!$CG$3:$CG$602,C56)</f>
        <v>0</v>
      </c>
      <c r="G56" s="267" t="e">
        <f>E56+E55</f>
        <v>#DIV/0!</v>
      </c>
    </row>
    <row r="57" spans="1:7" s="150" customFormat="1">
      <c r="A57" s="146"/>
      <c r="B57" s="146" t="s">
        <v>58</v>
      </c>
      <c r="C57" s="227">
        <v>3</v>
      </c>
      <c r="D57" s="148">
        <f t="shared" si="8"/>
        <v>0</v>
      </c>
      <c r="E57" s="212" t="e">
        <f t="shared" si="9"/>
        <v>#DIV/0!</v>
      </c>
      <c r="F57" s="148">
        <f>FREQUENCY('Grille de saisie'!$CG$3:$CG$602,C57)</f>
        <v>0</v>
      </c>
      <c r="G57" s="267" t="e">
        <f>E57+E56+E55</f>
        <v>#DIV/0!</v>
      </c>
    </row>
    <row r="58" spans="1:7" s="150" customFormat="1">
      <c r="A58" s="146"/>
      <c r="B58" s="146" t="s">
        <v>59</v>
      </c>
      <c r="C58" s="227">
        <v>4</v>
      </c>
      <c r="D58" s="148">
        <f t="shared" si="8"/>
        <v>0</v>
      </c>
      <c r="E58" s="212" t="e">
        <f t="shared" si="9"/>
        <v>#DIV/0!</v>
      </c>
      <c r="F58" s="148">
        <f>FREQUENCY('Grille de saisie'!$CG$3:$CG$602,C58)</f>
        <v>0</v>
      </c>
      <c r="G58" s="267" t="e">
        <f>E58+E57+E56+E55</f>
        <v>#DIV/0!</v>
      </c>
    </row>
    <row r="59" spans="1:7" s="150" customFormat="1">
      <c r="A59" s="146"/>
      <c r="B59" s="146" t="s">
        <v>60</v>
      </c>
      <c r="C59" s="227">
        <v>5</v>
      </c>
      <c r="D59" s="148">
        <f t="shared" si="8"/>
        <v>0</v>
      </c>
      <c r="E59" s="212" t="e">
        <f t="shared" si="9"/>
        <v>#DIV/0!</v>
      </c>
      <c r="F59" s="148">
        <f>FREQUENCY('Grille de saisie'!$CG$3:$CG$602,C59)</f>
        <v>0</v>
      </c>
      <c r="G59" s="267" t="e">
        <f>E59+E58+E57+E56+E55</f>
        <v>#DIV/0!</v>
      </c>
    </row>
    <row r="60" spans="1:7" s="150" customFormat="1">
      <c r="A60" s="146"/>
      <c r="B60" s="146" t="s">
        <v>61</v>
      </c>
      <c r="C60" s="230">
        <v>6</v>
      </c>
      <c r="D60" s="148">
        <f t="shared" si="8"/>
        <v>0</v>
      </c>
      <c r="E60" s="212" t="e">
        <f t="shared" si="9"/>
        <v>#DIV/0!</v>
      </c>
      <c r="F60" s="148">
        <f>FREQUENCY('Grille de saisie'!$CG$3:$CG$602,C60)</f>
        <v>0</v>
      </c>
      <c r="G60" s="267" t="e">
        <f>E60+E59+E58+E57+E56+E55</f>
        <v>#DIV/0!</v>
      </c>
    </row>
    <row r="61" spans="1:7" s="150" customFormat="1">
      <c r="A61" s="146"/>
      <c r="B61" s="281" t="s">
        <v>62</v>
      </c>
      <c r="C61" s="230">
        <v>96</v>
      </c>
      <c r="D61" s="148">
        <f t="shared" si="8"/>
        <v>0</v>
      </c>
      <c r="E61" s="212" t="e">
        <f t="shared" si="9"/>
        <v>#DIV/0!</v>
      </c>
      <c r="F61" s="148">
        <f>FREQUENCY('Grille de saisie'!$CG$3:$CG$602,C61)</f>
        <v>0</v>
      </c>
      <c r="G61" s="267" t="e">
        <f>E61+E60+E59+E58+E57+E56+E55</f>
        <v>#DIV/0!</v>
      </c>
    </row>
    <row r="62" spans="1:7" s="150" customFormat="1">
      <c r="A62" s="187"/>
      <c r="B62" s="155"/>
      <c r="C62" s="228"/>
      <c r="D62" s="157"/>
      <c r="E62" s="197"/>
      <c r="F62" s="157"/>
      <c r="G62" s="158"/>
    </row>
    <row r="63" spans="1:7" s="127" customFormat="1">
      <c r="A63" s="185" t="s">
        <v>588</v>
      </c>
      <c r="B63" s="146"/>
      <c r="C63" s="233"/>
      <c r="D63" s="148"/>
      <c r="E63" s="190"/>
      <c r="F63" s="148"/>
      <c r="G63" s="176"/>
    </row>
    <row r="64" spans="1:7" s="127" customFormat="1">
      <c r="A64" s="153" t="s">
        <v>272</v>
      </c>
      <c r="B64" s="153" t="s">
        <v>273</v>
      </c>
      <c r="C64" s="230">
        <v>1</v>
      </c>
      <c r="D64" s="148">
        <f>F64</f>
        <v>0</v>
      </c>
      <c r="E64" s="213" t="e">
        <f>D64/$F$68</f>
        <v>#DIV/0!</v>
      </c>
      <c r="F64" s="148">
        <f>FREQUENCY('Grille de saisie'!$CI$3:$CI$602,C64)</f>
        <v>0</v>
      </c>
      <c r="G64" s="267" t="e">
        <f>E64</f>
        <v>#DIV/0!</v>
      </c>
    </row>
    <row r="65" spans="1:7" s="127" customFormat="1">
      <c r="A65" s="281" t="s">
        <v>892</v>
      </c>
      <c r="B65" s="281" t="s">
        <v>443</v>
      </c>
      <c r="C65" s="230">
        <v>2</v>
      </c>
      <c r="D65" s="148">
        <f t="shared" ref="D65:D68" si="10">F65-F64</f>
        <v>0</v>
      </c>
      <c r="E65" s="213" t="e">
        <f t="shared" ref="E65:E68" si="11">D65/$F$68</f>
        <v>#DIV/0!</v>
      </c>
      <c r="F65" s="148">
        <f>FREQUENCY('Grille de saisie'!$CI$3:$CI$602,C65)</f>
        <v>0</v>
      </c>
      <c r="G65" s="267" t="e">
        <f>E65+E64</f>
        <v>#DIV/0!</v>
      </c>
    </row>
    <row r="66" spans="1:7" s="127" customFormat="1">
      <c r="A66" s="281" t="s">
        <v>893</v>
      </c>
      <c r="B66" s="281" t="s">
        <v>444</v>
      </c>
      <c r="C66" s="230">
        <v>3</v>
      </c>
      <c r="D66" s="148">
        <f t="shared" si="10"/>
        <v>0</v>
      </c>
      <c r="E66" s="213" t="e">
        <f t="shared" si="11"/>
        <v>#DIV/0!</v>
      </c>
      <c r="F66" s="148">
        <f>FREQUENCY('Grille de saisie'!$CI$3:$CI$602,C66)</f>
        <v>0</v>
      </c>
      <c r="G66" s="267" t="e">
        <f>E66+E65+E64</f>
        <v>#DIV/0!</v>
      </c>
    </row>
    <row r="67" spans="1:7" s="127" customFormat="1">
      <c r="A67" s="146"/>
      <c r="B67" s="281" t="s">
        <v>891</v>
      </c>
      <c r="C67" s="230">
        <v>4</v>
      </c>
      <c r="D67" s="148">
        <f t="shared" si="10"/>
        <v>0</v>
      </c>
      <c r="E67" s="213" t="e">
        <f t="shared" si="11"/>
        <v>#DIV/0!</v>
      </c>
      <c r="F67" s="148">
        <f>FREQUENCY('Grille de saisie'!$CI$3:$CI$602,C67)</f>
        <v>0</v>
      </c>
      <c r="G67" s="267" t="e">
        <f>E67+E66+E65+E64</f>
        <v>#DIV/0!</v>
      </c>
    </row>
    <row r="68" spans="1:7" s="127" customFormat="1">
      <c r="A68" s="146"/>
      <c r="B68" s="281" t="s">
        <v>62</v>
      </c>
      <c r="C68" s="233">
        <v>96</v>
      </c>
      <c r="D68" s="148">
        <f t="shared" si="10"/>
        <v>0</v>
      </c>
      <c r="E68" s="213" t="e">
        <f t="shared" si="11"/>
        <v>#DIV/0!</v>
      </c>
      <c r="F68" s="148">
        <f>FREQUENCY('Grille de saisie'!$CI$3:$CI$602,C68)</f>
        <v>0</v>
      </c>
      <c r="G68" s="267" t="e">
        <f>E68+E67+E66+E65+E64</f>
        <v>#DIV/0!</v>
      </c>
    </row>
    <row r="69" spans="1:7" s="127" customFormat="1">
      <c r="A69" s="187"/>
      <c r="B69" s="155"/>
      <c r="C69" s="232"/>
      <c r="D69" s="157"/>
      <c r="E69" s="197"/>
      <c r="F69" s="157"/>
      <c r="G69" s="158"/>
    </row>
    <row r="70" spans="1:7" s="127" customFormat="1">
      <c r="A70" s="185" t="s">
        <v>590</v>
      </c>
      <c r="B70" s="146"/>
      <c r="C70" s="210"/>
      <c r="D70" s="148"/>
      <c r="E70" s="190"/>
      <c r="F70" s="148"/>
      <c r="G70" s="176"/>
    </row>
    <row r="71" spans="1:7" s="127" customFormat="1">
      <c r="A71" s="153" t="s">
        <v>275</v>
      </c>
      <c r="B71" s="153" t="s">
        <v>277</v>
      </c>
      <c r="C71" s="210">
        <v>1</v>
      </c>
      <c r="D71" s="148">
        <f>F71</f>
        <v>0</v>
      </c>
      <c r="E71" s="213" t="e">
        <f>D71/$F$74</f>
        <v>#DIV/0!</v>
      </c>
      <c r="F71" s="148">
        <f>FREQUENCY('Grille de saisie'!$CK$3:$CK$602,C71)</f>
        <v>0</v>
      </c>
      <c r="G71" s="267" t="e">
        <f>E71</f>
        <v>#DIV/0!</v>
      </c>
    </row>
    <row r="72" spans="1:7" s="127" customFormat="1">
      <c r="A72" s="153" t="s">
        <v>276</v>
      </c>
      <c r="B72" s="281" t="s">
        <v>629</v>
      </c>
      <c r="C72" s="210">
        <v>2</v>
      </c>
      <c r="D72" s="148">
        <f>F72-F71</f>
        <v>0</v>
      </c>
      <c r="E72" s="213" t="e">
        <f t="shared" ref="E72:E74" si="12">D72/$F$74</f>
        <v>#DIV/0!</v>
      </c>
      <c r="F72" s="148">
        <f>FREQUENCY('Grille de saisie'!$CK$3:$CK$602,C72)</f>
        <v>0</v>
      </c>
      <c r="G72" s="267" t="e">
        <f>E72+E71</f>
        <v>#DIV/0!</v>
      </c>
    </row>
    <row r="73" spans="1:7" s="127" customFormat="1">
      <c r="A73" s="153"/>
      <c r="B73" s="281" t="s">
        <v>630</v>
      </c>
      <c r="C73" s="210">
        <v>3</v>
      </c>
      <c r="D73" s="148">
        <f>F73-F72</f>
        <v>0</v>
      </c>
      <c r="E73" s="213" t="e">
        <f t="shared" si="12"/>
        <v>#DIV/0!</v>
      </c>
      <c r="F73" s="148">
        <f>FREQUENCY('Grille de saisie'!$CK$3:$CK$602,C73)</f>
        <v>0</v>
      </c>
      <c r="G73" s="267" t="e">
        <f>E73+E72+E71</f>
        <v>#DIV/0!</v>
      </c>
    </row>
    <row r="74" spans="1:7" s="127" customFormat="1">
      <c r="A74" s="146"/>
      <c r="B74" s="281" t="s">
        <v>631</v>
      </c>
      <c r="C74" s="210">
        <v>4</v>
      </c>
      <c r="D74" s="148">
        <f>F74-F73</f>
        <v>0</v>
      </c>
      <c r="E74" s="213" t="e">
        <f t="shared" si="12"/>
        <v>#DIV/0!</v>
      </c>
      <c r="F74" s="148">
        <f>FREQUENCY('Grille de saisie'!$CK$3:$CK$602,C74)</f>
        <v>0</v>
      </c>
      <c r="G74" s="267" t="e">
        <f>E74+E73+E72+E71</f>
        <v>#DIV/0!</v>
      </c>
    </row>
    <row r="75" spans="1:7" s="127" customFormat="1">
      <c r="A75" s="187"/>
      <c r="B75" s="155"/>
      <c r="C75" s="205"/>
      <c r="D75" s="157"/>
      <c r="E75" s="197"/>
      <c r="F75" s="157"/>
      <c r="G75" s="158"/>
    </row>
    <row r="76" spans="1:7" s="150" customFormat="1">
      <c r="A76" s="183" t="s">
        <v>91</v>
      </c>
      <c r="B76" s="170"/>
      <c r="C76" s="192"/>
      <c r="D76" s="149"/>
      <c r="E76" s="184"/>
      <c r="F76" s="149"/>
      <c r="G76" s="149"/>
    </row>
    <row r="77" spans="1:7" s="150" customFormat="1">
      <c r="A77" s="146" t="s">
        <v>92</v>
      </c>
      <c r="B77" s="146" t="s">
        <v>98</v>
      </c>
      <c r="C77" s="192">
        <v>1</v>
      </c>
      <c r="D77" s="148">
        <f>F77</f>
        <v>0</v>
      </c>
      <c r="E77" s="212" t="e">
        <f>D77/F78</f>
        <v>#DIV/0!</v>
      </c>
      <c r="F77" s="148">
        <f>FREQUENCY('Grille de saisie'!$CQ$3:$CQ$602,C77)</f>
        <v>0</v>
      </c>
      <c r="G77" s="267" t="e">
        <f>E77</f>
        <v>#DIV/0!</v>
      </c>
    </row>
    <row r="78" spans="1:7" s="150" customFormat="1">
      <c r="A78" s="155" t="s">
        <v>93</v>
      </c>
      <c r="B78" s="187" t="s">
        <v>97</v>
      </c>
      <c r="C78" s="205">
        <v>2</v>
      </c>
      <c r="D78" s="157">
        <f>F78-F77</f>
        <v>0</v>
      </c>
      <c r="E78" s="214" t="e">
        <f>D78/F78</f>
        <v>#DIV/0!</v>
      </c>
      <c r="F78" s="148">
        <f>FREQUENCY('Grille de saisie'!$CQ$3:$CQ$602,C78)</f>
        <v>0</v>
      </c>
      <c r="G78" s="158" t="e">
        <f>E78+E77</f>
        <v>#DIV/0!</v>
      </c>
    </row>
    <row r="79" spans="1:7" s="150" customFormat="1">
      <c r="A79" s="183" t="s">
        <v>94</v>
      </c>
      <c r="C79" s="175"/>
      <c r="D79" s="184"/>
      <c r="E79" s="149"/>
      <c r="F79" s="149"/>
      <c r="G79" s="149"/>
    </row>
    <row r="80" spans="1:7" s="150" customFormat="1">
      <c r="A80" s="153" t="s">
        <v>95</v>
      </c>
      <c r="B80" s="127" t="s">
        <v>96</v>
      </c>
      <c r="C80" s="268">
        <v>1</v>
      </c>
      <c r="D80" s="194">
        <f>F80</f>
        <v>0</v>
      </c>
      <c r="E80" s="267" t="e">
        <f>D80/F81</f>
        <v>#DIV/0!</v>
      </c>
      <c r="F80" s="184">
        <f>FREQUENCY('Grille de saisie'!$CO$3:$CO$602,C80)</f>
        <v>0</v>
      </c>
      <c r="G80" s="267" t="e">
        <f>E80</f>
        <v>#DIV/0!</v>
      </c>
    </row>
    <row r="81" spans="1:7" s="150" customFormat="1">
      <c r="A81" s="223"/>
      <c r="B81" s="282" t="s">
        <v>956</v>
      </c>
      <c r="C81" s="205">
        <v>2</v>
      </c>
      <c r="D81" s="157">
        <f>F81-F80</f>
        <v>0</v>
      </c>
      <c r="E81" s="158" t="e">
        <f>D81/F81</f>
        <v>#DIV/0!</v>
      </c>
      <c r="F81" s="184">
        <f>FREQUENCY('Grille de saisie'!$CO$3:$CO$602,C81)</f>
        <v>0</v>
      </c>
      <c r="G81" s="158" t="e">
        <f>E81+E80</f>
        <v>#DIV/0!</v>
      </c>
    </row>
    <row r="82" spans="1:7" s="150" customFormat="1">
      <c r="A82" s="174" t="s">
        <v>99</v>
      </c>
      <c r="B82" s="170"/>
      <c r="C82" s="192"/>
      <c r="D82" s="149"/>
      <c r="E82" s="184"/>
      <c r="F82" s="149"/>
      <c r="G82" s="149"/>
    </row>
    <row r="83" spans="1:7" s="150" customFormat="1">
      <c r="A83" s="127" t="s">
        <v>100</v>
      </c>
      <c r="B83" s="146" t="s">
        <v>105</v>
      </c>
      <c r="C83" s="192">
        <v>1</v>
      </c>
      <c r="D83" s="148">
        <f>F83</f>
        <v>0</v>
      </c>
      <c r="E83" s="212" t="e">
        <f>D83/$F$86</f>
        <v>#DIV/0!</v>
      </c>
      <c r="F83" s="148">
        <f>FREQUENCY('Grille de saisie'!$CP$3:$CP$602,C83)</f>
        <v>0</v>
      </c>
      <c r="G83" s="267" t="e">
        <f>E83</f>
        <v>#DIV/0!</v>
      </c>
    </row>
    <row r="84" spans="1:7" s="150" customFormat="1">
      <c r="A84" s="186" t="s">
        <v>93</v>
      </c>
      <c r="B84" s="146" t="s">
        <v>106</v>
      </c>
      <c r="C84" s="192">
        <v>2</v>
      </c>
      <c r="D84" s="148">
        <f>F84-F83</f>
        <v>0</v>
      </c>
      <c r="E84" s="212" t="e">
        <f t="shared" ref="E84:E86" si="13">D84/$F$86</f>
        <v>#DIV/0!</v>
      </c>
      <c r="F84" s="148">
        <f>FREQUENCY('Grille de saisie'!$CP$3:$CP$602,C84)</f>
        <v>0</v>
      </c>
      <c r="G84" s="267" t="e">
        <f>E84+E83</f>
        <v>#DIV/0!</v>
      </c>
    </row>
    <row r="85" spans="1:7" s="150" customFormat="1">
      <c r="A85" s="127"/>
      <c r="B85" s="146" t="s">
        <v>107</v>
      </c>
      <c r="C85" s="192">
        <v>3</v>
      </c>
      <c r="D85" s="148">
        <f>F85-F84</f>
        <v>0</v>
      </c>
      <c r="E85" s="212" t="e">
        <f t="shared" si="13"/>
        <v>#DIV/0!</v>
      </c>
      <c r="F85" s="148">
        <f>FREQUENCY('Grille de saisie'!$CP$3:$CP$602,C85)</f>
        <v>0</v>
      </c>
      <c r="G85" s="267" t="e">
        <f>E85+E84+E83</f>
        <v>#DIV/0!</v>
      </c>
    </row>
    <row r="86" spans="1:7" s="150" customFormat="1">
      <c r="A86" s="191"/>
      <c r="B86" s="187" t="s">
        <v>108</v>
      </c>
      <c r="C86" s="205">
        <v>4</v>
      </c>
      <c r="D86" s="157">
        <f>F86-F85</f>
        <v>0</v>
      </c>
      <c r="E86" s="212" t="e">
        <f t="shared" si="13"/>
        <v>#DIV/0!</v>
      </c>
      <c r="F86" s="148">
        <f>FREQUENCY('Grille de saisie'!$CP$3:$CP$602,C86)</f>
        <v>0</v>
      </c>
      <c r="G86" s="158" t="e">
        <f>E86+E85+E84+E83</f>
        <v>#DIV/0!</v>
      </c>
    </row>
    <row r="87" spans="1:7">
      <c r="E87" s="388"/>
      <c r="F87" s="388"/>
    </row>
  </sheetData>
  <sheetProtection password="EF72" sheet="1" objects="1" scenarios="1"/>
  <mergeCells count="7">
    <mergeCell ref="E1:E2"/>
    <mergeCell ref="F1:F2"/>
    <mergeCell ref="G1:G2"/>
    <mergeCell ref="A1:A2"/>
    <mergeCell ref="B1:B2"/>
    <mergeCell ref="C1:C2"/>
    <mergeCell ref="D1:D2"/>
  </mergeCells>
  <phoneticPr fontId="9" type="noConversion"/>
  <pageMargins left="0.78740157480314965" right="0.78740157480314965" top="1.1811023622047245" bottom="0.98425196850393704" header="0.51181102362204722" footer="0.51181102362204722"/>
  <pageSetup scale="61" orientation="portrait" r:id="rId1"/>
  <headerFooter alignWithMargins="0">
    <oddHeader>&amp;L
[Lieu, année]&amp;C&amp;"Arial,Gras"&amp;11Description de la population à l'étude</oddHeader>
    <oddFooter xml:space="preserve">&amp;LSource : Inscrire le nom de l'enquête
</oddFooter>
  </headerFooter>
  <rowBreaks count="1" manualBreakCount="1">
    <brk id="138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>
  <sheetPr codeName="Feuil33" enableFormatConditionsCalculation="0">
    <tabColor indexed="11"/>
  </sheetPr>
  <dimension ref="A1:M325"/>
  <sheetViews>
    <sheetView view="pageBreakPreview" topLeftCell="A164" zoomScale="90" zoomScaleSheetLayoutView="90" workbookViewId="0">
      <selection activeCell="A190" sqref="A190:E190"/>
    </sheetView>
  </sheetViews>
  <sheetFormatPr baseColWidth="10" defaultRowHeight="14.25"/>
  <cols>
    <col min="1" max="1" width="28.28515625" style="9" customWidth="1"/>
    <col min="2" max="4" width="7.7109375" style="9" customWidth="1"/>
    <col min="5" max="5" width="8.7109375" style="9" customWidth="1"/>
    <col min="6" max="6" width="5" style="9" customWidth="1"/>
    <col min="7" max="7" width="28.28515625" style="9" customWidth="1"/>
    <col min="8" max="12" width="7.7109375" style="9" customWidth="1"/>
    <col min="13" max="13" width="9" style="45" customWidth="1"/>
    <col min="14" max="16384" width="11.42578125" style="9"/>
  </cols>
  <sheetData>
    <row r="1" spans="1:13" ht="14.25" customHeight="1">
      <c r="A1" s="613" t="s">
        <v>635</v>
      </c>
      <c r="B1" s="617"/>
      <c r="C1" s="617"/>
      <c r="D1" s="617"/>
      <c r="E1" s="617"/>
      <c r="F1" s="442"/>
      <c r="G1" s="452" t="s">
        <v>725</v>
      </c>
      <c r="H1" s="89"/>
      <c r="I1" s="89"/>
      <c r="J1" s="89"/>
      <c r="K1" s="89"/>
      <c r="L1" s="17"/>
      <c r="M1" s="33"/>
    </row>
    <row r="2" spans="1:13" ht="14.25" customHeight="1">
      <c r="A2" s="613" t="s">
        <v>636</v>
      </c>
      <c r="B2" s="617"/>
      <c r="C2" s="617"/>
      <c r="D2" s="617"/>
      <c r="E2" s="617"/>
      <c r="F2" s="442"/>
      <c r="G2" s="453" t="s">
        <v>636</v>
      </c>
      <c r="H2" s="89"/>
      <c r="I2" s="89"/>
      <c r="J2" s="89"/>
      <c r="K2" s="89"/>
      <c r="L2" s="17"/>
      <c r="M2" s="33"/>
    </row>
    <row r="3" spans="1:13">
      <c r="A3" s="593"/>
      <c r="B3" s="595" t="s">
        <v>102</v>
      </c>
      <c r="C3" s="596"/>
      <c r="D3" s="595" t="s">
        <v>55</v>
      </c>
      <c r="E3" s="596"/>
      <c r="F3" s="11"/>
      <c r="G3" s="593"/>
      <c r="H3" s="595" t="s">
        <v>102</v>
      </c>
      <c r="I3" s="596"/>
      <c r="J3" s="595" t="s">
        <v>55</v>
      </c>
      <c r="K3" s="596"/>
      <c r="L3" s="612"/>
      <c r="M3" s="612"/>
    </row>
    <row r="4" spans="1:13">
      <c r="A4" s="594"/>
      <c r="B4" s="12" t="s">
        <v>103</v>
      </c>
      <c r="C4" s="12" t="s">
        <v>104</v>
      </c>
      <c r="D4" s="451" t="s">
        <v>103</v>
      </c>
      <c r="E4" s="14" t="s">
        <v>104</v>
      </c>
      <c r="F4" s="11"/>
      <c r="G4" s="594"/>
      <c r="H4" s="14" t="s">
        <v>103</v>
      </c>
      <c r="I4" s="14" t="s">
        <v>104</v>
      </c>
      <c r="J4" s="441" t="s">
        <v>103</v>
      </c>
      <c r="K4" s="14" t="s">
        <v>104</v>
      </c>
      <c r="L4" s="443"/>
      <c r="M4" s="443"/>
    </row>
    <row r="5" spans="1:13">
      <c r="A5" s="15" t="s">
        <v>1</v>
      </c>
      <c r="B5" s="14">
        <f>GETPIVOTDATA("Répondant",Croisements!$A$4,"Question E1",1,"Question 30",1)</f>
        <v>1</v>
      </c>
      <c r="C5" s="16">
        <f>B5/$B$8</f>
        <v>0.14285714285714285</v>
      </c>
      <c r="D5" s="14">
        <f>GETPIVOTDATA("Répondant",Croisements!$A$4,"Question E1",1,"Question 30",2)</f>
        <v>2</v>
      </c>
      <c r="E5" s="16">
        <f>D5/$D$8</f>
        <v>0.15384615384615385</v>
      </c>
      <c r="F5" s="11"/>
      <c r="G5" s="19" t="s">
        <v>71</v>
      </c>
      <c r="H5" s="14">
        <f>GETPIVOTDATA("Répondant",Croisements!$A$25,"Question 1",1,"Question 30",1)+GETPIVOTDATA("Répondant",Croisements!$A$25,"Question 1",2,"Question 30",1)</f>
        <v>3</v>
      </c>
      <c r="I5" s="16">
        <f>H5/$H$7</f>
        <v>0.42857142857142855</v>
      </c>
      <c r="J5" s="14">
        <f>GETPIVOTDATA("Répondant",Croisements!$A$25,"Question 1",1,"Question 30",2)+GETPIVOTDATA("Répondant",Croisements!$A$25,"Question 1",2,"Question 30",2)</f>
        <v>8</v>
      </c>
      <c r="K5" s="16">
        <f>J5/J7</f>
        <v>0.61538461538461542</v>
      </c>
      <c r="L5" s="447"/>
      <c r="M5" s="448"/>
    </row>
    <row r="6" spans="1:13">
      <c r="A6" s="32" t="s">
        <v>935</v>
      </c>
      <c r="B6" s="14">
        <f>GETPIVOTDATA("Répondant",Croisements!$A$4,"Question E1",2,"Question 30",1)</f>
        <v>5</v>
      </c>
      <c r="C6" s="16">
        <f t="shared" ref="C6:C7" si="0">B6/$B$8</f>
        <v>0.7142857142857143</v>
      </c>
      <c r="D6" s="14">
        <f>GETPIVOTDATA("Répondant",Croisements!$A$4,"Question E1",2,"Question 30",2)</f>
        <v>6</v>
      </c>
      <c r="E6" s="16">
        <f t="shared" ref="E6:E7" si="1">D6/$D$8</f>
        <v>0.46153846153846156</v>
      </c>
      <c r="F6" s="11"/>
      <c r="G6" s="36" t="s">
        <v>72</v>
      </c>
      <c r="H6" s="14">
        <f>GETPIVOTDATA("Répondant",Croisements!$A$25,"Question 1",3,"Question 30",1)+GETPIVOTDATA("Répondant",Croisements!$A$25,"Question 1",4,"Question 30",1)</f>
        <v>4</v>
      </c>
      <c r="I6" s="16">
        <f>H6/$H$7</f>
        <v>0.5714285714285714</v>
      </c>
      <c r="J6" s="14">
        <f>GETPIVOTDATA("Répondant",Croisements!$A$25,"Question 1",3,"Question 30",2)+GETPIVOTDATA("Répondant",Croisements!$A$25,"Question 1",4,"Question 30",2)</f>
        <v>5</v>
      </c>
      <c r="K6" s="16">
        <f>J6/J7</f>
        <v>0.38461538461538464</v>
      </c>
      <c r="L6" s="447"/>
      <c r="M6" s="448"/>
    </row>
    <row r="7" spans="1:13">
      <c r="A7" s="15" t="s">
        <v>2</v>
      </c>
      <c r="B7" s="14">
        <f>GETPIVOTDATA("Répondant",Croisements!$A$4,"Question E1",3,"Question 30",1)</f>
        <v>1</v>
      </c>
      <c r="C7" s="16">
        <f t="shared" si="0"/>
        <v>0.14285714285714285</v>
      </c>
      <c r="D7" s="14">
        <f>GETPIVOTDATA("Répondant",Croisements!$A$4,"Question E1",3,"Question 30",2)</f>
        <v>5</v>
      </c>
      <c r="E7" s="16">
        <f t="shared" si="1"/>
        <v>0.38461538461538464</v>
      </c>
      <c r="F7" s="11"/>
      <c r="G7" s="46" t="s">
        <v>345</v>
      </c>
      <c r="H7" s="371">
        <f>H5+H6</f>
        <v>7</v>
      </c>
      <c r="I7" s="446">
        <f>I5+I6</f>
        <v>1</v>
      </c>
      <c r="J7" s="371">
        <f>J5+J6</f>
        <v>13</v>
      </c>
      <c r="K7" s="446">
        <f>K5+K6</f>
        <v>1</v>
      </c>
      <c r="L7" s="447"/>
      <c r="M7" s="448"/>
    </row>
    <row r="8" spans="1:13">
      <c r="A8" s="46" t="s">
        <v>345</v>
      </c>
      <c r="B8" s="47">
        <f>B5+B6+B7</f>
        <v>7</v>
      </c>
      <c r="C8" s="16">
        <f>C5+C6+C7</f>
        <v>1</v>
      </c>
      <c r="D8" s="47">
        <f>D5+D6+D7</f>
        <v>13</v>
      </c>
      <c r="E8" s="16">
        <f>E5+E6+E7</f>
        <v>1</v>
      </c>
      <c r="F8" s="91"/>
      <c r="G8" s="52"/>
      <c r="H8" s="447"/>
      <c r="I8" s="448"/>
      <c r="J8" s="447"/>
      <c r="K8" s="448"/>
      <c r="L8" s="33"/>
      <c r="M8" s="33"/>
    </row>
    <row r="9" spans="1:13">
      <c r="A9" s="52" t="s">
        <v>349</v>
      </c>
      <c r="B9" s="90" t="str">
        <f>'Khi2'!N6</f>
        <v>0.23*</v>
      </c>
      <c r="C9" s="35"/>
      <c r="D9" s="90"/>
      <c r="E9" s="35"/>
      <c r="F9" s="11"/>
      <c r="G9" s="52" t="s">
        <v>349</v>
      </c>
      <c r="H9" s="443" t="str">
        <f>'Khi2'!N25</f>
        <v>0.42*</v>
      </c>
      <c r="I9" s="35"/>
      <c r="J9" s="443"/>
      <c r="K9" s="35"/>
      <c r="L9" s="33"/>
      <c r="M9" s="33"/>
    </row>
    <row r="10" spans="1:13">
      <c r="A10" s="52"/>
      <c r="B10" s="90"/>
      <c r="C10" s="35"/>
      <c r="D10" s="90"/>
      <c r="E10" s="35"/>
      <c r="F10" s="11"/>
      <c r="G10" s="33"/>
      <c r="H10" s="33"/>
      <c r="I10" s="35"/>
      <c r="J10" s="443"/>
      <c r="K10" s="35"/>
      <c r="L10" s="33"/>
      <c r="M10" s="33"/>
    </row>
    <row r="11" spans="1:13">
      <c r="A11" s="590" t="s">
        <v>726</v>
      </c>
      <c r="B11" s="605"/>
      <c r="C11" s="605"/>
      <c r="D11" s="605"/>
      <c r="E11" s="605"/>
      <c r="F11" s="11"/>
      <c r="G11" s="589" t="s">
        <v>865</v>
      </c>
      <c r="H11" s="589"/>
      <c r="I11" s="589"/>
      <c r="J11" s="589"/>
      <c r="K11" s="589"/>
      <c r="L11" s="589"/>
      <c r="M11" s="469"/>
    </row>
    <row r="12" spans="1:13">
      <c r="A12" s="590" t="s">
        <v>446</v>
      </c>
      <c r="B12" s="605"/>
      <c r="C12" s="605"/>
      <c r="D12" s="605"/>
      <c r="E12" s="605"/>
      <c r="F12" s="11"/>
      <c r="G12" s="52" t="s">
        <v>866</v>
      </c>
      <c r="H12" s="443"/>
      <c r="I12" s="35"/>
      <c r="J12" s="443"/>
      <c r="K12" s="35"/>
      <c r="L12" s="33"/>
      <c r="M12" s="33"/>
    </row>
    <row r="13" spans="1:13">
      <c r="A13" s="609" t="s">
        <v>636</v>
      </c>
      <c r="B13" s="610"/>
      <c r="C13" s="610"/>
      <c r="D13" s="610"/>
      <c r="E13" s="610"/>
      <c r="F13" s="11"/>
      <c r="G13" s="627" t="s">
        <v>636</v>
      </c>
      <c r="H13" s="628"/>
      <c r="I13" s="628"/>
      <c r="J13" s="628"/>
      <c r="K13" s="628"/>
      <c r="L13" s="33"/>
      <c r="M13" s="33"/>
    </row>
    <row r="14" spans="1:13" ht="14.25" customHeight="1">
      <c r="A14" s="593"/>
      <c r="B14" s="595" t="s">
        <v>102</v>
      </c>
      <c r="C14" s="596"/>
      <c r="D14" s="595" t="s">
        <v>55</v>
      </c>
      <c r="E14" s="596"/>
      <c r="F14" s="11"/>
      <c r="G14" s="359"/>
      <c r="H14" s="595" t="s">
        <v>102</v>
      </c>
      <c r="I14" s="596"/>
      <c r="J14" s="595" t="s">
        <v>55</v>
      </c>
      <c r="K14" s="596"/>
      <c r="L14" s="626"/>
      <c r="M14" s="626"/>
    </row>
    <row r="15" spans="1:13">
      <c r="A15" s="594"/>
      <c r="B15" s="14" t="s">
        <v>103</v>
      </c>
      <c r="C15" s="14" t="s">
        <v>104</v>
      </c>
      <c r="D15" s="10" t="s">
        <v>103</v>
      </c>
      <c r="E15" s="14" t="s">
        <v>104</v>
      </c>
      <c r="F15" s="11"/>
      <c r="G15" s="358"/>
      <c r="H15" s="14" t="s">
        <v>103</v>
      </c>
      <c r="I15" s="14" t="s">
        <v>104</v>
      </c>
      <c r="J15" s="441" t="s">
        <v>103</v>
      </c>
      <c r="K15" s="14" t="s">
        <v>104</v>
      </c>
      <c r="L15" s="443"/>
      <c r="M15" s="443"/>
    </row>
    <row r="16" spans="1:13">
      <c r="A16" s="40" t="s">
        <v>3</v>
      </c>
      <c r="B16" s="14">
        <f>GETPIVOTDATA("Répondant",Croisements!$A$35,"Question 2",1,"Question 30",1)</f>
        <v>3</v>
      </c>
      <c r="C16" s="16">
        <f>B16/$B$19</f>
        <v>0.42857142857142855</v>
      </c>
      <c r="D16" s="14">
        <f>GETPIVOTDATA("Répondant",Croisements!$A$35,"Question 2",1,"Question 30",2)</f>
        <v>3</v>
      </c>
      <c r="E16" s="16">
        <f>D16/$D$19</f>
        <v>0.3</v>
      </c>
      <c r="F16" s="11"/>
      <c r="G16" s="18" t="s">
        <v>75</v>
      </c>
      <c r="H16" s="14">
        <f>GETPIVOTDATA("Répondant",Croisements!$A$46,"Question 4",1,"Question 30",1)+GETPIVOTDATA("Répondant",Croisements!$A$46,"Question 4",2,"Question 30",1)</f>
        <v>5</v>
      </c>
      <c r="I16" s="16">
        <f>H16/H18</f>
        <v>0.7142857142857143</v>
      </c>
      <c r="J16" s="14">
        <f>GETPIVOTDATA("Répondant",Croisements!$A$46,"Question 4",1,"Question 30",2)+GETPIVOTDATA("Répondant",Croisements!$A$46,"Question 4",2,"Question 30",2)</f>
        <v>6</v>
      </c>
      <c r="K16" s="16">
        <f>J16/J18</f>
        <v>0.46153846153846156</v>
      </c>
      <c r="L16" s="447"/>
      <c r="M16" s="448"/>
    </row>
    <row r="17" spans="1:13">
      <c r="A17" s="41" t="s">
        <v>4</v>
      </c>
      <c r="B17" s="14">
        <f>GETPIVOTDATA("Répondant",Croisements!$A$35,"Question 2",2,"Question 30",1)</f>
        <v>2</v>
      </c>
      <c r="C17" s="16">
        <f t="shared" ref="C17:C18" si="2">B17/$B$19</f>
        <v>0.2857142857142857</v>
      </c>
      <c r="D17" s="14">
        <f>GETPIVOTDATA("Répondant",Croisements!$A$35,"Question 2",2,"Question 30",2)</f>
        <v>5</v>
      </c>
      <c r="E17" s="16">
        <f t="shared" ref="E17:E18" si="3">D17/$D$19</f>
        <v>0.5</v>
      </c>
      <c r="F17" s="11"/>
      <c r="G17" s="18" t="s">
        <v>76</v>
      </c>
      <c r="H17" s="14">
        <f>GETPIVOTDATA("Répondant",Croisements!$A$46,"Question 4",3,"Question 30",1)+GETPIVOTDATA("Répondant",Croisements!$A$46,"Question 4",4,"Question 30",1)</f>
        <v>2</v>
      </c>
      <c r="I17" s="16">
        <f>H17/H18</f>
        <v>0.2857142857142857</v>
      </c>
      <c r="J17" s="14">
        <f>GETPIVOTDATA("Répondant",Croisements!$A$46,"Question 4",3,"Question 30",2)+GETPIVOTDATA("Répondant",Croisements!$A$46,"Question 4",4,"Question 30",2)</f>
        <v>7</v>
      </c>
      <c r="K17" s="16">
        <f>J17/J18</f>
        <v>0.53846153846153844</v>
      </c>
      <c r="L17" s="447"/>
      <c r="M17" s="448"/>
    </row>
    <row r="18" spans="1:13">
      <c r="A18" s="42" t="s">
        <v>5</v>
      </c>
      <c r="B18" s="14">
        <f>GETPIVOTDATA("Répondant",Croisements!$A$35,"Question 2",3,"Question 30",1)</f>
        <v>2</v>
      </c>
      <c r="C18" s="16">
        <f t="shared" si="2"/>
        <v>0.2857142857142857</v>
      </c>
      <c r="D18" s="14">
        <f>GETPIVOTDATA("Répondant",Croisements!$A$35,"Question 2",3,"Question 30",2)</f>
        <v>2</v>
      </c>
      <c r="E18" s="16">
        <f t="shared" si="3"/>
        <v>0.2</v>
      </c>
      <c r="F18" s="11"/>
      <c r="G18" s="46" t="s">
        <v>345</v>
      </c>
      <c r="H18" s="47">
        <f>H16+H17</f>
        <v>7</v>
      </c>
      <c r="I18" s="449">
        <f>I16+I17</f>
        <v>1</v>
      </c>
      <c r="J18" s="47">
        <f>J16+J17</f>
        <v>13</v>
      </c>
      <c r="K18" s="449">
        <f>K16+K17</f>
        <v>1</v>
      </c>
      <c r="L18" s="33"/>
      <c r="M18" s="33"/>
    </row>
    <row r="19" spans="1:13">
      <c r="A19" s="46" t="s">
        <v>345</v>
      </c>
      <c r="B19" s="47">
        <f>B16+B17+B18</f>
        <v>7</v>
      </c>
      <c r="C19" s="450">
        <f>C16+C17+C18</f>
        <v>0.99999999999999989</v>
      </c>
      <c r="D19" s="47">
        <f>D16+D17+D18</f>
        <v>10</v>
      </c>
      <c r="E19" s="450">
        <f>E16+E17+E18</f>
        <v>1</v>
      </c>
      <c r="F19" s="11"/>
      <c r="G19" s="52"/>
      <c r="H19" s="443"/>
      <c r="I19" s="35"/>
      <c r="J19" s="443"/>
      <c r="K19" s="35"/>
      <c r="L19" s="33"/>
      <c r="M19" s="33"/>
    </row>
    <row r="20" spans="1:13">
      <c r="A20" s="52" t="s">
        <v>349</v>
      </c>
      <c r="B20" s="92" t="str">
        <f>'Khi2'!N33</f>
        <v>0.38*</v>
      </c>
      <c r="C20" s="45"/>
      <c r="D20" s="45"/>
      <c r="E20" s="45"/>
      <c r="F20" s="11"/>
      <c r="G20" s="52" t="s">
        <v>349</v>
      </c>
      <c r="H20" s="444" t="str">
        <f>'Khi2'!N42</f>
        <v>0.28*</v>
      </c>
      <c r="I20" s="35"/>
      <c r="J20" s="443"/>
      <c r="K20" s="35"/>
      <c r="L20" s="17"/>
      <c r="M20" s="33"/>
    </row>
    <row r="21" spans="1:13">
      <c r="A21" s="45"/>
      <c r="B21" s="45"/>
      <c r="C21" s="45"/>
      <c r="D21" s="45"/>
      <c r="E21" s="45"/>
      <c r="F21" s="11"/>
      <c r="G21" s="94"/>
      <c r="H21" s="443"/>
      <c r="I21" s="35"/>
      <c r="J21" s="443"/>
      <c r="K21" s="35"/>
      <c r="L21" s="11"/>
    </row>
    <row r="22" spans="1:13">
      <c r="A22" s="621" t="s">
        <v>727</v>
      </c>
      <c r="B22" s="644"/>
      <c r="C22" s="644"/>
      <c r="D22" s="644"/>
      <c r="E22" s="644"/>
      <c r="F22" s="11"/>
      <c r="G22" s="621" t="s">
        <v>728</v>
      </c>
      <c r="H22" s="621"/>
      <c r="I22" s="621"/>
      <c r="J22" s="621"/>
      <c r="K22" s="621"/>
      <c r="L22" s="11"/>
    </row>
    <row r="23" spans="1:13">
      <c r="A23" s="624" t="s">
        <v>447</v>
      </c>
      <c r="B23" s="625"/>
      <c r="C23" s="625"/>
      <c r="D23" s="625"/>
      <c r="E23" s="625"/>
      <c r="F23" s="11"/>
      <c r="G23" s="624" t="s">
        <v>447</v>
      </c>
      <c r="H23" s="624"/>
      <c r="I23" s="624"/>
      <c r="J23" s="624"/>
      <c r="K23" s="624"/>
      <c r="L23" s="11"/>
    </row>
    <row r="24" spans="1:13">
      <c r="A24" s="648" t="s">
        <v>863</v>
      </c>
      <c r="B24" s="649"/>
      <c r="C24" s="649"/>
      <c r="D24" s="649"/>
      <c r="E24" s="649"/>
      <c r="F24" s="11"/>
      <c r="G24" s="611" t="s">
        <v>867</v>
      </c>
      <c r="H24" s="611"/>
      <c r="I24" s="611"/>
      <c r="J24" s="611"/>
      <c r="K24" s="611"/>
      <c r="L24" s="611"/>
      <c r="M24" s="611"/>
    </row>
    <row r="25" spans="1:13">
      <c r="A25" s="609" t="s">
        <v>636</v>
      </c>
      <c r="B25" s="610"/>
      <c r="C25" s="610"/>
      <c r="D25" s="610"/>
      <c r="E25" s="610"/>
      <c r="F25" s="11"/>
      <c r="G25" s="609" t="s">
        <v>636</v>
      </c>
      <c r="H25" s="609"/>
      <c r="I25" s="609"/>
      <c r="J25" s="609"/>
      <c r="K25" s="609"/>
      <c r="L25" s="11"/>
    </row>
    <row r="26" spans="1:13" ht="14.25" customHeight="1">
      <c r="A26" s="598"/>
      <c r="B26" s="599" t="s">
        <v>102</v>
      </c>
      <c r="C26" s="600"/>
      <c r="D26" s="599" t="s">
        <v>55</v>
      </c>
      <c r="E26" s="600"/>
      <c r="F26" s="11"/>
      <c r="G26" s="593"/>
      <c r="H26" s="595" t="s">
        <v>102</v>
      </c>
      <c r="I26" s="596"/>
      <c r="J26" s="595" t="s">
        <v>55</v>
      </c>
      <c r="K26" s="596"/>
      <c r="L26" s="11"/>
    </row>
    <row r="27" spans="1:13">
      <c r="A27" s="594"/>
      <c r="B27" s="14" t="s">
        <v>103</v>
      </c>
      <c r="C27" s="14" t="s">
        <v>104</v>
      </c>
      <c r="D27" s="445" t="s">
        <v>103</v>
      </c>
      <c r="E27" s="14" t="s">
        <v>104</v>
      </c>
      <c r="F27" s="11"/>
      <c r="G27" s="594"/>
      <c r="H27" s="14" t="s">
        <v>103</v>
      </c>
      <c r="I27" s="14" t="s">
        <v>104</v>
      </c>
      <c r="J27" s="445" t="s">
        <v>103</v>
      </c>
      <c r="K27" s="14" t="s">
        <v>104</v>
      </c>
      <c r="L27" s="11"/>
    </row>
    <row r="28" spans="1:13">
      <c r="A28" s="32" t="s">
        <v>279</v>
      </c>
      <c r="B28" s="14">
        <f>GETPIVOTDATA("Répondant",Croisements!$A$57,"Question 5.1",1,"Question 30",1)+GETPIVOTDATA("Répondant",Croisements!$A$57,"Question 5.1",2,"Question 30",1)</f>
        <v>3</v>
      </c>
      <c r="C28" s="16">
        <f>B28/B30</f>
        <v>0.5</v>
      </c>
      <c r="D28" s="14">
        <f>GETPIVOTDATA("Répondant",Croisements!$A$57,"Question 5.1",1,"Question 30",2)+GETPIVOTDATA("Répondant",Croisements!$A$57,"Question 5.1",2,"Question 30",2)</f>
        <v>6</v>
      </c>
      <c r="E28" s="16">
        <f>D28/D30</f>
        <v>0.5</v>
      </c>
      <c r="F28" s="11"/>
      <c r="G28" s="32" t="s">
        <v>279</v>
      </c>
      <c r="H28" s="14">
        <f>GETPIVOTDATA("Répondant",Croisements!$A$68,"Question 5.2",1,"Question 30",1)+GETPIVOTDATA("Répondant",Croisements!$A$68,"Question 5.2",2,"Question 30",1)</f>
        <v>4</v>
      </c>
      <c r="I28" s="16">
        <f>H28/H30</f>
        <v>0.5714285714285714</v>
      </c>
      <c r="J28" s="14">
        <f>GETPIVOTDATA("Répondant",Croisements!$A$68,"Question 5.2",1,"Question 30",2)+GETPIVOTDATA("Répondant",Croisements!$A$68,"Question 5.2",2,"Question 30",2)</f>
        <v>4</v>
      </c>
      <c r="K28" s="16">
        <f>J28/J30</f>
        <v>0.8</v>
      </c>
      <c r="L28" s="11"/>
    </row>
    <row r="29" spans="1:13">
      <c r="A29" s="32" t="s">
        <v>280</v>
      </c>
      <c r="B29" s="14">
        <f>GETPIVOTDATA("Répondant",Croisements!$A$57,"Question 5.1",3,"Question 30",1)+GETPIVOTDATA("Répondant",Croisements!$A$57,"Question 5.1",4,"Question 30",1)</f>
        <v>3</v>
      </c>
      <c r="C29" s="16">
        <f>B29/B30</f>
        <v>0.5</v>
      </c>
      <c r="D29" s="14">
        <f>GETPIVOTDATA("Répondant",Croisements!$A$57,"Question 5.1",3,"Question 30",2)+GETPIVOTDATA("Répondant",Croisements!$A$57,"Question 5.1",4,"Question 30",2)</f>
        <v>6</v>
      </c>
      <c r="E29" s="16">
        <f>D29/D30</f>
        <v>0.5</v>
      </c>
      <c r="F29" s="11"/>
      <c r="G29" s="32" t="s">
        <v>280</v>
      </c>
      <c r="H29" s="14">
        <f>GETPIVOTDATA("Répondant",Croisements!$A$68,"Question 5.2",3,"Question 30",1)+GETPIVOTDATA("Répondant",Croisements!$A$68,"Question 5.2",4,"Question 30",1)</f>
        <v>3</v>
      </c>
      <c r="I29" s="16">
        <f>H29/H30</f>
        <v>0.42857142857142855</v>
      </c>
      <c r="J29" s="14">
        <f>GETPIVOTDATA("Répondant",Croisements!$A$68,"Question 5.2",3,"Question 30",2)+GETPIVOTDATA("Répondant",Croisements!$A$68,"Question 5.2",4,"Question 30",2)</f>
        <v>1</v>
      </c>
      <c r="K29" s="16">
        <f>J29/J30</f>
        <v>0.2</v>
      </c>
    </row>
    <row r="30" spans="1:13">
      <c r="A30" s="467" t="s">
        <v>864</v>
      </c>
      <c r="B30" s="361">
        <f>B28+B29</f>
        <v>6</v>
      </c>
      <c r="C30" s="468">
        <f>C28+C29</f>
        <v>1</v>
      </c>
      <c r="D30" s="361">
        <f>D28+D29</f>
        <v>12</v>
      </c>
      <c r="E30" s="468">
        <f>E28+E29</f>
        <v>1</v>
      </c>
      <c r="F30" s="17"/>
      <c r="G30" s="470" t="s">
        <v>345</v>
      </c>
      <c r="H30" s="472">
        <f>H28+H29</f>
        <v>7</v>
      </c>
      <c r="I30" s="473">
        <f>I28+I29</f>
        <v>1</v>
      </c>
      <c r="J30" s="472">
        <f>J28+J29</f>
        <v>5</v>
      </c>
      <c r="K30" s="471">
        <f>K28+K29</f>
        <v>1</v>
      </c>
      <c r="L30" s="33"/>
    </row>
    <row r="31" spans="1:13">
      <c r="A31" s="52" t="s">
        <v>349</v>
      </c>
      <c r="B31" s="444" t="str">
        <f>'Khi2'!N50</f>
        <v>1*</v>
      </c>
      <c r="C31" s="33"/>
      <c r="D31" s="33"/>
      <c r="E31" s="33"/>
      <c r="F31" s="11"/>
      <c r="G31" s="52" t="s">
        <v>349</v>
      </c>
      <c r="H31" s="444" t="str">
        <f>'Khi2'!N58</f>
        <v>0.41*</v>
      </c>
      <c r="I31" s="474"/>
      <c r="J31" s="474"/>
      <c r="K31" s="474"/>
      <c r="L31" s="33"/>
    </row>
    <row r="32" spans="1:13">
      <c r="A32" s="33"/>
      <c r="B32" s="33"/>
      <c r="C32" s="33"/>
      <c r="D32" s="33"/>
      <c r="E32" s="33"/>
      <c r="F32" s="11"/>
      <c r="G32" s="646"/>
      <c r="H32" s="647"/>
      <c r="I32" s="647"/>
      <c r="J32" s="647"/>
      <c r="K32" s="647"/>
      <c r="L32" s="33"/>
    </row>
    <row r="33" spans="1:12">
      <c r="A33" s="621" t="s">
        <v>729</v>
      </c>
      <c r="B33" s="644"/>
      <c r="C33" s="644"/>
      <c r="D33" s="644"/>
      <c r="E33" s="644"/>
      <c r="F33" s="11"/>
      <c r="G33" s="645" t="s">
        <v>730</v>
      </c>
      <c r="H33" s="645"/>
      <c r="I33" s="645"/>
      <c r="J33" s="645"/>
      <c r="K33" s="645"/>
      <c r="L33" s="33"/>
    </row>
    <row r="34" spans="1:12">
      <c r="A34" s="624" t="s">
        <v>447</v>
      </c>
      <c r="B34" s="625"/>
      <c r="C34" s="625"/>
      <c r="D34" s="625"/>
      <c r="E34" s="625"/>
      <c r="G34" s="618" t="s">
        <v>450</v>
      </c>
      <c r="H34" s="618"/>
      <c r="I34" s="618"/>
      <c r="J34" s="618"/>
      <c r="K34" s="618"/>
      <c r="L34" s="33"/>
    </row>
    <row r="35" spans="1:12">
      <c r="A35" s="619" t="s">
        <v>448</v>
      </c>
      <c r="B35" s="620"/>
      <c r="C35" s="620"/>
      <c r="D35" s="620"/>
      <c r="E35" s="620"/>
      <c r="F35" s="11"/>
      <c r="G35" s="618" t="s">
        <v>451</v>
      </c>
      <c r="H35" s="618"/>
      <c r="I35" s="618"/>
      <c r="J35" s="618"/>
      <c r="K35" s="618"/>
      <c r="L35" s="33"/>
    </row>
    <row r="36" spans="1:12">
      <c r="A36" s="618" t="s">
        <v>449</v>
      </c>
      <c r="B36" s="615"/>
      <c r="C36" s="615"/>
      <c r="D36" s="615"/>
      <c r="E36" s="615"/>
      <c r="F36" s="11"/>
      <c r="G36" s="320" t="s">
        <v>452</v>
      </c>
      <c r="H36" s="321"/>
      <c r="I36" s="321"/>
      <c r="J36" s="321"/>
      <c r="K36" s="321"/>
      <c r="L36" s="33"/>
    </row>
    <row r="37" spans="1:12">
      <c r="A37" s="609" t="s">
        <v>636</v>
      </c>
      <c r="B37" s="610"/>
      <c r="C37" s="610"/>
      <c r="D37" s="610"/>
      <c r="E37" s="610"/>
      <c r="F37" s="11"/>
      <c r="G37" s="609" t="s">
        <v>636</v>
      </c>
      <c r="H37" s="609"/>
      <c r="I37" s="609"/>
      <c r="J37" s="609"/>
      <c r="K37" s="609"/>
      <c r="L37" s="33"/>
    </row>
    <row r="38" spans="1:12" ht="14.25" customHeight="1">
      <c r="A38" s="598"/>
      <c r="B38" s="599" t="s">
        <v>102</v>
      </c>
      <c r="C38" s="600"/>
      <c r="D38" s="599" t="s">
        <v>55</v>
      </c>
      <c r="E38" s="600"/>
      <c r="F38" s="45"/>
      <c r="G38" s="598"/>
      <c r="H38" s="599" t="s">
        <v>102</v>
      </c>
      <c r="I38" s="600"/>
      <c r="J38" s="599" t="s">
        <v>55</v>
      </c>
      <c r="K38" s="600"/>
      <c r="L38" s="33"/>
    </row>
    <row r="39" spans="1:12">
      <c r="A39" s="594"/>
      <c r="B39" s="14" t="s">
        <v>103</v>
      </c>
      <c r="C39" s="14" t="s">
        <v>104</v>
      </c>
      <c r="D39" s="445" t="s">
        <v>103</v>
      </c>
      <c r="E39" s="14" t="s">
        <v>104</v>
      </c>
      <c r="F39" s="45"/>
      <c r="G39" s="594"/>
      <c r="H39" s="14" t="s">
        <v>103</v>
      </c>
      <c r="I39" s="14" t="s">
        <v>104</v>
      </c>
      <c r="J39" s="445" t="s">
        <v>103</v>
      </c>
      <c r="K39" s="14" t="s">
        <v>104</v>
      </c>
      <c r="L39" s="33"/>
    </row>
    <row r="40" spans="1:12">
      <c r="A40" s="32" t="s">
        <v>279</v>
      </c>
      <c r="B40" s="14">
        <f>GETPIVOTDATA("Répondant",Croisements!$A$79,"Question 5.3",1,"Question 30",1)+GETPIVOTDATA("Répondant",Croisements!$A$79,"Question 5.3",2,"Question 30",1)</f>
        <v>4</v>
      </c>
      <c r="C40" s="16">
        <f>B40/B42</f>
        <v>0.66666666666666663</v>
      </c>
      <c r="D40" s="14">
        <f>GETPIVOTDATA("Répondant",Croisements!$A$79,"Question 5.3",1,"Question 30",2)+GETPIVOTDATA("Répondant",Croisements!$A$79,"Question 5.3",2,"Question 30",2)</f>
        <v>5</v>
      </c>
      <c r="E40" s="16">
        <f>D40/D42</f>
        <v>0.7142857142857143</v>
      </c>
      <c r="F40" s="45"/>
      <c r="G40" s="32" t="s">
        <v>279</v>
      </c>
      <c r="H40" s="14">
        <f>GETPIVOTDATA("Répondant",Croisements!$A$90,"Question 6",1,"Question 30",1)+GETPIVOTDATA("Répondant",Croisements!$A$90,"Question 6",2,"Question 30",1)</f>
        <v>4</v>
      </c>
      <c r="I40" s="16">
        <f>H40/H42</f>
        <v>1</v>
      </c>
      <c r="J40" s="14">
        <f>GETPIVOTDATA("Répondant",Croisements!$A$90,"Question 6",1,"Question 30",2)+GETPIVOTDATA("Répondant",Croisements!$A$90,"Question 6",2,"Question 30",2)</f>
        <v>3</v>
      </c>
      <c r="K40" s="480">
        <f>J40/J42</f>
        <v>0.42857142857142855</v>
      </c>
      <c r="L40" s="45"/>
    </row>
    <row r="41" spans="1:12">
      <c r="A41" s="32" t="s">
        <v>280</v>
      </c>
      <c r="B41" s="14">
        <f>GETPIVOTDATA("Répondant",Croisements!$A$79,"Question 5.3",3,"Question 30",1)+GETPIVOTDATA("Répondant",Croisements!$A$79,"Question 5.3",4,"Question 30",1)</f>
        <v>2</v>
      </c>
      <c r="C41" s="16">
        <f>B41/B42</f>
        <v>0.33333333333333331</v>
      </c>
      <c r="D41" s="14">
        <f>GETPIVOTDATA("Répondant",Croisements!$A$79,"Question 5.3",3,"Question 30",2)+GETPIVOTDATA("Répondant",Croisements!$A$79,"Question 5.3",4,"Question 30",2)</f>
        <v>2</v>
      </c>
      <c r="E41" s="16">
        <f>D41/D42</f>
        <v>0.2857142857142857</v>
      </c>
      <c r="F41" s="11"/>
      <c r="G41" s="32" t="s">
        <v>280</v>
      </c>
      <c r="H41" s="14">
        <f>GETPIVOTDATA("Répondant",Croisements!$A$90,"Question 6",3,"Question 30",1)+GETPIVOTDATA("Répondant",Croisements!$A$90,"Question 6",4,"Question 30",1)</f>
        <v>0</v>
      </c>
      <c r="I41" s="16">
        <f>H41/H42</f>
        <v>0</v>
      </c>
      <c r="J41" s="14">
        <f>GETPIVOTDATA("Répondant",Croisements!$A$90,"Question 6",3,"Question 30",2)+GETPIVOTDATA("Répondant",Croisements!$A$90,"Question 6",4,"Question 30",2)</f>
        <v>4</v>
      </c>
      <c r="K41" s="16">
        <f>J41/J42</f>
        <v>0.5714285714285714</v>
      </c>
      <c r="L41" s="45"/>
    </row>
    <row r="42" spans="1:12">
      <c r="A42" s="32" t="s">
        <v>345</v>
      </c>
      <c r="B42" s="14">
        <f>B40+B41</f>
        <v>6</v>
      </c>
      <c r="C42" s="478">
        <f>C40+C41</f>
        <v>1</v>
      </c>
      <c r="D42" s="477">
        <f>D40+D41</f>
        <v>7</v>
      </c>
      <c r="E42" s="478">
        <f>E40+E41</f>
        <v>1</v>
      </c>
      <c r="F42" s="11"/>
      <c r="G42" s="476" t="s">
        <v>345</v>
      </c>
      <c r="H42" s="472">
        <f>H40+H41</f>
        <v>4</v>
      </c>
      <c r="I42" s="473">
        <f>I40+I41</f>
        <v>1</v>
      </c>
      <c r="J42" s="472">
        <f>J40+J41</f>
        <v>7</v>
      </c>
      <c r="K42" s="473">
        <f>K40+K41</f>
        <v>1</v>
      </c>
      <c r="L42" s="45"/>
    </row>
    <row r="43" spans="1:12">
      <c r="A43" s="52" t="s">
        <v>349</v>
      </c>
      <c r="B43" s="444" t="str">
        <f>'Khi2'!N66</f>
        <v>0.85*</v>
      </c>
      <c r="C43" s="475"/>
      <c r="D43" s="475"/>
      <c r="E43" s="475"/>
      <c r="F43" s="11"/>
      <c r="G43" s="52" t="s">
        <v>349</v>
      </c>
      <c r="H43" s="455" t="str">
        <f>'Khi2'!N74</f>
        <v>0.06*</v>
      </c>
      <c r="I43" s="482"/>
      <c r="J43" s="482"/>
      <c r="K43" s="482"/>
      <c r="L43" s="45"/>
    </row>
    <row r="44" spans="1:12">
      <c r="A44" s="630"/>
      <c r="B44" s="630"/>
      <c r="C44" s="630"/>
      <c r="D44" s="630"/>
      <c r="E44" s="630"/>
      <c r="F44" s="11"/>
      <c r="G44" s="630"/>
      <c r="H44" s="631"/>
      <c r="I44" s="631"/>
      <c r="J44" s="631"/>
      <c r="K44" s="631"/>
      <c r="L44" s="45"/>
    </row>
    <row r="45" spans="1:12">
      <c r="A45" s="590" t="s">
        <v>731</v>
      </c>
      <c r="B45" s="605"/>
      <c r="C45" s="605"/>
      <c r="D45" s="605"/>
      <c r="E45" s="605"/>
      <c r="F45" s="11"/>
      <c r="G45" s="590" t="s">
        <v>732</v>
      </c>
      <c r="H45" s="590"/>
      <c r="I45" s="590"/>
      <c r="J45" s="590"/>
      <c r="K45" s="590"/>
      <c r="L45" s="45"/>
    </row>
    <row r="46" spans="1:12">
      <c r="A46" s="619" t="s">
        <v>453</v>
      </c>
      <c r="B46" s="620"/>
      <c r="C46" s="620"/>
      <c r="D46" s="620"/>
      <c r="E46" s="620"/>
      <c r="F46" s="11"/>
      <c r="G46" s="618" t="s">
        <v>286</v>
      </c>
      <c r="H46" s="618"/>
      <c r="I46" s="618"/>
      <c r="J46" s="618"/>
      <c r="K46" s="618"/>
      <c r="L46" s="45"/>
    </row>
    <row r="47" spans="1:12">
      <c r="A47" s="609" t="s">
        <v>636</v>
      </c>
      <c r="B47" s="610"/>
      <c r="C47" s="610"/>
      <c r="D47" s="610"/>
      <c r="E47" s="610"/>
      <c r="F47" s="11"/>
      <c r="G47" s="609" t="s">
        <v>636</v>
      </c>
      <c r="H47" s="609"/>
      <c r="I47" s="609"/>
      <c r="J47" s="609"/>
      <c r="K47" s="609"/>
      <c r="L47" s="45"/>
    </row>
    <row r="48" spans="1:12">
      <c r="A48" s="598"/>
      <c r="B48" s="599" t="s">
        <v>102</v>
      </c>
      <c r="C48" s="600"/>
      <c r="D48" s="599" t="s">
        <v>55</v>
      </c>
      <c r="E48" s="600"/>
      <c r="F48" s="11"/>
      <c r="G48" s="598"/>
      <c r="H48" s="599" t="s">
        <v>102</v>
      </c>
      <c r="I48" s="600"/>
      <c r="J48" s="599" t="s">
        <v>55</v>
      </c>
      <c r="K48" s="600"/>
      <c r="L48" s="45"/>
    </row>
    <row r="49" spans="1:12">
      <c r="A49" s="594"/>
      <c r="B49" s="14" t="s">
        <v>103</v>
      </c>
      <c r="C49" s="14" t="s">
        <v>104</v>
      </c>
      <c r="D49" s="461" t="s">
        <v>103</v>
      </c>
      <c r="E49" s="14" t="s">
        <v>104</v>
      </c>
      <c r="F49" s="11"/>
      <c r="G49" s="594"/>
      <c r="H49" s="14" t="s">
        <v>103</v>
      </c>
      <c r="I49" s="14" t="s">
        <v>104</v>
      </c>
      <c r="J49" s="461" t="s">
        <v>103</v>
      </c>
      <c r="K49" s="14" t="s">
        <v>104</v>
      </c>
      <c r="L49" s="45"/>
    </row>
    <row r="50" spans="1:12">
      <c r="A50" s="49" t="s">
        <v>184</v>
      </c>
      <c r="B50" s="14">
        <f>GETPIVOTDATA("Répondant",Croisements!$A$102,"Question 7",1,"Question 30",1)</f>
        <v>1</v>
      </c>
      <c r="C50" s="16">
        <f>B50/$B$55</f>
        <v>0.14285714285714285</v>
      </c>
      <c r="D50" s="14">
        <f>GETPIVOTDATA("Répondant",Croisements!$A$102,"Question 7",1,"Question 30",2)</f>
        <v>1</v>
      </c>
      <c r="E50" s="16">
        <f>D50/$D$55</f>
        <v>0.125</v>
      </c>
      <c r="F50" s="45"/>
      <c r="G50" s="18" t="s">
        <v>75</v>
      </c>
      <c r="H50" s="14">
        <f>GETPIVOTDATA("Répondant",Croisements!$A$113,"Question 8.1",1,"Question 30",1)+GETPIVOTDATA("Répondant",Croisements!$A$113,"Question 8.1",2,"Question 30",1)</f>
        <v>6</v>
      </c>
      <c r="I50" s="16">
        <f>H50/H52</f>
        <v>0.8571428571428571</v>
      </c>
      <c r="J50" s="14">
        <f>GETPIVOTDATA("Répondant",Croisements!$A$113,"Question 8.1",1,"Question 30",2)+GETPIVOTDATA("Répondant",Croisements!$A$113,"Question 8.1",2,"Question 30",2)</f>
        <v>4</v>
      </c>
      <c r="K50" s="16">
        <f>J50/J52</f>
        <v>0.5</v>
      </c>
      <c r="L50" s="45"/>
    </row>
    <row r="51" spans="1:12">
      <c r="A51" s="28" t="s">
        <v>185</v>
      </c>
      <c r="B51" s="14">
        <f>GETPIVOTDATA("Répondant",Croisements!$A$102,"Question 7",2,"Question 30",1)</f>
        <v>1</v>
      </c>
      <c r="C51" s="16">
        <f t="shared" ref="C51:C54" si="4">B51/$B$55</f>
        <v>0.14285714285714285</v>
      </c>
      <c r="D51" s="14">
        <f>GETPIVOTDATA("Répondant",Croisements!$A$102,"Question 7",2,"Question 30",2)</f>
        <v>4</v>
      </c>
      <c r="E51" s="16">
        <f t="shared" ref="E51:E54" si="5">D51/$D$55</f>
        <v>0.5</v>
      </c>
      <c r="F51" s="45"/>
      <c r="G51" s="18" t="s">
        <v>76</v>
      </c>
      <c r="H51" s="14">
        <f>GETPIVOTDATA("Répondant",Croisements!$A$113,"Question 8.1",3,"Question 30",1)+GETPIVOTDATA("Répondant",Croisements!$A$113,"Question 8.1",4,"Question 30",1)</f>
        <v>1</v>
      </c>
      <c r="I51" s="16">
        <f>H51/H52</f>
        <v>0.14285714285714285</v>
      </c>
      <c r="J51" s="14">
        <f>GETPIVOTDATA("Répondant",Croisements!$A$113,"Question 8.1",3,"Question 30",2)+GETPIVOTDATA("Répondant",Croisements!$A$113,"Question 8.1",4,"Question 30",2)</f>
        <v>4</v>
      </c>
      <c r="K51" s="16">
        <f>J51/J52</f>
        <v>0.5</v>
      </c>
      <c r="L51" s="45"/>
    </row>
    <row r="52" spans="1:12">
      <c r="A52" s="28" t="s">
        <v>186</v>
      </c>
      <c r="B52" s="14">
        <f>GETPIVOTDATA("Répondant",Croisements!$A$102,"Question 7",3,"Question 30",1)</f>
        <v>1</v>
      </c>
      <c r="C52" s="16">
        <f t="shared" si="4"/>
        <v>0.14285714285714285</v>
      </c>
      <c r="D52" s="14">
        <f>GETPIVOTDATA("Répondant",Croisements!$A$102,"Question 7",3,"Question 30",2)</f>
        <v>1</v>
      </c>
      <c r="E52" s="16">
        <f t="shared" si="5"/>
        <v>0.125</v>
      </c>
      <c r="F52" s="45"/>
      <c r="G52" s="46" t="s">
        <v>345</v>
      </c>
      <c r="H52" s="47">
        <f>H50+H51</f>
        <v>7</v>
      </c>
      <c r="I52" s="449">
        <f>I50+I51</f>
        <v>1</v>
      </c>
      <c r="J52" s="47">
        <f>J50+J51</f>
        <v>8</v>
      </c>
      <c r="K52" s="449">
        <f>K50+K51</f>
        <v>1</v>
      </c>
    </row>
    <row r="53" spans="1:12">
      <c r="A53" s="28" t="s">
        <v>187</v>
      </c>
      <c r="B53" s="14">
        <f>GETPIVOTDATA("Répondant",Croisements!$A$102,"Question 7",4,"Question 30",1)</f>
        <v>1</v>
      </c>
      <c r="C53" s="16">
        <f t="shared" si="4"/>
        <v>0.14285714285714285</v>
      </c>
      <c r="D53" s="14">
        <f>GETPIVOTDATA("Répondant",Croisements!$A$102,"Question 7",4,"Question 30",2)</f>
        <v>1</v>
      </c>
      <c r="E53" s="16">
        <f t="shared" si="5"/>
        <v>0.125</v>
      </c>
      <c r="F53" s="11"/>
      <c r="G53" s="590"/>
      <c r="H53" s="605"/>
      <c r="I53" s="605"/>
      <c r="J53" s="605"/>
      <c r="K53" s="605"/>
      <c r="L53" s="45"/>
    </row>
    <row r="54" spans="1:12">
      <c r="A54" s="28" t="s">
        <v>15</v>
      </c>
      <c r="B54" s="14">
        <f>GETPIVOTDATA("Répondant",Croisements!$A$102,"Question 7",5,"Question 30",1)</f>
        <v>3</v>
      </c>
      <c r="C54" s="16">
        <f t="shared" si="4"/>
        <v>0.42857142857142855</v>
      </c>
      <c r="D54" s="14">
        <f>GETPIVOTDATA("Répondant",Croisements!$A$102,"Question 7",5,"Question 30",2)</f>
        <v>1</v>
      </c>
      <c r="E54" s="16">
        <f t="shared" si="5"/>
        <v>0.125</v>
      </c>
      <c r="F54" s="11"/>
      <c r="G54" s="52" t="s">
        <v>349</v>
      </c>
      <c r="H54" s="455" t="str">
        <f>'Khi2'!N90</f>
        <v>0.14*</v>
      </c>
      <c r="I54" s="321"/>
      <c r="J54" s="321"/>
      <c r="K54" s="488"/>
      <c r="L54" s="45"/>
    </row>
    <row r="55" spans="1:12">
      <c r="A55" s="485" t="s">
        <v>345</v>
      </c>
      <c r="B55" s="486">
        <f>SUM(B50:B54)</f>
        <v>7</v>
      </c>
      <c r="C55" s="487">
        <f>SUM(C50:C54)</f>
        <v>1</v>
      </c>
      <c r="D55" s="486">
        <f>SUM(D50:D54)</f>
        <v>8</v>
      </c>
      <c r="E55" s="487">
        <f>SUM(E50:E54)</f>
        <v>1</v>
      </c>
      <c r="F55" s="11"/>
      <c r="G55" s="613"/>
      <c r="H55" s="617"/>
      <c r="I55" s="617"/>
      <c r="J55" s="617"/>
      <c r="K55" s="617"/>
      <c r="L55" s="45"/>
    </row>
    <row r="56" spans="1:12">
      <c r="A56" s="52" t="s">
        <v>349</v>
      </c>
      <c r="B56" s="455" t="str">
        <f>'Khi2'!N82</f>
        <v>0.48*</v>
      </c>
      <c r="C56" s="321"/>
      <c r="D56" s="321"/>
      <c r="E56" s="321"/>
      <c r="G56" s="612"/>
      <c r="H56" s="612"/>
      <c r="I56" s="612"/>
      <c r="J56" s="612"/>
      <c r="K56" s="612"/>
      <c r="L56" s="45"/>
    </row>
    <row r="57" spans="1:12">
      <c r="A57" s="613"/>
      <c r="B57" s="613"/>
      <c r="C57" s="613"/>
      <c r="D57" s="613"/>
      <c r="E57" s="613"/>
      <c r="F57" s="11"/>
      <c r="G57" s="612"/>
      <c r="H57" s="455"/>
      <c r="I57" s="455"/>
      <c r="J57" s="455"/>
      <c r="K57" s="455"/>
      <c r="L57" s="45"/>
    </row>
    <row r="58" spans="1:12">
      <c r="A58" s="590" t="s">
        <v>733</v>
      </c>
      <c r="B58" s="605"/>
      <c r="C58" s="605"/>
      <c r="D58" s="605"/>
      <c r="E58" s="605"/>
      <c r="F58" s="11"/>
      <c r="G58" s="590" t="s">
        <v>734</v>
      </c>
      <c r="H58" s="590"/>
      <c r="I58" s="590"/>
      <c r="J58" s="590"/>
      <c r="K58" s="590"/>
      <c r="L58" s="45"/>
    </row>
    <row r="59" spans="1:12">
      <c r="A59" s="607" t="s">
        <v>114</v>
      </c>
      <c r="B59" s="607"/>
      <c r="C59" s="607"/>
      <c r="D59" s="607"/>
      <c r="E59" s="607"/>
      <c r="F59" s="11"/>
      <c r="G59" s="601" t="s">
        <v>287</v>
      </c>
      <c r="H59" s="601"/>
      <c r="I59" s="601"/>
      <c r="J59" s="601"/>
      <c r="K59" s="601"/>
      <c r="L59" s="45"/>
    </row>
    <row r="60" spans="1:12">
      <c r="A60" s="609" t="s">
        <v>636</v>
      </c>
      <c r="B60" s="610"/>
      <c r="C60" s="610"/>
      <c r="D60" s="610"/>
      <c r="E60" s="610"/>
      <c r="F60" s="11"/>
      <c r="G60" s="609" t="s">
        <v>636</v>
      </c>
      <c r="H60" s="609"/>
      <c r="I60" s="609"/>
      <c r="J60" s="609"/>
      <c r="K60" s="609"/>
      <c r="L60" s="45"/>
    </row>
    <row r="61" spans="1:12">
      <c r="A61" s="598"/>
      <c r="B61" s="599" t="s">
        <v>102</v>
      </c>
      <c r="C61" s="600"/>
      <c r="D61" s="599" t="s">
        <v>55</v>
      </c>
      <c r="E61" s="600"/>
      <c r="F61" s="11"/>
      <c r="G61" s="598"/>
      <c r="H61" s="599" t="s">
        <v>102</v>
      </c>
      <c r="I61" s="600"/>
      <c r="J61" s="599" t="s">
        <v>55</v>
      </c>
      <c r="K61" s="600"/>
      <c r="L61" s="45"/>
    </row>
    <row r="62" spans="1:12">
      <c r="A62" s="594"/>
      <c r="B62" s="14" t="s">
        <v>103</v>
      </c>
      <c r="C62" s="14" t="s">
        <v>104</v>
      </c>
      <c r="D62" s="461" t="s">
        <v>103</v>
      </c>
      <c r="E62" s="14" t="s">
        <v>104</v>
      </c>
      <c r="F62" s="11"/>
      <c r="G62" s="594"/>
      <c r="H62" s="14" t="s">
        <v>103</v>
      </c>
      <c r="I62" s="14" t="s">
        <v>104</v>
      </c>
      <c r="J62" s="461" t="s">
        <v>103</v>
      </c>
      <c r="K62" s="14" t="s">
        <v>104</v>
      </c>
      <c r="L62" s="45"/>
    </row>
    <row r="63" spans="1:12">
      <c r="A63" s="15" t="s">
        <v>77</v>
      </c>
      <c r="B63" s="14">
        <f>GETPIVOTDATA("Répondant",Croisements!$A$124,"Question 8.2",1,"Question 30",1)+GETPIVOTDATA("Répondant",Croisements!$A$124,"Question 8.2",2,"Question 30",1)</f>
        <v>3</v>
      </c>
      <c r="C63" s="16">
        <f>B63/B65</f>
        <v>0.42857142857142855</v>
      </c>
      <c r="D63" s="14">
        <f>GETPIVOTDATA("Répondant",Croisements!$A$124,"Question 8.2",1,"Question 30",2)+GETPIVOTDATA("Répondant",Croisements!$A$124,"Question 8.2",2,"Question 30",2)</f>
        <v>7</v>
      </c>
      <c r="E63" s="16">
        <f>D63/D65</f>
        <v>0.875</v>
      </c>
      <c r="F63" s="45"/>
      <c r="G63" s="15" t="s">
        <v>77</v>
      </c>
      <c r="H63" s="14">
        <f>GETPIVOTDATA("Répondant",Croisements!$A$135,"Question 8.3",1,"Question 30",1)+GETPIVOTDATA("Répondant",Croisements!$A$135,"Question 8.3",2,"Question 30",1)</f>
        <v>3</v>
      </c>
      <c r="I63" s="16">
        <f>H63/H65</f>
        <v>0.42857142857142855</v>
      </c>
      <c r="J63" s="14">
        <f>GETPIVOTDATA("Répondant",Croisements!$A$135,"Question 8.3",1,"Question 30",2)+GETPIVOTDATA("Répondant",Croisements!$A$135,"Question 8.3",2,"Question 30",2)</f>
        <v>5</v>
      </c>
      <c r="K63" s="16">
        <f>J63/J65</f>
        <v>0.625</v>
      </c>
      <c r="L63" s="45"/>
    </row>
    <row r="64" spans="1:12">
      <c r="A64" s="15" t="s">
        <v>78</v>
      </c>
      <c r="B64" s="14">
        <f>GETPIVOTDATA("Répondant",Croisements!$A$124,"Question 8.2",3,"Question 30",1)+GETPIVOTDATA("Répondant",Croisements!$A$124,"Question 8.2",4,"Question 30",1)</f>
        <v>4</v>
      </c>
      <c r="C64" s="16">
        <f>B64/B65</f>
        <v>0.5714285714285714</v>
      </c>
      <c r="D64" s="14">
        <f>GETPIVOTDATA("Répondant",Croisements!$A$124,"Question 8.2",3,"Question 30",2)+GETPIVOTDATA("Répondant",Croisements!$A$124,"Question 8.2",4,"Question 30",2)</f>
        <v>1</v>
      </c>
      <c r="E64" s="16">
        <f>D64/D65</f>
        <v>0.125</v>
      </c>
      <c r="F64" s="45"/>
      <c r="G64" s="15" t="s">
        <v>78</v>
      </c>
      <c r="H64" s="14">
        <f>GETPIVOTDATA("Répondant",Croisements!$A$135,"Question 8.3",3,"Question 30",1)+GETPIVOTDATA("Répondant",Croisements!$A$135,"Question 8.3",4,"Question 30",1)</f>
        <v>4</v>
      </c>
      <c r="I64" s="16">
        <f>H64/H65</f>
        <v>0.5714285714285714</v>
      </c>
      <c r="J64" s="14">
        <f>GETPIVOTDATA("Répondant",Croisements!$A$135,"Question 8.3",3,"Question 30",2)+GETPIVOTDATA("Répondant",Croisements!$A$135,"Question 8.3",4,"Question 30",2)</f>
        <v>3</v>
      </c>
      <c r="K64" s="16">
        <f>J64/J65</f>
        <v>0.375</v>
      </c>
      <c r="L64" s="45"/>
    </row>
    <row r="65" spans="1:12">
      <c r="A65" s="18" t="s">
        <v>345</v>
      </c>
      <c r="B65" s="47">
        <f>B63+B64</f>
        <v>7</v>
      </c>
      <c r="C65" s="449">
        <f>C63+C64</f>
        <v>1</v>
      </c>
      <c r="D65" s="47">
        <f>D63+D64</f>
        <v>8</v>
      </c>
      <c r="E65" s="449">
        <f>E63+E64</f>
        <v>1</v>
      </c>
      <c r="F65" s="45"/>
      <c r="G65" s="18" t="s">
        <v>345</v>
      </c>
      <c r="H65" s="47">
        <f>H63+H64</f>
        <v>7</v>
      </c>
      <c r="I65" s="449">
        <f>I63+I64</f>
        <v>1</v>
      </c>
      <c r="J65" s="47">
        <f>J63+J64</f>
        <v>8</v>
      </c>
      <c r="K65" s="449">
        <f>K63+K64</f>
        <v>1</v>
      </c>
      <c r="L65" s="45"/>
    </row>
    <row r="66" spans="1:12">
      <c r="A66" s="52" t="s">
        <v>349</v>
      </c>
      <c r="B66" s="455" t="str">
        <f>'Khi2'!N98</f>
        <v>0.07*</v>
      </c>
      <c r="C66" s="489"/>
      <c r="D66" s="489"/>
      <c r="E66" s="489"/>
      <c r="G66" s="52" t="s">
        <v>349</v>
      </c>
      <c r="H66" s="455" t="str">
        <f>'Khi2'!N106</f>
        <v>0.45*</v>
      </c>
      <c r="I66" s="490"/>
      <c r="J66" s="490"/>
      <c r="K66" s="490"/>
      <c r="L66" s="45"/>
    </row>
    <row r="67" spans="1:12">
      <c r="A67" s="630"/>
      <c r="B67" s="630"/>
      <c r="C67" s="630"/>
      <c r="D67" s="630"/>
      <c r="E67" s="630"/>
      <c r="F67" s="11"/>
      <c r="G67" s="629"/>
      <c r="H67" s="629"/>
      <c r="I67" s="629"/>
      <c r="J67" s="629"/>
      <c r="K67" s="629"/>
      <c r="L67" s="45"/>
    </row>
    <row r="68" spans="1:12">
      <c r="A68" s="590" t="s">
        <v>735</v>
      </c>
      <c r="B68" s="605"/>
      <c r="C68" s="605"/>
      <c r="D68" s="605"/>
      <c r="E68" s="605"/>
      <c r="G68" s="590" t="s">
        <v>736</v>
      </c>
      <c r="H68" s="590"/>
      <c r="I68" s="590"/>
      <c r="J68" s="590"/>
      <c r="K68" s="590"/>
      <c r="L68" s="45"/>
    </row>
    <row r="69" spans="1:12">
      <c r="A69" s="601" t="s">
        <v>288</v>
      </c>
      <c r="B69" s="607"/>
      <c r="C69" s="607"/>
      <c r="D69" s="607"/>
      <c r="E69" s="607"/>
      <c r="F69" s="11"/>
      <c r="G69" s="603" t="s">
        <v>289</v>
      </c>
      <c r="H69" s="603"/>
      <c r="I69" s="603"/>
      <c r="J69" s="603"/>
      <c r="K69" s="603"/>
      <c r="L69" s="45"/>
    </row>
    <row r="70" spans="1:12">
      <c r="A70" s="609" t="s">
        <v>636</v>
      </c>
      <c r="B70" s="610"/>
      <c r="C70" s="610"/>
      <c r="D70" s="610"/>
      <c r="E70" s="610"/>
      <c r="F70" s="11"/>
      <c r="G70" s="609" t="s">
        <v>636</v>
      </c>
      <c r="H70" s="609"/>
      <c r="I70" s="609"/>
      <c r="J70" s="609"/>
      <c r="K70" s="609"/>
      <c r="L70" s="45"/>
    </row>
    <row r="71" spans="1:12">
      <c r="A71" s="598"/>
      <c r="B71" s="599" t="s">
        <v>102</v>
      </c>
      <c r="C71" s="600"/>
      <c r="D71" s="599" t="s">
        <v>55</v>
      </c>
      <c r="E71" s="600"/>
      <c r="G71" s="598"/>
      <c r="H71" s="599" t="s">
        <v>102</v>
      </c>
      <c r="I71" s="600"/>
      <c r="J71" s="599" t="s">
        <v>55</v>
      </c>
      <c r="K71" s="600"/>
      <c r="L71" s="45"/>
    </row>
    <row r="72" spans="1:12">
      <c r="A72" s="594"/>
      <c r="B72" s="14" t="s">
        <v>103</v>
      </c>
      <c r="C72" s="14" t="s">
        <v>104</v>
      </c>
      <c r="D72" s="461" t="s">
        <v>103</v>
      </c>
      <c r="E72" s="14" t="s">
        <v>104</v>
      </c>
      <c r="F72" s="11"/>
      <c r="G72" s="594"/>
      <c r="H72" s="14" t="s">
        <v>103</v>
      </c>
      <c r="I72" s="14" t="s">
        <v>104</v>
      </c>
      <c r="J72" s="461" t="s">
        <v>103</v>
      </c>
      <c r="K72" s="14" t="s">
        <v>104</v>
      </c>
      <c r="L72" s="45"/>
    </row>
    <row r="73" spans="1:12">
      <c r="A73" s="15" t="s">
        <v>77</v>
      </c>
      <c r="B73" s="14">
        <f>GETPIVOTDATA("Répondant",Croisements!$A$146,"Question 8.4",1,"Question 30",1)+GETPIVOTDATA("Répondant",Croisements!$A$146,"Question 8.4",2,"Question 30",1)</f>
        <v>5</v>
      </c>
      <c r="C73" s="16">
        <f>B73/B75</f>
        <v>0.7142857142857143</v>
      </c>
      <c r="D73" s="14">
        <f>GETPIVOTDATA("Répondant",Croisements!$A$146,"Question 8.4",1,"Question 30",2)+GETPIVOTDATA("Répondant",Croisements!$A$146,"Question 8.4",2,"Question 30",2)</f>
        <v>7</v>
      </c>
      <c r="E73" s="16">
        <f>D73/D75</f>
        <v>0.875</v>
      </c>
      <c r="F73" s="45"/>
      <c r="G73" s="15" t="s">
        <v>77</v>
      </c>
      <c r="H73" s="14">
        <f>GETPIVOTDATA("Répondant",Croisements!$A$157,"Question 8.5",1,"Question 30",1)+GETPIVOTDATA("Répondant",Croisements!$A$157,"Question 8.5",2,"Question 30",1)</f>
        <v>3</v>
      </c>
      <c r="I73" s="16">
        <f>H73/H75</f>
        <v>0.42857142857142855</v>
      </c>
      <c r="J73" s="14">
        <f>GETPIVOTDATA("Répondant",Croisements!$A$157,"Question 8.5",1,"Question 30",2)+GETPIVOTDATA("Répondant",Croisements!$A$157,"Question 8.5",2,"Question 30",2)</f>
        <v>6</v>
      </c>
      <c r="K73" s="16">
        <f>J73/J75</f>
        <v>0.75</v>
      </c>
      <c r="L73" s="45"/>
    </row>
    <row r="74" spans="1:12">
      <c r="A74" s="15" t="s">
        <v>78</v>
      </c>
      <c r="B74" s="14">
        <f>GETPIVOTDATA("Répondant",Croisements!$A$146,"Question 8.4",3,"Question 30",1)+GETPIVOTDATA("Répondant",Croisements!$A$146,"Question 8.4",4,"Question 30",1)</f>
        <v>2</v>
      </c>
      <c r="C74" s="16">
        <f>B74/B75</f>
        <v>0.2857142857142857</v>
      </c>
      <c r="D74" s="14">
        <f>GETPIVOTDATA("Répondant",Croisements!$A$146,"Question 8.4",3,"Question 30",2)+GETPIVOTDATA("Répondant",Croisements!$A$146,"Question 8.4",4,"Question 30",2)</f>
        <v>1</v>
      </c>
      <c r="E74" s="16">
        <f>D74/D75</f>
        <v>0.125</v>
      </c>
      <c r="F74" s="33"/>
      <c r="G74" s="15" t="s">
        <v>78</v>
      </c>
      <c r="H74" s="14">
        <f>GETPIVOTDATA("Répondant",Croisements!$A$157,"Question 8.5",3,"Question 30",1)+GETPIVOTDATA("Répondant",Croisements!$A$157,"Question 8.5",4,"Question 30",1)</f>
        <v>4</v>
      </c>
      <c r="I74" s="16">
        <f>H74/H75</f>
        <v>0.5714285714285714</v>
      </c>
      <c r="J74" s="14">
        <f>GETPIVOTDATA("Répondant",Croisements!$A$157,"Question 8.5",3,"Question 30",2)+GETPIVOTDATA("Répondant",Croisements!$A$157,"Question 8.5",4,"Question 30",2)</f>
        <v>2</v>
      </c>
      <c r="K74" s="16">
        <f>J74/J75</f>
        <v>0.25</v>
      </c>
      <c r="L74" s="45"/>
    </row>
    <row r="75" spans="1:12">
      <c r="A75" s="84" t="s">
        <v>345</v>
      </c>
      <c r="B75" s="14">
        <f>B73+B74</f>
        <v>7</v>
      </c>
      <c r="C75" s="493">
        <f>C73+C74</f>
        <v>1</v>
      </c>
      <c r="D75" s="14">
        <f>D73+D74</f>
        <v>8</v>
      </c>
      <c r="E75" s="493">
        <f>E73+E74</f>
        <v>1</v>
      </c>
      <c r="F75" s="11"/>
      <c r="G75" s="492" t="s">
        <v>345</v>
      </c>
      <c r="H75" s="14">
        <f>H73+H74</f>
        <v>7</v>
      </c>
      <c r="I75" s="16">
        <f>I73+I74</f>
        <v>1</v>
      </c>
      <c r="J75" s="14">
        <f>J73+J74</f>
        <v>8</v>
      </c>
      <c r="K75" s="16">
        <f>K73+K74</f>
        <v>1</v>
      </c>
      <c r="L75" s="45"/>
    </row>
    <row r="76" spans="1:12">
      <c r="A76" s="52" t="s">
        <v>349</v>
      </c>
      <c r="B76" s="455" t="str">
        <f>'Khi2'!N114</f>
        <v>0.44*</v>
      </c>
      <c r="C76" s="469"/>
      <c r="D76" s="469"/>
      <c r="E76" s="469"/>
      <c r="F76" s="11"/>
      <c r="G76" s="52" t="s">
        <v>349</v>
      </c>
      <c r="H76" s="455" t="str">
        <f>'Khi2'!N122</f>
        <v>0.2*</v>
      </c>
      <c r="I76" s="490"/>
      <c r="J76" s="490"/>
      <c r="K76" s="490"/>
      <c r="L76" s="45"/>
    </row>
    <row r="77" spans="1:12">
      <c r="A77" s="592"/>
      <c r="B77" s="592"/>
      <c r="C77" s="592"/>
      <c r="D77" s="592"/>
      <c r="E77" s="592"/>
      <c r="F77" s="11"/>
      <c r="G77" s="592"/>
      <c r="H77" s="629"/>
      <c r="I77" s="629"/>
      <c r="J77" s="629"/>
      <c r="K77" s="629"/>
      <c r="L77" s="45"/>
    </row>
    <row r="78" spans="1:12">
      <c r="A78" s="590" t="s">
        <v>737</v>
      </c>
      <c r="B78" s="605"/>
      <c r="C78" s="605"/>
      <c r="D78" s="605"/>
      <c r="E78" s="605"/>
      <c r="G78" s="590" t="s">
        <v>738</v>
      </c>
      <c r="H78" s="590"/>
      <c r="I78" s="590"/>
      <c r="J78" s="590"/>
      <c r="K78" s="590"/>
      <c r="L78" s="45"/>
    </row>
    <row r="79" spans="1:12">
      <c r="A79" s="483"/>
      <c r="B79" s="612"/>
      <c r="C79" s="612"/>
      <c r="D79" s="612"/>
      <c r="E79" s="612"/>
      <c r="F79" s="11"/>
      <c r="G79" s="601" t="s">
        <v>290</v>
      </c>
      <c r="H79" s="601"/>
      <c r="I79" s="601"/>
      <c r="J79" s="601"/>
      <c r="K79" s="601"/>
      <c r="L79" s="45"/>
    </row>
    <row r="80" spans="1:12">
      <c r="A80" s="609" t="s">
        <v>636</v>
      </c>
      <c r="B80" s="610"/>
      <c r="C80" s="610"/>
      <c r="D80" s="610"/>
      <c r="E80" s="610"/>
      <c r="F80" s="11"/>
      <c r="G80" s="609" t="s">
        <v>636</v>
      </c>
      <c r="H80" s="609"/>
      <c r="I80" s="609"/>
      <c r="J80" s="609"/>
      <c r="K80" s="609"/>
      <c r="L80" s="45"/>
    </row>
    <row r="81" spans="1:12">
      <c r="A81" s="598"/>
      <c r="B81" s="599" t="s">
        <v>102</v>
      </c>
      <c r="C81" s="600"/>
      <c r="D81" s="599" t="s">
        <v>55</v>
      </c>
      <c r="E81" s="600"/>
      <c r="F81" s="11"/>
      <c r="G81" s="598"/>
      <c r="H81" s="599" t="s">
        <v>102</v>
      </c>
      <c r="I81" s="600"/>
      <c r="J81" s="599" t="s">
        <v>55</v>
      </c>
      <c r="K81" s="600"/>
      <c r="L81" s="45"/>
    </row>
    <row r="82" spans="1:12">
      <c r="A82" s="594"/>
      <c r="B82" s="14" t="s">
        <v>103</v>
      </c>
      <c r="C82" s="14" t="s">
        <v>104</v>
      </c>
      <c r="D82" s="461" t="s">
        <v>103</v>
      </c>
      <c r="E82" s="14" t="s">
        <v>104</v>
      </c>
      <c r="F82" s="11"/>
      <c r="G82" s="594"/>
      <c r="H82" s="14" t="s">
        <v>103</v>
      </c>
      <c r="I82" s="14" t="s">
        <v>104</v>
      </c>
      <c r="J82" s="461" t="s">
        <v>103</v>
      </c>
      <c r="K82" s="14" t="s">
        <v>104</v>
      </c>
      <c r="L82" s="45"/>
    </row>
    <row r="83" spans="1:12">
      <c r="A83" s="15" t="s">
        <v>77</v>
      </c>
      <c r="B83" s="14">
        <f>GETPIVOTDATA("Répondant",Croisements!$A$168,"Question 8.6",1,"Question 30",1)+GETPIVOTDATA("Répondant",Croisements!$A$168,"Question 8.6",2,"Question 30",1)</f>
        <v>5</v>
      </c>
      <c r="C83" s="16">
        <f>B83/B85</f>
        <v>0.7142857142857143</v>
      </c>
      <c r="D83" s="14">
        <f>GETPIVOTDATA("Répondant",Croisements!$A$168,"Question 8.6",1,"Question 30",2)+GETPIVOTDATA("Répondant",Croisements!$A$168,"Question 8.6",2,"Question 30",2)</f>
        <v>6</v>
      </c>
      <c r="E83" s="16">
        <f>D83/D85</f>
        <v>0.75</v>
      </c>
      <c r="F83" s="45"/>
      <c r="G83" s="15" t="s">
        <v>77</v>
      </c>
      <c r="H83" s="14">
        <f>GETPIVOTDATA("Répondant",Croisements!$A$181,"Question 8.7",1,"Question 30",1)+GETPIVOTDATA("Répondant",Croisements!$A$181,"Question 8.7",2,"Question 30",1)</f>
        <v>4</v>
      </c>
      <c r="I83" s="16">
        <f>H83/H85</f>
        <v>0.5714285714285714</v>
      </c>
      <c r="J83" s="14">
        <f>GETPIVOTDATA("Répondant",Croisements!$A$181,"Question 8.7",1,"Question 30",2)+GETPIVOTDATA("Répondant",Croisements!$A$181,"Question 8.7",2,"Question 30",2)</f>
        <v>7</v>
      </c>
      <c r="K83" s="16">
        <f>J83/J85</f>
        <v>0.875</v>
      </c>
      <c r="L83" s="45"/>
    </row>
    <row r="84" spans="1:12">
      <c r="A84" s="15" t="s">
        <v>78</v>
      </c>
      <c r="B84" s="14">
        <f>GETPIVOTDATA("Répondant",Croisements!$A$168,"Question 8.6",3,"Question 30",1)+GETPIVOTDATA("Répondant",Croisements!$A$168,"Question 8.6",4,"Question 30",1)</f>
        <v>2</v>
      </c>
      <c r="C84" s="16">
        <f>B84/B85</f>
        <v>0.2857142857142857</v>
      </c>
      <c r="D84" s="14">
        <f>GETPIVOTDATA("Répondant",Croisements!$A$168,"Question 8.6",3,"Question 30",2)+GETPIVOTDATA("Répondant",Croisements!$A$168,"Question 8.6",4,"Question 30",2)</f>
        <v>2</v>
      </c>
      <c r="E84" s="16">
        <f>D84/D85</f>
        <v>0.25</v>
      </c>
      <c r="F84" s="33"/>
      <c r="G84" s="15" t="s">
        <v>78</v>
      </c>
      <c r="H84" s="14">
        <f>GETPIVOTDATA("Répondant",Croisements!$A$181,"Question 8.7",3,"Question 30",1)+GETPIVOTDATA("Répondant",Croisements!$A$181,"Question 8.7",4,"Question 30",1)</f>
        <v>3</v>
      </c>
      <c r="I84" s="16">
        <f>H84/H85</f>
        <v>0.42857142857142855</v>
      </c>
      <c r="J84" s="14">
        <f>GETPIVOTDATA("Répondant",Croisements!$A$181,"Question 8.7",3,"Question 30",2)+GETPIVOTDATA("Répondant",Croisements!$A$181,"Question 8.7",4,"Question 30",2)</f>
        <v>1</v>
      </c>
      <c r="K84" s="16">
        <f>J84/J85</f>
        <v>0.125</v>
      </c>
      <c r="L84" s="45"/>
    </row>
    <row r="85" spans="1:12">
      <c r="A85" s="48" t="s">
        <v>345</v>
      </c>
      <c r="B85" s="496">
        <f>B83+B84</f>
        <v>7</v>
      </c>
      <c r="C85" s="497">
        <f>C83+C84</f>
        <v>1</v>
      </c>
      <c r="D85" s="496">
        <f>D83+D84</f>
        <v>8</v>
      </c>
      <c r="E85" s="497">
        <f>E83+E84</f>
        <v>1</v>
      </c>
      <c r="F85" s="11"/>
      <c r="G85" s="48" t="s">
        <v>345</v>
      </c>
      <c r="H85" s="496">
        <f>H83+H84</f>
        <v>7</v>
      </c>
      <c r="I85" s="497">
        <f>I83+I84</f>
        <v>1</v>
      </c>
      <c r="J85" s="496">
        <f>J83+J84</f>
        <v>8</v>
      </c>
      <c r="K85" s="497">
        <f>K83+K84</f>
        <v>1</v>
      </c>
      <c r="L85" s="45"/>
    </row>
    <row r="86" spans="1:12">
      <c r="A86" s="52" t="s">
        <v>349</v>
      </c>
      <c r="B86" s="455" t="str">
        <f>'Khi2'!N130</f>
        <v>0.88*</v>
      </c>
      <c r="C86" s="469"/>
      <c r="D86" s="469"/>
      <c r="E86" s="469"/>
      <c r="F86" s="11"/>
      <c r="G86" s="52" t="s">
        <v>349</v>
      </c>
      <c r="H86" s="455" t="str">
        <f>'Khi2'!N138</f>
        <v>0.18*</v>
      </c>
      <c r="I86" s="483"/>
      <c r="J86" s="483"/>
      <c r="K86" s="483"/>
      <c r="L86" s="45"/>
    </row>
    <row r="87" spans="1:12">
      <c r="A87" s="592"/>
      <c r="B87" s="592"/>
      <c r="C87" s="592"/>
      <c r="D87" s="592"/>
      <c r="E87" s="592"/>
      <c r="F87" s="11"/>
      <c r="G87" s="33"/>
      <c r="H87" s="33"/>
      <c r="I87" s="33"/>
      <c r="J87" s="33"/>
      <c r="K87" s="33"/>
      <c r="L87" s="45"/>
    </row>
    <row r="88" spans="1:12">
      <c r="A88" s="590" t="s">
        <v>739</v>
      </c>
      <c r="B88" s="605"/>
      <c r="C88" s="605"/>
      <c r="D88" s="605"/>
      <c r="E88" s="605"/>
      <c r="F88" s="11"/>
      <c r="G88" s="590" t="s">
        <v>740</v>
      </c>
      <c r="H88" s="590"/>
      <c r="I88" s="590"/>
      <c r="J88" s="590"/>
      <c r="K88" s="590"/>
    </row>
    <row r="89" spans="1:12">
      <c r="A89" s="614" t="s">
        <v>191</v>
      </c>
      <c r="B89" s="632"/>
      <c r="C89" s="632"/>
      <c r="D89" s="632"/>
      <c r="E89" s="632"/>
      <c r="G89" s="614"/>
      <c r="H89" s="614"/>
      <c r="I89" s="614"/>
      <c r="J89" s="614"/>
      <c r="K89" s="614"/>
      <c r="L89" s="45"/>
    </row>
    <row r="90" spans="1:12">
      <c r="A90" s="609" t="s">
        <v>636</v>
      </c>
      <c r="B90" s="610"/>
      <c r="C90" s="610"/>
      <c r="D90" s="610"/>
      <c r="E90" s="610"/>
      <c r="F90" s="11"/>
      <c r="G90" s="609" t="s">
        <v>636</v>
      </c>
      <c r="H90" s="609"/>
      <c r="I90" s="609"/>
      <c r="J90" s="609"/>
      <c r="K90" s="609"/>
      <c r="L90" s="45"/>
    </row>
    <row r="91" spans="1:12">
      <c r="A91" s="598"/>
      <c r="B91" s="599" t="s">
        <v>102</v>
      </c>
      <c r="C91" s="600"/>
      <c r="D91" s="599" t="s">
        <v>55</v>
      </c>
      <c r="E91" s="600"/>
      <c r="F91" s="11"/>
      <c r="G91" s="598"/>
      <c r="H91" s="599" t="s">
        <v>102</v>
      </c>
      <c r="I91" s="600"/>
      <c r="J91" s="599" t="s">
        <v>55</v>
      </c>
      <c r="K91" s="600"/>
      <c r="L91" s="45"/>
    </row>
    <row r="92" spans="1:12">
      <c r="A92" s="594"/>
      <c r="B92" s="14" t="s">
        <v>103</v>
      </c>
      <c r="C92" s="14" t="s">
        <v>104</v>
      </c>
      <c r="D92" s="461" t="s">
        <v>103</v>
      </c>
      <c r="E92" s="14" t="s">
        <v>104</v>
      </c>
      <c r="F92" s="11"/>
      <c r="G92" s="594"/>
      <c r="H92" s="14" t="s">
        <v>103</v>
      </c>
      <c r="I92" s="14" t="s">
        <v>104</v>
      </c>
      <c r="J92" s="461" t="s">
        <v>103</v>
      </c>
      <c r="K92" s="14" t="s">
        <v>104</v>
      </c>
      <c r="L92" s="45"/>
    </row>
    <row r="93" spans="1:12">
      <c r="A93" s="15" t="s">
        <v>77</v>
      </c>
      <c r="B93" s="14">
        <f>GETPIVOTDATA("Répondant",Croisements!$A$192,"Question 8.8",1,"Question 30",1)+GETPIVOTDATA("Répondant",Croisements!$A$192,"Question 8.8",2,"Question 30",1)</f>
        <v>5</v>
      </c>
      <c r="C93" s="16">
        <f>B93/B95</f>
        <v>0.7142857142857143</v>
      </c>
      <c r="D93" s="14">
        <f>GETPIVOTDATA("Répondant",Croisements!$A$192,"Question 8.8",1,"Question 30",2)+GETPIVOTDATA("Répondant",Croisements!$A$192,"Question 8.8",2,"Question 30",2)</f>
        <v>6</v>
      </c>
      <c r="E93" s="16">
        <f>D93/D95</f>
        <v>0.75</v>
      </c>
      <c r="F93" s="45"/>
      <c r="G93" s="32" t="s">
        <v>323</v>
      </c>
      <c r="H93" s="14">
        <f>GETPIVOTDATA("Répondant",Croisements!$A$203,"Question 9.1",1,"Question 30",1)+GETPIVOTDATA("Répondant",Croisements!$A$203,"Question 9.1",2,"Question 30",1)</f>
        <v>3</v>
      </c>
      <c r="I93" s="16">
        <f>H93/H95</f>
        <v>0.42857142857142855</v>
      </c>
      <c r="J93" s="14">
        <f>GETPIVOTDATA("Répondant",Croisements!$A$203,"Question 9.1",1,"Question 30",2)+GETPIVOTDATA("Répondant",Croisements!$A$203,"Question 9.1",2,"Question 30",2)</f>
        <v>5</v>
      </c>
      <c r="K93" s="16">
        <f>J93/J95</f>
        <v>0.625</v>
      </c>
      <c r="L93" s="45"/>
    </row>
    <row r="94" spans="1:12">
      <c r="A94" s="15" t="s">
        <v>78</v>
      </c>
      <c r="B94" s="14">
        <f>GETPIVOTDATA("Répondant",Croisements!$A$192,"Question 8.8",3,"Question 30",1)+GETPIVOTDATA("Répondant",Croisements!$A$192,"Question 8.8",4,"Question 30",1)</f>
        <v>2</v>
      </c>
      <c r="C94" s="16">
        <f>B94/B95</f>
        <v>0.2857142857142857</v>
      </c>
      <c r="D94" s="14">
        <f>GETPIVOTDATA("Répondant",Croisements!$A$192,"Question 8.8",3,"Question 30",2)+GETPIVOTDATA("Répondant",Croisements!$A$192,"Question 8.8",4,"Question 30",2)</f>
        <v>2</v>
      </c>
      <c r="E94" s="16">
        <f>D94/D95</f>
        <v>0.25</v>
      </c>
      <c r="F94" s="33"/>
      <c r="G94" s="32" t="s">
        <v>324</v>
      </c>
      <c r="H94" s="14">
        <f>GETPIVOTDATA("Répondant",Croisements!$A$203,"Question 9.1",3,"Question 30",1)+GETPIVOTDATA("Répondant",Croisements!$A$203,"Question 9.1",4,"Question 30",1)</f>
        <v>4</v>
      </c>
      <c r="I94" s="16">
        <f>H94/H95</f>
        <v>0.5714285714285714</v>
      </c>
      <c r="J94" s="14">
        <f>GETPIVOTDATA("Répondant",Croisements!$A$203,"Question 9.1",3,"Question 30",2)+GETPIVOTDATA("Répondant",Croisements!$A$203,"Question 9.1",4,"Question 30",2)</f>
        <v>3</v>
      </c>
      <c r="K94" s="16">
        <f>J94/J95</f>
        <v>0.375</v>
      </c>
      <c r="L94" s="45"/>
    </row>
    <row r="95" spans="1:12">
      <c r="A95" s="48" t="s">
        <v>345</v>
      </c>
      <c r="B95" s="496">
        <f>B93+B94</f>
        <v>7</v>
      </c>
      <c r="C95" s="497">
        <f>C93+C94</f>
        <v>1</v>
      </c>
      <c r="D95" s="496">
        <f>D93+D94</f>
        <v>8</v>
      </c>
      <c r="E95" s="498">
        <f>E93+E94</f>
        <v>1</v>
      </c>
      <c r="F95" s="11"/>
      <c r="G95" s="492" t="s">
        <v>345</v>
      </c>
      <c r="H95" s="14">
        <f>H93+H94</f>
        <v>7</v>
      </c>
      <c r="I95" s="16">
        <f>I93+I94</f>
        <v>1</v>
      </c>
      <c r="J95" s="14">
        <f>J93+J94</f>
        <v>8</v>
      </c>
      <c r="K95" s="493">
        <f>K93+K94</f>
        <v>1</v>
      </c>
      <c r="L95" s="45"/>
    </row>
    <row r="96" spans="1:12">
      <c r="A96" s="52" t="s">
        <v>349</v>
      </c>
      <c r="B96" s="455" t="str">
        <f>'Khi2'!N146</f>
        <v>0.88*</v>
      </c>
      <c r="C96" s="489"/>
      <c r="D96" s="489"/>
      <c r="E96" s="489"/>
      <c r="G96" s="52" t="s">
        <v>349</v>
      </c>
      <c r="H96" s="455" t="str">
        <f>'Khi2'!N154</f>
        <v>0.45*</v>
      </c>
      <c r="I96" s="494"/>
      <c r="J96" s="494"/>
      <c r="K96" s="494"/>
      <c r="L96" s="45"/>
    </row>
    <row r="97" spans="1:12">
      <c r="A97" s="495"/>
      <c r="B97" s="495"/>
      <c r="C97" s="495"/>
      <c r="D97" s="495"/>
      <c r="E97" s="495"/>
      <c r="F97" s="11"/>
      <c r="G97" s="614"/>
      <c r="H97" s="632"/>
      <c r="I97" s="632"/>
      <c r="J97" s="632"/>
      <c r="K97" s="632"/>
      <c r="L97" s="45"/>
    </row>
    <row r="98" spans="1:12">
      <c r="A98" s="590" t="s">
        <v>741</v>
      </c>
      <c r="B98" s="590"/>
      <c r="C98" s="590"/>
      <c r="D98" s="590"/>
      <c r="E98" s="590"/>
      <c r="F98" s="11"/>
      <c r="G98" s="590" t="s">
        <v>742</v>
      </c>
      <c r="H98" s="590"/>
      <c r="I98" s="590"/>
      <c r="J98" s="590"/>
      <c r="K98" s="590"/>
      <c r="L98" s="45"/>
    </row>
    <row r="99" spans="1:12">
      <c r="A99" s="615" t="s">
        <v>291</v>
      </c>
      <c r="B99" s="615"/>
      <c r="C99" s="615"/>
      <c r="D99" s="615"/>
      <c r="E99" s="615"/>
      <c r="G99" s="616" t="s">
        <v>115</v>
      </c>
      <c r="H99" s="616"/>
      <c r="I99" s="616"/>
      <c r="J99" s="616"/>
      <c r="K99" s="616"/>
      <c r="L99" s="33"/>
    </row>
    <row r="100" spans="1:12">
      <c r="A100" s="609" t="s">
        <v>636</v>
      </c>
      <c r="B100" s="610"/>
      <c r="C100" s="610"/>
      <c r="D100" s="610"/>
      <c r="E100" s="610"/>
      <c r="F100" s="11"/>
      <c r="G100" s="609" t="s">
        <v>636</v>
      </c>
      <c r="H100" s="609"/>
      <c r="I100" s="609"/>
      <c r="J100" s="609"/>
      <c r="K100" s="609"/>
      <c r="L100" s="33"/>
    </row>
    <row r="101" spans="1:12">
      <c r="A101" s="598"/>
      <c r="B101" s="599" t="s">
        <v>102</v>
      </c>
      <c r="C101" s="600"/>
      <c r="D101" s="599" t="s">
        <v>55</v>
      </c>
      <c r="E101" s="600"/>
      <c r="F101" s="11"/>
      <c r="G101" s="598"/>
      <c r="H101" s="599" t="s">
        <v>102</v>
      </c>
      <c r="I101" s="600"/>
      <c r="J101" s="599" t="s">
        <v>55</v>
      </c>
      <c r="K101" s="600"/>
      <c r="L101" s="33"/>
    </row>
    <row r="102" spans="1:12">
      <c r="A102" s="594"/>
      <c r="B102" s="14" t="s">
        <v>103</v>
      </c>
      <c r="C102" s="14" t="s">
        <v>104</v>
      </c>
      <c r="D102" s="461" t="s">
        <v>103</v>
      </c>
      <c r="E102" s="14" t="s">
        <v>104</v>
      </c>
      <c r="F102" s="11"/>
      <c r="G102" s="594"/>
      <c r="H102" s="14" t="s">
        <v>103</v>
      </c>
      <c r="I102" s="14" t="s">
        <v>104</v>
      </c>
      <c r="J102" s="461" t="s">
        <v>103</v>
      </c>
      <c r="K102" s="14" t="s">
        <v>104</v>
      </c>
      <c r="L102" s="33"/>
    </row>
    <row r="103" spans="1:12">
      <c r="A103" s="32" t="s">
        <v>323</v>
      </c>
      <c r="B103" s="14">
        <f>GETPIVOTDATA("Répondant",Croisements!$A$214,"Question 9.2",1,"Question 30",1)+GETPIVOTDATA("Répondant",Croisements!$A$214,"Question 9.2",2,"Question 30",1)</f>
        <v>3</v>
      </c>
      <c r="C103" s="16">
        <f>B103/B105</f>
        <v>0.42857142857142855</v>
      </c>
      <c r="D103" s="14">
        <f>GETPIVOTDATA("Répondant",Croisements!$A$214,"Question 9.2",1,"Question 30",2)+GETPIVOTDATA("Répondant",Croisements!$A$214,"Question 9.2",2,"Question 30",2)</f>
        <v>5</v>
      </c>
      <c r="E103" s="16">
        <f>D103/D105</f>
        <v>0.625</v>
      </c>
      <c r="F103" s="45"/>
      <c r="G103" s="15" t="s">
        <v>79</v>
      </c>
      <c r="H103" s="14">
        <f>GETPIVOTDATA("Répondant",Croisements!$A$225,"Question 10.1",1,"Question 30",1)+GETPIVOTDATA("Répondant",Croisements!$A$225,"Question 10.1",2,"Question 30",1)</f>
        <v>4</v>
      </c>
      <c r="I103" s="16">
        <f>H103/H105</f>
        <v>0.5714285714285714</v>
      </c>
      <c r="J103" s="14">
        <f>GETPIVOTDATA("Répondant",Croisements!$A$225,"Question 10.1",1,"Question 30",2)+GETPIVOTDATA("Répondant",Croisements!$A$225,"Question 10.1",2,"Question 30",2)</f>
        <v>5</v>
      </c>
      <c r="K103" s="16">
        <f>J103/J105</f>
        <v>0.625</v>
      </c>
      <c r="L103" s="33"/>
    </row>
    <row r="104" spans="1:12">
      <c r="A104" s="32" t="s">
        <v>324</v>
      </c>
      <c r="B104" s="14">
        <f>GETPIVOTDATA("Répondant",Croisements!$A$214,"Question 9.2",3,"Question 30",1)+GETPIVOTDATA("Répondant",Croisements!$A$214,"Question 9.2",4,"Question 30",1)</f>
        <v>4</v>
      </c>
      <c r="C104" s="16">
        <f>B104/B105</f>
        <v>0.5714285714285714</v>
      </c>
      <c r="D104" s="14">
        <f>GETPIVOTDATA("Répondant",Croisements!$A$214,"Question 9.2",3,"Question 30",2)+GETPIVOTDATA("Répondant",Croisements!$A$214,"Question 9.2",4,"Question 30",2)</f>
        <v>3</v>
      </c>
      <c r="E104" s="16">
        <f>D104/D105</f>
        <v>0.375</v>
      </c>
      <c r="F104" s="33"/>
      <c r="G104" s="15" t="s">
        <v>80</v>
      </c>
      <c r="H104" s="14">
        <f>GETPIVOTDATA("Répondant",Croisements!$A$225,"Question 10.1",3,"Question 30",1)+GETPIVOTDATA("Répondant",Croisements!$A$225,"Question 10.1",4,"Question 30",1)</f>
        <v>3</v>
      </c>
      <c r="I104" s="16">
        <f>H104/H105</f>
        <v>0.42857142857142855</v>
      </c>
      <c r="J104" s="14">
        <f>GETPIVOTDATA("Répondant",Croisements!$A$225,"Question 10.1",3,"Question 30",2)+GETPIVOTDATA("Répondant",Croisements!$A$225,"Question 10.1",4,"Question 30",2)</f>
        <v>3</v>
      </c>
      <c r="K104" s="16">
        <f>J104/J105</f>
        <v>0.375</v>
      </c>
      <c r="L104" s="33"/>
    </row>
    <row r="105" spans="1:12">
      <c r="A105" s="48" t="s">
        <v>345</v>
      </c>
      <c r="B105" s="496">
        <f>B103+B104</f>
        <v>7</v>
      </c>
      <c r="C105" s="498">
        <f>C103+C104</f>
        <v>1</v>
      </c>
      <c r="D105" s="496">
        <f>D103+D104</f>
        <v>8</v>
      </c>
      <c r="E105" s="498">
        <f>E103+E104</f>
        <v>1</v>
      </c>
      <c r="F105" s="11"/>
      <c r="G105" s="48" t="s">
        <v>345</v>
      </c>
      <c r="H105" s="496">
        <f>H103+H104</f>
        <v>7</v>
      </c>
      <c r="I105" s="498">
        <f>I103+I104</f>
        <v>1</v>
      </c>
      <c r="J105" s="496">
        <f>J103+J104</f>
        <v>8</v>
      </c>
      <c r="K105" s="498">
        <f>K103+K104</f>
        <v>1</v>
      </c>
      <c r="L105" s="33"/>
    </row>
    <row r="106" spans="1:12">
      <c r="A106" s="52" t="s">
        <v>349</v>
      </c>
      <c r="B106" s="455" t="str">
        <f>'Khi2'!N162</f>
        <v>0.45*</v>
      </c>
      <c r="C106" s="489"/>
      <c r="D106" s="489"/>
      <c r="E106" s="489"/>
      <c r="F106" s="11"/>
      <c r="G106" s="52" t="s">
        <v>349</v>
      </c>
      <c r="H106" s="455" t="str">
        <f>'Khi2'!N171</f>
        <v>0.83*</v>
      </c>
      <c r="I106" s="489"/>
      <c r="J106" s="489"/>
      <c r="K106" s="489"/>
    </row>
    <row r="107" spans="1:12">
      <c r="A107" s="469"/>
      <c r="B107" s="469"/>
      <c r="C107" s="469"/>
      <c r="D107" s="469"/>
      <c r="E107" s="469"/>
      <c r="F107" s="11"/>
      <c r="G107" s="631"/>
      <c r="H107" s="631"/>
      <c r="I107" s="631"/>
      <c r="J107" s="631"/>
      <c r="K107" s="631"/>
      <c r="L107" s="45"/>
    </row>
    <row r="108" spans="1:12">
      <c r="A108" s="43" t="s">
        <v>743</v>
      </c>
      <c r="B108" s="11"/>
      <c r="C108" s="11"/>
      <c r="D108" s="11"/>
      <c r="E108" s="11"/>
      <c r="F108" s="11"/>
      <c r="G108" s="590" t="s">
        <v>744</v>
      </c>
      <c r="H108" s="590"/>
      <c r="I108" s="590"/>
      <c r="J108" s="590"/>
      <c r="K108" s="590"/>
      <c r="L108" s="45"/>
    </row>
    <row r="109" spans="1:12">
      <c r="A109" s="459" t="s">
        <v>116</v>
      </c>
      <c r="B109" s="11"/>
      <c r="C109" s="11"/>
      <c r="D109" s="11"/>
      <c r="E109" s="11"/>
      <c r="G109" s="611" t="s">
        <v>454</v>
      </c>
      <c r="H109" s="611"/>
      <c r="I109" s="611"/>
      <c r="J109" s="611"/>
      <c r="K109" s="611"/>
      <c r="L109" s="45"/>
    </row>
    <row r="110" spans="1:12">
      <c r="A110" s="613"/>
      <c r="B110" s="617"/>
      <c r="C110" s="617"/>
      <c r="D110" s="617"/>
      <c r="E110" s="617"/>
      <c r="F110" s="11"/>
      <c r="G110" s="607" t="s">
        <v>145</v>
      </c>
      <c r="H110" s="607"/>
      <c r="I110" s="607"/>
      <c r="J110" s="607"/>
      <c r="K110" s="607"/>
      <c r="L110" s="45"/>
    </row>
    <row r="111" spans="1:12">
      <c r="A111" s="613" t="s">
        <v>636</v>
      </c>
      <c r="B111" s="617"/>
      <c r="C111" s="617"/>
      <c r="D111" s="617"/>
      <c r="E111" s="617"/>
      <c r="F111" s="11"/>
      <c r="G111" s="609" t="s">
        <v>636</v>
      </c>
      <c r="H111" s="609"/>
      <c r="I111" s="609"/>
      <c r="J111" s="609"/>
      <c r="K111" s="609"/>
      <c r="L111" s="45"/>
    </row>
    <row r="112" spans="1:12">
      <c r="A112" s="359"/>
      <c r="B112" s="595" t="s">
        <v>102</v>
      </c>
      <c r="C112" s="596"/>
      <c r="D112" s="595" t="s">
        <v>55</v>
      </c>
      <c r="E112" s="596"/>
      <c r="F112" s="11"/>
      <c r="G112" s="357"/>
      <c r="H112" s="595" t="s">
        <v>102</v>
      </c>
      <c r="I112" s="596"/>
      <c r="J112" s="595" t="s">
        <v>55</v>
      </c>
      <c r="K112" s="596"/>
      <c r="L112" s="45"/>
    </row>
    <row r="113" spans="1:12">
      <c r="A113" s="358"/>
      <c r="B113" s="14" t="s">
        <v>103</v>
      </c>
      <c r="C113" s="14" t="s">
        <v>104</v>
      </c>
      <c r="D113" s="461" t="s">
        <v>103</v>
      </c>
      <c r="E113" s="14" t="s">
        <v>104</v>
      </c>
      <c r="F113" s="11"/>
      <c r="G113" s="358"/>
      <c r="H113" s="14" t="s">
        <v>103</v>
      </c>
      <c r="I113" s="14" t="s">
        <v>104</v>
      </c>
      <c r="J113" s="461" t="s">
        <v>103</v>
      </c>
      <c r="K113" s="14" t="s">
        <v>104</v>
      </c>
      <c r="L113" s="45"/>
    </row>
    <row r="114" spans="1:12">
      <c r="A114" s="15" t="s">
        <v>79</v>
      </c>
      <c r="B114" s="14">
        <f>GETPIVOTDATA("Répondant",Croisements!$A$236,"Question 10.2",1,"Question 30",1)+GETPIVOTDATA("Répondant",Croisements!$A$236,"Question 10.2",2,"Question 30",1)</f>
        <v>5</v>
      </c>
      <c r="C114" s="16">
        <f>B114/B116</f>
        <v>0.7142857142857143</v>
      </c>
      <c r="D114" s="14">
        <f>GETPIVOTDATA("Répondant",Croisements!$A$236,"Question 10.2",1,"Question 30",2)+GETPIVOTDATA("Répondant",Croisements!$A$236,"Question 10.2",2,"Question 30",2)</f>
        <v>6</v>
      </c>
      <c r="E114" s="16">
        <f>D114/D116</f>
        <v>0.75</v>
      </c>
      <c r="F114" s="11"/>
      <c r="G114" s="32" t="s">
        <v>35</v>
      </c>
      <c r="H114" s="14">
        <f>GETPIVOTDATA("Répondant",Croisements!$A$247,"Question 11",1,"Question 30",1)</f>
        <v>4</v>
      </c>
      <c r="I114" s="16">
        <f>H114/H116</f>
        <v>0.5714285714285714</v>
      </c>
      <c r="J114" s="14">
        <f>GETPIVOTDATA("Répondant",Croisements!$A$247,"Question 11",1,"Question 30",2)</f>
        <v>4</v>
      </c>
      <c r="K114" s="16">
        <f>J114/J116</f>
        <v>0.5</v>
      </c>
      <c r="L114" s="45"/>
    </row>
    <row r="115" spans="1:12">
      <c r="A115" s="15" t="s">
        <v>80</v>
      </c>
      <c r="B115" s="14">
        <f>GETPIVOTDATA("Répondant",Croisements!$A$236,"Question 10.2",3,"Question 30",1)+GETPIVOTDATA("Répondant",Croisements!$A$236,"Question 10.2",4,"Question 30",1)</f>
        <v>2</v>
      </c>
      <c r="C115" s="16">
        <f>B115/B116</f>
        <v>0.2857142857142857</v>
      </c>
      <c r="D115" s="14">
        <f>GETPIVOTDATA("Répondant",Croisements!$A$236,"Question 10.2",3,"Question 30",2)+GETPIVOTDATA("Répondant",Croisements!$A$236,"Question 10.2",4,"Question 30",2)</f>
        <v>2</v>
      </c>
      <c r="E115" s="16">
        <f>D115/D116</f>
        <v>0.25</v>
      </c>
      <c r="F115" s="45"/>
      <c r="G115" s="32" t="s">
        <v>36</v>
      </c>
      <c r="H115" s="14">
        <f>GETPIVOTDATA("Répondant",Croisements!$A$247,"Question 11",2,"Question 30",1)</f>
        <v>3</v>
      </c>
      <c r="I115" s="16">
        <f>H115/H116</f>
        <v>0.42857142857142855</v>
      </c>
      <c r="J115" s="14">
        <f>GETPIVOTDATA("Répondant",Croisements!$A$247,"Question 11",2,"Question 30",2)</f>
        <v>4</v>
      </c>
      <c r="K115" s="16">
        <f>J115/J116</f>
        <v>0.5</v>
      </c>
      <c r="L115" s="45"/>
    </row>
    <row r="116" spans="1:12">
      <c r="A116" s="46" t="s">
        <v>345</v>
      </c>
      <c r="B116" s="47">
        <f>B114+B115</f>
        <v>7</v>
      </c>
      <c r="C116" s="449">
        <f>C114+C115</f>
        <v>1</v>
      </c>
      <c r="D116" s="47">
        <f>D114+D115</f>
        <v>8</v>
      </c>
      <c r="E116" s="449">
        <f>E114+E115</f>
        <v>1</v>
      </c>
      <c r="F116" s="33"/>
      <c r="G116" s="46" t="s">
        <v>345</v>
      </c>
      <c r="H116" s="47">
        <f>H114+H115</f>
        <v>7</v>
      </c>
      <c r="I116" s="449">
        <f>I114+I115</f>
        <v>1</v>
      </c>
      <c r="J116" s="47">
        <f>J114+J115</f>
        <v>8</v>
      </c>
      <c r="K116" s="449">
        <f>K114+K115</f>
        <v>1</v>
      </c>
      <c r="L116" s="45"/>
    </row>
    <row r="117" spans="1:12">
      <c r="A117" s="52" t="s">
        <v>349</v>
      </c>
      <c r="B117" s="455" t="str">
        <f>'Khi2'!N180</f>
        <v>0.88*</v>
      </c>
      <c r="C117" s="494"/>
      <c r="D117" s="494"/>
      <c r="E117" s="494"/>
      <c r="F117" s="11"/>
      <c r="G117" s="52" t="s">
        <v>349</v>
      </c>
      <c r="H117" s="455" t="str">
        <f>'Khi2'!N188</f>
        <v>0.78*</v>
      </c>
      <c r="I117" s="45"/>
      <c r="J117" s="45"/>
      <c r="L117" s="45"/>
    </row>
    <row r="118" spans="1:12">
      <c r="A118" s="589"/>
      <c r="B118" s="589"/>
      <c r="C118" s="589"/>
      <c r="D118" s="589"/>
      <c r="E118" s="589"/>
      <c r="F118" s="11"/>
      <c r="G118" s="52"/>
      <c r="H118" s="33"/>
      <c r="I118" s="33"/>
      <c r="J118" s="33"/>
      <c r="K118" s="33"/>
      <c r="L118" s="45"/>
    </row>
    <row r="119" spans="1:12">
      <c r="A119" s="457" t="s">
        <v>745</v>
      </c>
      <c r="B119" s="460"/>
      <c r="C119" s="460"/>
      <c r="D119" s="460"/>
      <c r="E119" s="460"/>
      <c r="F119" s="11"/>
      <c r="G119" s="590" t="s">
        <v>746</v>
      </c>
      <c r="H119" s="590"/>
      <c r="I119" s="590"/>
      <c r="J119" s="590"/>
      <c r="K119" s="590"/>
      <c r="L119" s="45"/>
    </row>
    <row r="120" spans="1:12">
      <c r="A120" s="456" t="s">
        <v>292</v>
      </c>
      <c r="B120" s="462"/>
      <c r="C120" s="462"/>
      <c r="D120" s="462"/>
      <c r="E120" s="462"/>
      <c r="F120" s="11"/>
      <c r="G120" s="601" t="s">
        <v>294</v>
      </c>
      <c r="H120" s="601"/>
      <c r="I120" s="601"/>
      <c r="J120" s="601"/>
      <c r="K120" s="601"/>
      <c r="L120" s="45"/>
    </row>
    <row r="121" spans="1:12">
      <c r="A121" s="463" t="s">
        <v>293</v>
      </c>
      <c r="B121" s="464"/>
      <c r="C121" s="464"/>
      <c r="D121" s="464"/>
      <c r="E121" s="464"/>
      <c r="G121" s="614"/>
      <c r="H121" s="614"/>
      <c r="I121" s="614"/>
      <c r="J121" s="614"/>
      <c r="K121" s="614"/>
      <c r="L121" s="45"/>
    </row>
    <row r="122" spans="1:12">
      <c r="A122" s="609" t="s">
        <v>636</v>
      </c>
      <c r="B122" s="610"/>
      <c r="C122" s="610"/>
      <c r="D122" s="610"/>
      <c r="E122" s="610"/>
      <c r="F122" s="11"/>
      <c r="G122" s="633" t="s">
        <v>636</v>
      </c>
      <c r="H122" s="633"/>
      <c r="I122" s="633"/>
      <c r="J122" s="633"/>
      <c r="K122" s="633"/>
      <c r="L122" s="45"/>
    </row>
    <row r="123" spans="1:12">
      <c r="A123" s="357"/>
      <c r="B123" s="595" t="s">
        <v>102</v>
      </c>
      <c r="C123" s="596"/>
      <c r="D123" s="595" t="s">
        <v>55</v>
      </c>
      <c r="E123" s="596"/>
      <c r="F123" s="11"/>
      <c r="G123" s="598"/>
      <c r="H123" s="599" t="s">
        <v>102</v>
      </c>
      <c r="I123" s="600"/>
      <c r="J123" s="599" t="s">
        <v>55</v>
      </c>
      <c r="K123" s="600"/>
      <c r="L123" s="45"/>
    </row>
    <row r="124" spans="1:12">
      <c r="A124" s="358"/>
      <c r="B124" s="14" t="s">
        <v>103</v>
      </c>
      <c r="C124" s="14" t="s">
        <v>104</v>
      </c>
      <c r="D124" s="461" t="s">
        <v>103</v>
      </c>
      <c r="E124" s="14" t="s">
        <v>104</v>
      </c>
      <c r="F124" s="11"/>
      <c r="G124" s="594"/>
      <c r="H124" s="14" t="s">
        <v>103</v>
      </c>
      <c r="I124" s="14" t="s">
        <v>104</v>
      </c>
      <c r="J124" s="461" t="s">
        <v>103</v>
      </c>
      <c r="K124" s="14" t="s">
        <v>104</v>
      </c>
      <c r="L124" s="45"/>
    </row>
    <row r="125" spans="1:12">
      <c r="A125" s="15" t="s">
        <v>35</v>
      </c>
      <c r="B125" s="14">
        <f>GETPIVOTDATA("Répondant",Croisements!$A$256,"Question 12",1,"Question 30",1)</f>
        <v>2</v>
      </c>
      <c r="C125" s="16">
        <f>B125/B127</f>
        <v>0.2857142857142857</v>
      </c>
      <c r="D125" s="14">
        <f>GETPIVOTDATA("Répondant",Croisements!$A$256,"Question 12",1,"Question 30",2)</f>
        <v>6</v>
      </c>
      <c r="E125" s="16">
        <f>D125/D127</f>
        <v>0.75</v>
      </c>
      <c r="F125" s="11"/>
      <c r="G125" s="15" t="s">
        <v>35</v>
      </c>
      <c r="H125" s="14">
        <f>GETPIVOTDATA("Répondant",Croisements!$A$265,"Question 13",1,"Question 30",1)</f>
        <v>6</v>
      </c>
      <c r="I125" s="16">
        <f>H125/H127</f>
        <v>0.8571428571428571</v>
      </c>
      <c r="J125" s="14">
        <f>GETPIVOTDATA("Répondant",Croisements!$A$265,"Question 13",1,"Question 30",2)</f>
        <v>1</v>
      </c>
      <c r="K125" s="16">
        <f>J125/J127</f>
        <v>0.125</v>
      </c>
      <c r="L125" s="45"/>
    </row>
    <row r="126" spans="1:12">
      <c r="A126" s="15" t="s">
        <v>36</v>
      </c>
      <c r="B126" s="14">
        <f>GETPIVOTDATA("Répondant",Croisements!$A$256,"Question 12",2,"Question 30",1)</f>
        <v>5</v>
      </c>
      <c r="C126" s="16">
        <f>B126/B127</f>
        <v>0.7142857142857143</v>
      </c>
      <c r="D126" s="14">
        <f>GETPIVOTDATA("Répondant",Croisements!$A$256,"Question 12",2,"Question 30",2)</f>
        <v>2</v>
      </c>
      <c r="E126" s="16">
        <f>D126/D127</f>
        <v>0.25</v>
      </c>
      <c r="F126" s="45"/>
      <c r="G126" s="15" t="s">
        <v>36</v>
      </c>
      <c r="H126" s="14">
        <f>GETPIVOTDATA("Répondant",Croisements!$A$265,"Question 13",2,"Question 30",1)</f>
        <v>1</v>
      </c>
      <c r="I126" s="16">
        <f>H126/H127</f>
        <v>0.14285714285714285</v>
      </c>
      <c r="J126" s="14">
        <f>GETPIVOTDATA("Répondant",Croisements!$A$265,"Question 13",2,"Question 30",2)</f>
        <v>7</v>
      </c>
      <c r="K126" s="16">
        <f>J126/J127</f>
        <v>0.875</v>
      </c>
      <c r="L126" s="45"/>
    </row>
    <row r="127" spans="1:12">
      <c r="A127" s="46" t="s">
        <v>345</v>
      </c>
      <c r="B127" s="47">
        <f>B125+B126</f>
        <v>7</v>
      </c>
      <c r="C127" s="449">
        <f>C125+C126</f>
        <v>1</v>
      </c>
      <c r="D127" s="47">
        <f>D125+D126</f>
        <v>8</v>
      </c>
      <c r="E127" s="16">
        <f>E125+E126</f>
        <v>1</v>
      </c>
      <c r="F127" s="33"/>
      <c r="G127" s="46" t="s">
        <v>345</v>
      </c>
      <c r="H127" s="14">
        <f>H125+H126</f>
        <v>7</v>
      </c>
      <c r="I127" s="449">
        <f>I125+I126</f>
        <v>1</v>
      </c>
      <c r="J127" s="47">
        <f>J125+J126</f>
        <v>8</v>
      </c>
      <c r="K127" s="449">
        <f>K125+K126</f>
        <v>1</v>
      </c>
      <c r="L127" s="45"/>
    </row>
    <row r="128" spans="1:12">
      <c r="A128" s="52" t="s">
        <v>349</v>
      </c>
      <c r="B128" s="455" t="str">
        <f>'Khi2'!N196</f>
        <v>0.07*</v>
      </c>
      <c r="C128" s="469"/>
      <c r="D128" s="469"/>
      <c r="E128" s="469"/>
      <c r="F128" s="11"/>
      <c r="G128" s="52" t="s">
        <v>349</v>
      </c>
      <c r="H128" s="455">
        <f>'Khi2'!N204</f>
        <v>0</v>
      </c>
      <c r="I128" s="465"/>
      <c r="J128" s="465"/>
      <c r="K128" s="465"/>
      <c r="L128" s="45"/>
    </row>
    <row r="129" spans="1:12">
      <c r="A129" s="634"/>
      <c r="B129" s="634"/>
      <c r="C129" s="634"/>
      <c r="D129" s="634"/>
      <c r="E129" s="634"/>
      <c r="F129" s="11"/>
      <c r="G129" s="475"/>
      <c r="H129" s="479"/>
      <c r="I129" s="479"/>
      <c r="J129" s="479"/>
      <c r="K129" s="479"/>
      <c r="L129" s="45"/>
    </row>
    <row r="130" spans="1:12">
      <c r="A130" s="590" t="s">
        <v>747</v>
      </c>
      <c r="B130" s="605"/>
      <c r="C130" s="605"/>
      <c r="D130" s="605"/>
      <c r="E130" s="605"/>
      <c r="F130" s="11"/>
      <c r="G130" s="590" t="s">
        <v>748</v>
      </c>
      <c r="H130" s="590"/>
      <c r="I130" s="590"/>
      <c r="J130" s="590"/>
      <c r="K130" s="590"/>
      <c r="L130" s="45"/>
    </row>
    <row r="131" spans="1:12">
      <c r="A131" s="601" t="s">
        <v>295</v>
      </c>
      <c r="B131" s="607"/>
      <c r="C131" s="607"/>
      <c r="D131" s="607"/>
      <c r="E131" s="607"/>
      <c r="F131" s="11"/>
      <c r="G131" s="601" t="s">
        <v>296</v>
      </c>
      <c r="H131" s="601"/>
      <c r="I131" s="601"/>
      <c r="J131" s="601"/>
      <c r="K131" s="601"/>
      <c r="L131" s="45"/>
    </row>
    <row r="132" spans="1:12">
      <c r="A132" s="601" t="s">
        <v>146</v>
      </c>
      <c r="B132" s="607"/>
      <c r="C132" s="607"/>
      <c r="D132" s="607"/>
      <c r="E132" s="607"/>
      <c r="F132" s="11"/>
      <c r="G132" s="33"/>
      <c r="H132" s="33"/>
      <c r="I132" s="33"/>
      <c r="J132" s="33"/>
      <c r="K132" s="33"/>
      <c r="L132" s="45"/>
    </row>
    <row r="133" spans="1:12">
      <c r="A133" s="609" t="s">
        <v>636</v>
      </c>
      <c r="B133" s="610"/>
      <c r="C133" s="610"/>
      <c r="D133" s="610"/>
      <c r="E133" s="610"/>
      <c r="F133" s="11"/>
      <c r="G133" s="613" t="s">
        <v>636</v>
      </c>
      <c r="H133" s="613"/>
      <c r="I133" s="613"/>
      <c r="J133" s="613"/>
      <c r="K133" s="613"/>
      <c r="L133" s="45"/>
    </row>
    <row r="134" spans="1:12">
      <c r="A134" s="598"/>
      <c r="B134" s="599" t="s">
        <v>102</v>
      </c>
      <c r="C134" s="600"/>
      <c r="D134" s="599" t="s">
        <v>55</v>
      </c>
      <c r="E134" s="600"/>
      <c r="F134" s="11"/>
      <c r="G134" s="635"/>
      <c r="H134" s="635" t="s">
        <v>102</v>
      </c>
      <c r="I134" s="635"/>
      <c r="J134" s="635" t="s">
        <v>55</v>
      </c>
      <c r="K134" s="635"/>
      <c r="L134" s="45"/>
    </row>
    <row r="135" spans="1:12">
      <c r="A135" s="594"/>
      <c r="B135" s="14" t="s">
        <v>103</v>
      </c>
      <c r="C135" s="14" t="s">
        <v>104</v>
      </c>
      <c r="D135" s="461" t="s">
        <v>103</v>
      </c>
      <c r="E135" s="14" t="s">
        <v>104</v>
      </c>
      <c r="F135" s="11"/>
      <c r="G135" s="635"/>
      <c r="H135" s="14" t="s">
        <v>103</v>
      </c>
      <c r="I135" s="14" t="s">
        <v>104</v>
      </c>
      <c r="J135" s="461" t="s">
        <v>103</v>
      </c>
      <c r="K135" s="14" t="s">
        <v>104</v>
      </c>
    </row>
    <row r="136" spans="1:12">
      <c r="A136" s="15" t="s">
        <v>35</v>
      </c>
      <c r="B136" s="14">
        <f>GETPIVOTDATA("Répondant",Croisements!$A$274,"Question 14.1",1,"Question 30",1)</f>
        <v>1</v>
      </c>
      <c r="C136" s="16">
        <f>B136/B138</f>
        <v>0.14285714285714285</v>
      </c>
      <c r="D136" s="14">
        <f>GETPIVOTDATA("Répondant",Croisements!$A$274,"Question 14.1",1,"Question 30",2)</f>
        <v>7</v>
      </c>
      <c r="E136" s="16">
        <f>D136/D138</f>
        <v>0.875</v>
      </c>
      <c r="F136" s="11"/>
      <c r="G136" s="15" t="s">
        <v>35</v>
      </c>
      <c r="H136" s="14">
        <f>GETPIVOTDATA("Répondant",Croisements!$A$283,"Question 14.2",1,"Question 30",1)</f>
        <v>1</v>
      </c>
      <c r="I136" s="16">
        <f>H136/H138</f>
        <v>0.14285714285714285</v>
      </c>
      <c r="J136" s="14">
        <f>GETPIVOTDATA("Répondant",Croisements!$A$283,"Question 14.2",1,"Question 30",2)</f>
        <v>5</v>
      </c>
      <c r="K136" s="16">
        <f>J136/J138</f>
        <v>0.625</v>
      </c>
      <c r="L136" s="33"/>
    </row>
    <row r="137" spans="1:12">
      <c r="A137" s="15" t="s">
        <v>36</v>
      </c>
      <c r="B137" s="14">
        <f>GETPIVOTDATA("Répondant",Croisements!$A$274,"Question 14.1",2,"Question 30",1)</f>
        <v>6</v>
      </c>
      <c r="C137" s="16">
        <f>B137/B138</f>
        <v>0.8571428571428571</v>
      </c>
      <c r="D137" s="14">
        <f>GETPIVOTDATA("Répondant",Croisements!$A$274,"Question 14.1",2,"Question 30",2)</f>
        <v>1</v>
      </c>
      <c r="E137" s="16">
        <f>D137/D138</f>
        <v>0.125</v>
      </c>
      <c r="F137" s="45"/>
      <c r="G137" s="15" t="s">
        <v>36</v>
      </c>
      <c r="H137" s="14">
        <f>GETPIVOTDATA("Répondant",Croisements!$A$283,"Question 14.2",2,"Question 30",1)</f>
        <v>6</v>
      </c>
      <c r="I137" s="16">
        <f>H137/H138</f>
        <v>0.8571428571428571</v>
      </c>
      <c r="J137" s="14">
        <f>GETPIVOTDATA("Répondant",Croisements!$A$283,"Question 14.2",2,"Question 30",2)</f>
        <v>3</v>
      </c>
      <c r="K137" s="16">
        <f>J137/J138</f>
        <v>0.375</v>
      </c>
      <c r="L137" s="45"/>
    </row>
    <row r="138" spans="1:12">
      <c r="A138" s="48" t="s">
        <v>345</v>
      </c>
      <c r="B138" s="496">
        <f>B136+B137</f>
        <v>7</v>
      </c>
      <c r="C138" s="497">
        <f>C136+C137</f>
        <v>1</v>
      </c>
      <c r="D138" s="496">
        <f>D136+D137</f>
        <v>8</v>
      </c>
      <c r="E138" s="498">
        <f>E136+E137</f>
        <v>1</v>
      </c>
      <c r="F138" s="11"/>
      <c r="G138" s="46" t="s">
        <v>345</v>
      </c>
      <c r="H138" s="47">
        <f>H136+H137</f>
        <v>7</v>
      </c>
      <c r="I138" s="449">
        <f>I136+I137</f>
        <v>1</v>
      </c>
      <c r="J138" s="47">
        <f>J136+J137</f>
        <v>8</v>
      </c>
      <c r="K138" s="449">
        <f>K136+K137</f>
        <v>1</v>
      </c>
      <c r="L138" s="45"/>
    </row>
    <row r="139" spans="1:12">
      <c r="A139" s="52" t="s">
        <v>349</v>
      </c>
      <c r="B139" s="455">
        <f>'Khi2'!N212</f>
        <v>0</v>
      </c>
      <c r="C139" s="489"/>
      <c r="D139" s="489"/>
      <c r="E139" s="489"/>
      <c r="F139" s="11"/>
      <c r="G139" s="52" t="s">
        <v>349</v>
      </c>
      <c r="H139" s="455" t="str">
        <f>'Khi2'!N220</f>
        <v>0.06*</v>
      </c>
      <c r="I139" s="483"/>
      <c r="J139" s="483"/>
      <c r="K139" s="483"/>
      <c r="L139" s="45"/>
    </row>
    <row r="140" spans="1:12">
      <c r="A140" s="592"/>
      <c r="B140" s="592"/>
      <c r="C140" s="592"/>
      <c r="D140" s="592"/>
      <c r="E140" s="592"/>
      <c r="F140" s="11"/>
      <c r="G140" s="592"/>
      <c r="H140" s="629"/>
      <c r="I140" s="629"/>
      <c r="J140" s="629"/>
      <c r="K140" s="629"/>
      <c r="L140" s="45"/>
    </row>
    <row r="141" spans="1:12">
      <c r="A141" s="597" t="s">
        <v>749</v>
      </c>
      <c r="B141" s="608"/>
      <c r="C141" s="608"/>
      <c r="D141" s="608"/>
      <c r="E141" s="608"/>
      <c r="F141" s="11"/>
      <c r="G141" s="597" t="s">
        <v>750</v>
      </c>
      <c r="H141" s="597"/>
      <c r="I141" s="597"/>
      <c r="J141" s="597"/>
      <c r="K141" s="597"/>
      <c r="L141" s="45"/>
    </row>
    <row r="142" spans="1:12">
      <c r="A142" s="601" t="s">
        <v>297</v>
      </c>
      <c r="B142" s="607"/>
      <c r="C142" s="607"/>
      <c r="D142" s="607"/>
      <c r="E142" s="607"/>
      <c r="F142" s="11"/>
      <c r="G142" s="611" t="s">
        <v>455</v>
      </c>
      <c r="H142" s="611"/>
      <c r="I142" s="611"/>
      <c r="J142" s="611"/>
      <c r="K142" s="611"/>
      <c r="L142" s="45"/>
    </row>
    <row r="143" spans="1:12">
      <c r="A143" s="609" t="s">
        <v>636</v>
      </c>
      <c r="B143" s="610"/>
      <c r="C143" s="610"/>
      <c r="D143" s="610"/>
      <c r="E143" s="610"/>
      <c r="F143" s="11"/>
      <c r="G143" s="609" t="s">
        <v>636</v>
      </c>
      <c r="H143" s="609"/>
      <c r="I143" s="609"/>
      <c r="J143" s="609"/>
      <c r="K143" s="609"/>
      <c r="L143" s="45"/>
    </row>
    <row r="144" spans="1:12">
      <c r="A144" s="598"/>
      <c r="B144" s="599" t="s">
        <v>102</v>
      </c>
      <c r="C144" s="600"/>
      <c r="D144" s="599" t="s">
        <v>55</v>
      </c>
      <c r="E144" s="600"/>
      <c r="F144" s="11"/>
      <c r="G144" s="598"/>
      <c r="H144" s="599" t="s">
        <v>102</v>
      </c>
      <c r="I144" s="600"/>
      <c r="J144" s="599" t="s">
        <v>55</v>
      </c>
      <c r="K144" s="600"/>
      <c r="L144" s="45"/>
    </row>
    <row r="145" spans="1:12">
      <c r="A145" s="594"/>
      <c r="B145" s="14" t="s">
        <v>103</v>
      </c>
      <c r="C145" s="14" t="s">
        <v>104</v>
      </c>
      <c r="D145" s="461" t="s">
        <v>103</v>
      </c>
      <c r="E145" s="14" t="s">
        <v>104</v>
      </c>
      <c r="F145" s="11"/>
      <c r="G145" s="594"/>
      <c r="H145" s="14" t="s">
        <v>103</v>
      </c>
      <c r="I145" s="14" t="s">
        <v>104</v>
      </c>
      <c r="J145" s="461" t="s">
        <v>103</v>
      </c>
      <c r="K145" s="14" t="s">
        <v>104</v>
      </c>
      <c r="L145" s="45"/>
    </row>
    <row r="146" spans="1:12">
      <c r="A146" s="15" t="s">
        <v>35</v>
      </c>
      <c r="B146" s="14">
        <f>GETPIVOTDATA("Répondant",Croisements!$A$292,"Question 14.3",1,"Question 30",1)</f>
        <v>4</v>
      </c>
      <c r="C146" s="16">
        <f>B146/B148</f>
        <v>0.5714285714285714</v>
      </c>
      <c r="D146" s="14">
        <f>GETPIVOTDATA("Répondant",Croisements!$A$292,"Question 14.3",1,"Question 30",2)</f>
        <v>5</v>
      </c>
      <c r="E146" s="16">
        <f>D146/D148</f>
        <v>0.625</v>
      </c>
      <c r="F146" s="11"/>
      <c r="G146" s="15" t="s">
        <v>35</v>
      </c>
      <c r="H146" s="14">
        <f>GETPIVOTDATA("Répondant",Croisements!$A$301,"Question 14.4",1,"Question 30",1)</f>
        <v>4</v>
      </c>
      <c r="I146" s="16">
        <f>H146/H148</f>
        <v>0.5714285714285714</v>
      </c>
      <c r="J146" s="14">
        <f>GETPIVOTDATA("Répondant",Croisements!$A$301,"Question 14.4",1,"Question 30",2)</f>
        <v>3</v>
      </c>
      <c r="K146" s="16">
        <f>J146/J148</f>
        <v>0.375</v>
      </c>
      <c r="L146" s="45"/>
    </row>
    <row r="147" spans="1:12">
      <c r="A147" s="15" t="s">
        <v>36</v>
      </c>
      <c r="B147" s="14">
        <f>GETPIVOTDATA("Répondant",Croisements!$A$292,"Question 14.3",2,"Question 30",1)</f>
        <v>3</v>
      </c>
      <c r="C147" s="16">
        <f>B147/B148</f>
        <v>0.42857142857142855</v>
      </c>
      <c r="D147" s="14">
        <f>GETPIVOTDATA("Répondant",Croisements!$A$292,"Question 14.3",2,"Question 30",2)</f>
        <v>3</v>
      </c>
      <c r="E147" s="16">
        <f>D147/D148</f>
        <v>0.375</v>
      </c>
      <c r="F147" s="45"/>
      <c r="G147" s="15" t="s">
        <v>36</v>
      </c>
      <c r="H147" s="14">
        <f>GETPIVOTDATA("Répondant",Croisements!$A$301,"Question 14.4",2,"Question 30",1)</f>
        <v>3</v>
      </c>
      <c r="I147" s="16">
        <f>H147/H148</f>
        <v>0.42857142857142855</v>
      </c>
      <c r="J147" s="14">
        <f>GETPIVOTDATA("Répondant",Croisements!$A$301,"Question 14.4",2,"Question 30",2)</f>
        <v>5</v>
      </c>
      <c r="K147" s="16">
        <f>J147/J148</f>
        <v>0.625</v>
      </c>
    </row>
    <row r="148" spans="1:12">
      <c r="A148" s="46" t="s">
        <v>345</v>
      </c>
      <c r="B148" s="47">
        <f>B146+B147</f>
        <v>7</v>
      </c>
      <c r="C148" s="449">
        <f>C146+C147</f>
        <v>1</v>
      </c>
      <c r="D148" s="47">
        <f>D146+D147</f>
        <v>8</v>
      </c>
      <c r="E148" s="449">
        <f>E146+E147</f>
        <v>1</v>
      </c>
      <c r="F148" s="33"/>
      <c r="G148" s="46" t="s">
        <v>345</v>
      </c>
      <c r="H148" s="47">
        <f>H146+H147</f>
        <v>7</v>
      </c>
      <c r="I148" s="449">
        <f>I146+I147</f>
        <v>1</v>
      </c>
      <c r="J148" s="47">
        <f>J146+J147</f>
        <v>8</v>
      </c>
      <c r="K148" s="449">
        <f>K146+K147</f>
        <v>1</v>
      </c>
      <c r="L148" s="45"/>
    </row>
    <row r="149" spans="1:12">
      <c r="A149" s="52" t="s">
        <v>349</v>
      </c>
      <c r="B149" s="455" t="str">
        <f>'Khi2'!N228</f>
        <v>0.83*</v>
      </c>
      <c r="C149" s="494"/>
      <c r="D149" s="494"/>
      <c r="E149" s="494"/>
      <c r="F149" s="11"/>
      <c r="G149" s="52" t="s">
        <v>349</v>
      </c>
      <c r="H149" s="455" t="str">
        <f>'Khi2'!N236</f>
        <v>0.45*</v>
      </c>
      <c r="I149" s="494"/>
      <c r="J149" s="494"/>
      <c r="K149" s="494"/>
      <c r="L149" s="45"/>
    </row>
    <row r="150" spans="1:12">
      <c r="A150" s="589"/>
      <c r="B150" s="589"/>
      <c r="C150" s="589"/>
      <c r="D150" s="589"/>
      <c r="E150" s="589"/>
      <c r="F150" s="11"/>
      <c r="G150" s="597"/>
      <c r="H150" s="608"/>
      <c r="I150" s="608"/>
      <c r="J150" s="608"/>
      <c r="K150" s="608"/>
      <c r="L150" s="45"/>
    </row>
    <row r="151" spans="1:12">
      <c r="A151" s="590" t="s">
        <v>850</v>
      </c>
      <c r="B151" s="605"/>
      <c r="C151" s="605"/>
      <c r="D151" s="605"/>
      <c r="E151" s="605"/>
      <c r="F151" s="11"/>
      <c r="G151" s="590" t="s">
        <v>751</v>
      </c>
      <c r="H151" s="590"/>
      <c r="I151" s="590"/>
      <c r="J151" s="590"/>
      <c r="K151" s="590"/>
      <c r="L151" s="45"/>
    </row>
    <row r="152" spans="1:12">
      <c r="A152" s="601" t="s">
        <v>851</v>
      </c>
      <c r="B152" s="607"/>
      <c r="C152" s="607"/>
      <c r="D152" s="607"/>
      <c r="E152" s="607"/>
      <c r="F152" s="11"/>
      <c r="G152" s="601" t="s">
        <v>298</v>
      </c>
      <c r="H152" s="601"/>
      <c r="I152" s="601"/>
      <c r="J152" s="601"/>
      <c r="K152" s="601"/>
      <c r="L152" s="45"/>
    </row>
    <row r="153" spans="1:12">
      <c r="A153" s="609" t="s">
        <v>636</v>
      </c>
      <c r="B153" s="610"/>
      <c r="C153" s="610"/>
      <c r="D153" s="610"/>
      <c r="E153" s="610"/>
      <c r="F153" s="11"/>
      <c r="G153" s="609" t="s">
        <v>636</v>
      </c>
      <c r="H153" s="609"/>
      <c r="I153" s="609"/>
      <c r="J153" s="609"/>
      <c r="K153" s="609"/>
      <c r="L153" s="45"/>
    </row>
    <row r="154" spans="1:12">
      <c r="A154" s="598"/>
      <c r="B154" s="599" t="s">
        <v>102</v>
      </c>
      <c r="C154" s="600"/>
      <c r="D154" s="599" t="s">
        <v>55</v>
      </c>
      <c r="E154" s="600"/>
      <c r="F154" s="11"/>
      <c r="G154" s="598"/>
      <c r="H154" s="599" t="s">
        <v>102</v>
      </c>
      <c r="I154" s="600"/>
      <c r="J154" s="599" t="s">
        <v>55</v>
      </c>
      <c r="K154" s="600"/>
      <c r="L154" s="45"/>
    </row>
    <row r="155" spans="1:12">
      <c r="A155" s="594"/>
      <c r="B155" s="14" t="s">
        <v>103</v>
      </c>
      <c r="C155" s="14" t="s">
        <v>104</v>
      </c>
      <c r="D155" s="461" t="s">
        <v>103</v>
      </c>
      <c r="E155" s="14" t="s">
        <v>104</v>
      </c>
      <c r="F155" s="11"/>
      <c r="G155" s="594"/>
      <c r="H155" s="14" t="s">
        <v>103</v>
      </c>
      <c r="I155" s="14" t="s">
        <v>104</v>
      </c>
      <c r="J155" s="461" t="s">
        <v>103</v>
      </c>
      <c r="K155" s="14" t="s">
        <v>104</v>
      </c>
      <c r="L155" s="45"/>
    </row>
    <row r="156" spans="1:12">
      <c r="A156" s="15" t="s">
        <v>35</v>
      </c>
      <c r="B156" s="14">
        <f>GETPIVOTDATA("Répondant",Croisements!$A$310,"Question 14.5",1,"Question 30",1)</f>
        <v>3</v>
      </c>
      <c r="C156" s="16">
        <f>B156/B158</f>
        <v>0.42857142857142855</v>
      </c>
      <c r="D156" s="14">
        <f>GETPIVOTDATA("Répondant",Croisements!$A$310,"Question 14.5",1,"Question 30",2)</f>
        <v>5</v>
      </c>
      <c r="E156" s="16">
        <f>D156/D158</f>
        <v>0.625</v>
      </c>
      <c r="F156" s="11"/>
      <c r="G156" s="15" t="s">
        <v>35</v>
      </c>
      <c r="H156" s="14">
        <f>GETPIVOTDATA("Répondant",Croisements!$A$319,"Question 14.6",1,"Question 30",1)</f>
        <v>4</v>
      </c>
      <c r="I156" s="16">
        <f>H156/H158</f>
        <v>0.5714285714285714</v>
      </c>
      <c r="J156" s="14">
        <f>GETPIVOTDATA("Répondant",Croisements!$A$319,"Question 14.6",1,"Question 30",2)</f>
        <v>4</v>
      </c>
      <c r="K156" s="16">
        <f>J156/J158</f>
        <v>0.5</v>
      </c>
      <c r="L156" s="45"/>
    </row>
    <row r="157" spans="1:12">
      <c r="A157" s="15" t="s">
        <v>36</v>
      </c>
      <c r="B157" s="14">
        <f>GETPIVOTDATA("Répondant",Croisements!$A$310,"Question 14.5",2,"Question 30",1)</f>
        <v>4</v>
      </c>
      <c r="C157" s="16">
        <f>B157/B158</f>
        <v>0.5714285714285714</v>
      </c>
      <c r="D157" s="14">
        <f>GETPIVOTDATA("Répondant",Croisements!$A$310,"Question 14.5",2,"Question 30",2)</f>
        <v>3</v>
      </c>
      <c r="E157" s="16">
        <f>D157/D158</f>
        <v>0.375</v>
      </c>
      <c r="F157" s="45"/>
      <c r="G157" s="15" t="s">
        <v>36</v>
      </c>
      <c r="H157" s="14">
        <f>GETPIVOTDATA("Répondant",Croisements!$A$319,"Question 14.6",2,"Question 30",1)</f>
        <v>3</v>
      </c>
      <c r="I157" s="16">
        <f>H157/H158</f>
        <v>0.42857142857142855</v>
      </c>
      <c r="J157" s="14">
        <f>GETPIVOTDATA("Répondant",Croisements!$A$319,"Question 14.6",2,"Question 30",2)</f>
        <v>4</v>
      </c>
      <c r="K157" s="16">
        <f>J157/J158</f>
        <v>0.5</v>
      </c>
      <c r="L157" s="45"/>
    </row>
    <row r="158" spans="1:12">
      <c r="A158" s="46" t="s">
        <v>345</v>
      </c>
      <c r="B158" s="47">
        <f>B156+B157</f>
        <v>7</v>
      </c>
      <c r="C158" s="449">
        <f>C156+C157</f>
        <v>1</v>
      </c>
      <c r="D158" s="47">
        <f>D156+D157</f>
        <v>8</v>
      </c>
      <c r="E158" s="449">
        <f>E156+E157</f>
        <v>1</v>
      </c>
      <c r="F158" s="33"/>
      <c r="G158" s="46" t="s">
        <v>345</v>
      </c>
      <c r="H158" s="47">
        <f>H156+H157</f>
        <v>7</v>
      </c>
      <c r="I158" s="449">
        <f>I156+I157</f>
        <v>1</v>
      </c>
      <c r="J158" s="47">
        <f>J156+J157</f>
        <v>8</v>
      </c>
      <c r="K158" s="449">
        <f>K156+K157</f>
        <v>1</v>
      </c>
      <c r="L158" s="45"/>
    </row>
    <row r="159" spans="1:12">
      <c r="A159" s="52" t="s">
        <v>349</v>
      </c>
      <c r="B159" s="455" t="str">
        <f>'Khi2'!N244</f>
        <v>0.45*</v>
      </c>
      <c r="C159" s="490"/>
      <c r="D159" s="490"/>
      <c r="E159" s="490"/>
      <c r="F159" s="11"/>
      <c r="G159" s="52" t="s">
        <v>349</v>
      </c>
      <c r="H159" s="455" t="str">
        <f>'Khi2'!N252</f>
        <v>0.78*</v>
      </c>
      <c r="I159" s="490"/>
      <c r="J159" s="490"/>
      <c r="K159" s="491"/>
      <c r="L159" s="45"/>
    </row>
    <row r="160" spans="1:12">
      <c r="A160" s="591"/>
      <c r="B160" s="591"/>
      <c r="C160" s="591"/>
      <c r="D160" s="591"/>
      <c r="E160" s="591"/>
      <c r="F160" s="11"/>
      <c r="G160" s="589"/>
      <c r="H160" s="636"/>
      <c r="I160" s="636"/>
      <c r="J160" s="636"/>
      <c r="K160" s="636"/>
      <c r="L160" s="45"/>
    </row>
    <row r="161" spans="1:12">
      <c r="A161" s="597" t="s">
        <v>852</v>
      </c>
      <c r="B161" s="608"/>
      <c r="C161" s="608"/>
      <c r="D161" s="608"/>
      <c r="E161" s="608"/>
      <c r="F161" s="11"/>
      <c r="G161" s="597" t="s">
        <v>752</v>
      </c>
      <c r="H161" s="597"/>
      <c r="I161" s="597"/>
      <c r="J161" s="597"/>
      <c r="K161" s="597"/>
      <c r="L161" s="45"/>
    </row>
    <row r="162" spans="1:12">
      <c r="A162" s="601" t="s">
        <v>853</v>
      </c>
      <c r="B162" s="607"/>
      <c r="C162" s="607"/>
      <c r="D162" s="607"/>
      <c r="E162" s="607"/>
      <c r="F162" s="11"/>
      <c r="G162" s="601" t="s">
        <v>300</v>
      </c>
      <c r="H162" s="601"/>
      <c r="I162" s="601"/>
      <c r="J162" s="601"/>
      <c r="K162" s="601"/>
    </row>
    <row r="163" spans="1:12">
      <c r="A163" s="609" t="s">
        <v>636</v>
      </c>
      <c r="B163" s="610"/>
      <c r="C163" s="610"/>
      <c r="D163" s="610"/>
      <c r="E163" s="610"/>
      <c r="F163" s="11"/>
      <c r="G163" s="609" t="s">
        <v>636</v>
      </c>
      <c r="H163" s="609"/>
      <c r="I163" s="609"/>
      <c r="J163" s="609"/>
      <c r="K163" s="609"/>
      <c r="L163" s="45"/>
    </row>
    <row r="164" spans="1:12">
      <c r="A164" s="598"/>
      <c r="B164" s="599" t="s">
        <v>102</v>
      </c>
      <c r="C164" s="600"/>
      <c r="D164" s="599" t="s">
        <v>55</v>
      </c>
      <c r="E164" s="600"/>
      <c r="F164" s="11"/>
      <c r="G164" s="598"/>
      <c r="H164" s="599" t="s">
        <v>102</v>
      </c>
      <c r="I164" s="600"/>
      <c r="J164" s="599" t="s">
        <v>55</v>
      </c>
      <c r="K164" s="600"/>
      <c r="L164" s="45"/>
    </row>
    <row r="165" spans="1:12">
      <c r="A165" s="594"/>
      <c r="B165" s="14" t="s">
        <v>103</v>
      </c>
      <c r="C165" s="14" t="s">
        <v>104</v>
      </c>
      <c r="D165" s="461" t="s">
        <v>103</v>
      </c>
      <c r="E165" s="14" t="s">
        <v>104</v>
      </c>
      <c r="F165" s="11"/>
      <c r="G165" s="594"/>
      <c r="H165" s="14" t="s">
        <v>103</v>
      </c>
      <c r="I165" s="14" t="s">
        <v>104</v>
      </c>
      <c r="J165" s="461" t="s">
        <v>103</v>
      </c>
      <c r="K165" s="14" t="s">
        <v>104</v>
      </c>
      <c r="L165" s="45"/>
    </row>
    <row r="166" spans="1:12">
      <c r="A166" s="15" t="s">
        <v>35</v>
      </c>
      <c r="B166" s="14">
        <f>GETPIVOTDATA("Répondant",Croisements!$A$328,"Question 14.7",1,"Question 30",1)</f>
        <v>5</v>
      </c>
      <c r="C166" s="16">
        <f>B166/B168</f>
        <v>0.7142857142857143</v>
      </c>
      <c r="D166" s="14">
        <f>GETPIVOTDATA("Répondant",Croisements!$A$328,"Question 14.7",1,"Question 30",2)</f>
        <v>3</v>
      </c>
      <c r="E166" s="16">
        <f>D166/D168</f>
        <v>0.375</v>
      </c>
      <c r="F166" s="11"/>
      <c r="G166" s="15" t="s">
        <v>35</v>
      </c>
      <c r="H166" s="14">
        <f>GETPIVOTDATA("Répondant",Croisements!$A$337,"Question 14.8",1,"Question 30",1)</f>
        <v>2</v>
      </c>
      <c r="I166" s="16">
        <f>H166/H168</f>
        <v>0.2857142857142857</v>
      </c>
      <c r="J166" s="14">
        <f>GETPIVOTDATA("Répondant",Croisements!$A$337,"Question 14.8",1,"Question 30",2)</f>
        <v>5</v>
      </c>
      <c r="K166" s="16">
        <f>J166/J168</f>
        <v>0.625</v>
      </c>
      <c r="L166" s="45"/>
    </row>
    <row r="167" spans="1:12">
      <c r="A167" s="15" t="s">
        <v>36</v>
      </c>
      <c r="B167" s="14">
        <f>GETPIVOTDATA("Répondant",Croisements!$A$328,"Question 14.7",2,"Question 30",1)</f>
        <v>2</v>
      </c>
      <c r="C167" s="16">
        <f>B167/B168</f>
        <v>0.2857142857142857</v>
      </c>
      <c r="D167" s="14">
        <f>GETPIVOTDATA("Répondant",Croisements!$A$328,"Question 14.7",2,"Question 30",2)</f>
        <v>5</v>
      </c>
      <c r="E167" s="16">
        <f>D167/D168</f>
        <v>0.625</v>
      </c>
      <c r="F167" s="45"/>
      <c r="G167" s="15" t="s">
        <v>36</v>
      </c>
      <c r="H167" s="14">
        <f>GETPIVOTDATA("Répondant",Croisements!$A$337,"Question 14.8",2,"Question 30",1)</f>
        <v>5</v>
      </c>
      <c r="I167" s="16">
        <f>H167/H168</f>
        <v>0.7142857142857143</v>
      </c>
      <c r="J167" s="14">
        <f>GETPIVOTDATA("Répondant",Croisements!$A$337,"Question 14.8",2,"Question 30",2)</f>
        <v>3</v>
      </c>
      <c r="K167" s="16">
        <f>J167/J168</f>
        <v>0.375</v>
      </c>
      <c r="L167" s="45"/>
    </row>
    <row r="168" spans="1:12">
      <c r="A168" s="46" t="s">
        <v>345</v>
      </c>
      <c r="B168" s="47">
        <f>B166+B167</f>
        <v>7</v>
      </c>
      <c r="C168" s="449">
        <f>C166+C167</f>
        <v>1</v>
      </c>
      <c r="D168" s="47">
        <f>D166+D167</f>
        <v>8</v>
      </c>
      <c r="E168" s="449">
        <f>E166+E167</f>
        <v>1</v>
      </c>
      <c r="F168" s="33"/>
      <c r="G168" s="46" t="s">
        <v>345</v>
      </c>
      <c r="H168" s="47">
        <f>H166+H167</f>
        <v>7</v>
      </c>
      <c r="I168" s="449">
        <f>I166+I167</f>
        <v>1</v>
      </c>
      <c r="J168" s="47">
        <f>J166+J167</f>
        <v>8</v>
      </c>
      <c r="K168" s="449">
        <f>K166+K167</f>
        <v>1</v>
      </c>
      <c r="L168" s="45"/>
    </row>
    <row r="169" spans="1:12">
      <c r="A169" s="52" t="s">
        <v>349</v>
      </c>
      <c r="B169" s="455" t="str">
        <f>'Khi2'!N260</f>
        <v>0.19*</v>
      </c>
      <c r="C169" s="483"/>
      <c r="D169" s="483"/>
      <c r="E169" s="483"/>
      <c r="F169" s="11"/>
      <c r="G169" s="52" t="s">
        <v>349</v>
      </c>
      <c r="H169" s="455" t="str">
        <f>'Khi2'!N268</f>
        <v>0.19*</v>
      </c>
      <c r="I169" s="483"/>
      <c r="J169" s="483"/>
      <c r="K169" s="499"/>
      <c r="L169" s="45"/>
    </row>
    <row r="170" spans="1:12">
      <c r="A170" s="589"/>
      <c r="B170" s="589"/>
      <c r="C170" s="589"/>
      <c r="D170" s="589"/>
      <c r="E170" s="589"/>
      <c r="F170" s="11"/>
      <c r="G170" s="591"/>
      <c r="H170" s="622"/>
      <c r="I170" s="622"/>
      <c r="J170" s="622"/>
      <c r="K170" s="622"/>
      <c r="L170" s="45"/>
    </row>
    <row r="171" spans="1:12">
      <c r="A171" s="597" t="s">
        <v>957</v>
      </c>
      <c r="B171" s="608"/>
      <c r="C171" s="608"/>
      <c r="D171" s="608"/>
      <c r="E171" s="608"/>
      <c r="F171" s="11"/>
      <c r="G171" s="621" t="s">
        <v>753</v>
      </c>
      <c r="H171" s="621"/>
      <c r="I171" s="621"/>
      <c r="J171" s="621"/>
      <c r="K171" s="621"/>
      <c r="L171" s="45"/>
    </row>
    <row r="172" spans="1:12">
      <c r="A172" s="601" t="s">
        <v>456</v>
      </c>
      <c r="B172" s="607"/>
      <c r="C172" s="607"/>
      <c r="D172" s="607"/>
      <c r="E172" s="607"/>
      <c r="F172" s="11"/>
      <c r="G172" s="601" t="s">
        <v>45</v>
      </c>
      <c r="H172" s="601"/>
      <c r="I172" s="601"/>
      <c r="J172" s="601"/>
      <c r="K172" s="601"/>
      <c r="L172" s="45"/>
    </row>
    <row r="173" spans="1:12">
      <c r="A173" s="609" t="s">
        <v>636</v>
      </c>
      <c r="B173" s="610"/>
      <c r="C173" s="610"/>
      <c r="D173" s="610"/>
      <c r="E173" s="610"/>
      <c r="F173" s="11"/>
      <c r="G173" s="609" t="s">
        <v>636</v>
      </c>
      <c r="H173" s="609"/>
      <c r="I173" s="609"/>
      <c r="J173" s="609"/>
      <c r="K173" s="609"/>
      <c r="L173" s="45"/>
    </row>
    <row r="174" spans="1:12">
      <c r="A174" s="598"/>
      <c r="B174" s="599" t="s">
        <v>102</v>
      </c>
      <c r="C174" s="600"/>
      <c r="D174" s="599" t="s">
        <v>55</v>
      </c>
      <c r="E174" s="600"/>
      <c r="F174" s="11"/>
      <c r="G174" s="598"/>
      <c r="H174" s="599" t="s">
        <v>102</v>
      </c>
      <c r="I174" s="600"/>
      <c r="J174" s="599" t="s">
        <v>55</v>
      </c>
      <c r="K174" s="600"/>
      <c r="L174" s="45"/>
    </row>
    <row r="175" spans="1:12">
      <c r="A175" s="594"/>
      <c r="B175" s="14" t="s">
        <v>103</v>
      </c>
      <c r="C175" s="14" t="s">
        <v>104</v>
      </c>
      <c r="D175" s="461" t="s">
        <v>103</v>
      </c>
      <c r="E175" s="14" t="s">
        <v>104</v>
      </c>
      <c r="F175" s="11"/>
      <c r="G175" s="594"/>
      <c r="H175" s="14" t="s">
        <v>103</v>
      </c>
      <c r="I175" s="14" t="s">
        <v>104</v>
      </c>
      <c r="J175" s="461" t="s">
        <v>103</v>
      </c>
      <c r="K175" s="14" t="s">
        <v>104</v>
      </c>
      <c r="L175" s="45"/>
    </row>
    <row r="176" spans="1:12">
      <c r="A176" s="15" t="s">
        <v>35</v>
      </c>
      <c r="B176" s="14">
        <f>GETPIVOTDATA("Répondant",Croisements!$A$346,"Question 15",1,"Question 30",1)</f>
        <v>2</v>
      </c>
      <c r="C176" s="16">
        <f>B176/B178</f>
        <v>0.2857142857142857</v>
      </c>
      <c r="D176" s="14">
        <f>GETPIVOTDATA("Répondant",Croisements!$A$346,"Question 15",1,"Question 30",2)</f>
        <v>5</v>
      </c>
      <c r="E176" s="16">
        <f>D176/D178</f>
        <v>0.625</v>
      </c>
      <c r="F176" s="11"/>
      <c r="G176" s="15" t="s">
        <v>35</v>
      </c>
      <c r="H176" s="14">
        <f>GETPIVOTDATA("Répondant",Croisements!$A$355,"Question 15A",1,"Question 30",1)</f>
        <v>1</v>
      </c>
      <c r="I176" s="16">
        <f>H176/H178</f>
        <v>0.5</v>
      </c>
      <c r="J176" s="14">
        <f>GETPIVOTDATA("Répondant",Croisements!$A$355,"Question 15A",1,"Question 30",2)</f>
        <v>3</v>
      </c>
      <c r="K176" s="16">
        <f>J176/J178</f>
        <v>0.6</v>
      </c>
      <c r="L176" s="45"/>
    </row>
    <row r="177" spans="1:12">
      <c r="A177" s="15" t="s">
        <v>36</v>
      </c>
      <c r="B177" s="14">
        <f>GETPIVOTDATA("Répondant",Croisements!$A$346,"Question 15",2,"Question 30",1)</f>
        <v>5</v>
      </c>
      <c r="C177" s="16">
        <f>B177/B178</f>
        <v>0.7142857142857143</v>
      </c>
      <c r="D177" s="14">
        <f>GETPIVOTDATA("Répondant",Croisements!$A$346,"Question 15",2,"Question 30",2)</f>
        <v>3</v>
      </c>
      <c r="E177" s="16">
        <f>D177/D178</f>
        <v>0.375</v>
      </c>
      <c r="F177" s="45"/>
      <c r="G177" s="15" t="s">
        <v>36</v>
      </c>
      <c r="H177" s="14">
        <f>GETPIVOTDATA("Répondant",Croisements!$A$355,"Question 15A",2,"Question 30",1)</f>
        <v>1</v>
      </c>
      <c r="I177" s="16">
        <f>H177/H178</f>
        <v>0.5</v>
      </c>
      <c r="J177" s="14">
        <f>GETPIVOTDATA("Répondant",Croisements!$A$355,"Question 15A",2,"Question 30",2)</f>
        <v>2</v>
      </c>
      <c r="K177" s="16">
        <f>J177/J178</f>
        <v>0.4</v>
      </c>
      <c r="L177" s="45"/>
    </row>
    <row r="178" spans="1:12">
      <c r="A178" s="46" t="s">
        <v>345</v>
      </c>
      <c r="B178" s="47">
        <f>B176+B177</f>
        <v>7</v>
      </c>
      <c r="C178" s="449">
        <f>C176+C177</f>
        <v>1</v>
      </c>
      <c r="D178" s="47">
        <f>D176+D177</f>
        <v>8</v>
      </c>
      <c r="E178" s="449">
        <f>E176+E177</f>
        <v>1</v>
      </c>
      <c r="F178" s="33"/>
      <c r="G178" s="46" t="s">
        <v>345</v>
      </c>
      <c r="H178" s="47">
        <f>H176+H177</f>
        <v>2</v>
      </c>
      <c r="I178" s="449">
        <f>I176+I177</f>
        <v>1</v>
      </c>
      <c r="J178" s="47">
        <f>J176+J177</f>
        <v>5</v>
      </c>
      <c r="K178" s="449">
        <f>K176+K177</f>
        <v>1</v>
      </c>
      <c r="L178" s="45"/>
    </row>
    <row r="179" spans="1:12">
      <c r="A179" s="52" t="s">
        <v>349</v>
      </c>
      <c r="B179" s="455" t="str">
        <f>'Khi2'!N276</f>
        <v>0.19*</v>
      </c>
      <c r="C179" s="499"/>
      <c r="D179" s="483"/>
      <c r="E179" s="499"/>
      <c r="F179" s="11"/>
      <c r="G179" s="52" t="s">
        <v>349</v>
      </c>
      <c r="H179" s="455" t="str">
        <f>'Khi2'!N284</f>
        <v>0.81*</v>
      </c>
      <c r="I179" s="483"/>
      <c r="J179" s="483"/>
      <c r="K179" s="483"/>
      <c r="L179" s="45"/>
    </row>
    <row r="180" spans="1:12">
      <c r="A180" s="591"/>
      <c r="B180" s="591"/>
      <c r="C180" s="591"/>
      <c r="D180" s="591"/>
      <c r="E180" s="591"/>
      <c r="G180" s="597"/>
      <c r="H180" s="608"/>
      <c r="I180" s="608"/>
      <c r="J180" s="608"/>
      <c r="K180" s="608"/>
      <c r="L180" s="45"/>
    </row>
    <row r="181" spans="1:12">
      <c r="A181" s="597" t="s">
        <v>754</v>
      </c>
      <c r="B181" s="608"/>
      <c r="C181" s="608"/>
      <c r="D181" s="608"/>
      <c r="E181" s="608"/>
      <c r="F181" s="11"/>
      <c r="G181" s="590" t="s">
        <v>755</v>
      </c>
      <c r="H181" s="590"/>
      <c r="I181" s="590"/>
      <c r="J181" s="590"/>
      <c r="K181" s="590"/>
      <c r="L181" s="45"/>
    </row>
    <row r="182" spans="1:12">
      <c r="A182" s="601" t="s">
        <v>457</v>
      </c>
      <c r="B182" s="607"/>
      <c r="C182" s="607"/>
      <c r="D182" s="607"/>
      <c r="E182" s="607"/>
      <c r="F182" s="11"/>
      <c r="G182" s="601" t="s">
        <v>958</v>
      </c>
      <c r="H182" s="601"/>
      <c r="I182" s="601"/>
      <c r="J182" s="601"/>
      <c r="K182" s="601"/>
      <c r="L182" s="45"/>
    </row>
    <row r="183" spans="1:12">
      <c r="A183" s="609" t="s">
        <v>636</v>
      </c>
      <c r="B183" s="610"/>
      <c r="C183" s="610"/>
      <c r="D183" s="610"/>
      <c r="E183" s="610"/>
      <c r="F183" s="11"/>
      <c r="G183" s="609" t="s">
        <v>636</v>
      </c>
      <c r="H183" s="609"/>
      <c r="I183" s="609"/>
      <c r="J183" s="609"/>
      <c r="K183" s="609"/>
      <c r="L183" s="45"/>
    </row>
    <row r="184" spans="1:12">
      <c r="A184" s="598"/>
      <c r="B184" s="599" t="s">
        <v>102</v>
      </c>
      <c r="C184" s="600"/>
      <c r="D184" s="599" t="s">
        <v>55</v>
      </c>
      <c r="E184" s="600"/>
      <c r="F184" s="11"/>
      <c r="G184" s="598"/>
      <c r="H184" s="599" t="s">
        <v>102</v>
      </c>
      <c r="I184" s="600"/>
      <c r="J184" s="599" t="s">
        <v>55</v>
      </c>
      <c r="K184" s="600"/>
      <c r="L184" s="45"/>
    </row>
    <row r="185" spans="1:12">
      <c r="A185" s="594"/>
      <c r="B185" s="14" t="s">
        <v>103</v>
      </c>
      <c r="C185" s="14" t="s">
        <v>104</v>
      </c>
      <c r="D185" s="461" t="s">
        <v>103</v>
      </c>
      <c r="E185" s="14" t="s">
        <v>104</v>
      </c>
      <c r="F185" s="11"/>
      <c r="G185" s="594"/>
      <c r="H185" s="14" t="s">
        <v>103</v>
      </c>
      <c r="I185" s="14" t="s">
        <v>104</v>
      </c>
      <c r="J185" s="461" t="s">
        <v>103</v>
      </c>
      <c r="K185" s="14" t="s">
        <v>104</v>
      </c>
      <c r="L185" s="45"/>
    </row>
    <row r="186" spans="1:12">
      <c r="A186" s="32" t="s">
        <v>460</v>
      </c>
      <c r="B186" s="14">
        <f>GETPIVOTDATA("Répondant",Croisements!$A$365,"Question 16.1",1,"Question 30",1)+GETPIVOTDATA("Répondant",Croisements!$A$365,"Question 16.1",2,"Question 30",1)</f>
        <v>4</v>
      </c>
      <c r="C186" s="16">
        <f>B186/B188</f>
        <v>0.5714285714285714</v>
      </c>
      <c r="D186" s="14">
        <f>GETPIVOTDATA("Répondant",Croisements!$A$365,"Question 16.1",1,"Question 30",2)+GETPIVOTDATA("Répondant",Croisements!$A$365,"Question 16.1",2,"Question 30",2)</f>
        <v>3</v>
      </c>
      <c r="E186" s="16">
        <f>D186/D188</f>
        <v>0.42857142857142855</v>
      </c>
      <c r="F186" s="11"/>
      <c r="G186" s="32" t="s">
        <v>460</v>
      </c>
      <c r="H186" s="14">
        <f>GETPIVOTDATA("Répondant",Croisements!$A$377,"Question 16.2",1,"Question 30",1)+GETPIVOTDATA("Répondant",Croisements!$A$377,"Question 16.2",2,"Question 30",1)</f>
        <v>5</v>
      </c>
      <c r="I186" s="16">
        <f>H186/H188</f>
        <v>0.83333333333333337</v>
      </c>
      <c r="J186" s="14">
        <f>GETPIVOTDATA("Répondant",Croisements!$A$377,"Question 16.2",1,"Question 30",2)+GETPIVOTDATA("Répondant",Croisements!$A$377,"Question 16.2",2,"Question 30",2)</f>
        <v>3</v>
      </c>
      <c r="K186" s="16">
        <f>J186/J188</f>
        <v>0.42857142857142855</v>
      </c>
      <c r="L186" s="45"/>
    </row>
    <row r="187" spans="1:12">
      <c r="A187" s="32" t="s">
        <v>461</v>
      </c>
      <c r="B187" s="14">
        <f>GETPIVOTDATA("Répondant",Croisements!$A$365,"Question 16.1",3,"Question 30",1)+GETPIVOTDATA("Répondant",Croisements!$A$365,"Question 16.1",4,"Question 30",1)</f>
        <v>3</v>
      </c>
      <c r="C187" s="16">
        <f>B187/B188</f>
        <v>0.42857142857142855</v>
      </c>
      <c r="D187" s="14">
        <f>GETPIVOTDATA("Répondant",Croisements!$A$365,"Question 16.1",3,"Question 30",2)+GETPIVOTDATA("Répondant",Croisements!$A$365,"Question 16.1",4,"Question 30",2)</f>
        <v>4</v>
      </c>
      <c r="E187" s="16">
        <f>D187/D188</f>
        <v>0.5714285714285714</v>
      </c>
      <c r="F187" s="45"/>
      <c r="G187" s="32" t="s">
        <v>461</v>
      </c>
      <c r="H187" s="14">
        <f>GETPIVOTDATA("Répondant",Croisements!$A$377,"Question 16.2",3,"Question 30",1)+GETPIVOTDATA("Répondant",Croisements!$A$377,"Question 16.2",4,"Question 30",1)</f>
        <v>1</v>
      </c>
      <c r="I187" s="16">
        <f>H187/H188</f>
        <v>0.16666666666666666</v>
      </c>
      <c r="J187" s="14">
        <f>GETPIVOTDATA("Répondant",Croisements!$A$377,"Question 16.2",3,"Question 30",2)+GETPIVOTDATA("Répondant",Croisements!$A$377,"Question 16.2",4,"Question 30",2)</f>
        <v>4</v>
      </c>
      <c r="K187" s="16">
        <f>J187/J188</f>
        <v>0.5714285714285714</v>
      </c>
      <c r="L187" s="45"/>
    </row>
    <row r="188" spans="1:12">
      <c r="A188" s="46" t="s">
        <v>345</v>
      </c>
      <c r="B188" s="47">
        <f>B186+B187</f>
        <v>7</v>
      </c>
      <c r="C188" s="449">
        <f>C186+C187</f>
        <v>1</v>
      </c>
      <c r="D188" s="47">
        <f>D186+D187</f>
        <v>7</v>
      </c>
      <c r="E188" s="449">
        <f>E186+E187</f>
        <v>1</v>
      </c>
      <c r="F188" s="33"/>
      <c r="G188" s="46" t="s">
        <v>345</v>
      </c>
      <c r="H188" s="47">
        <f>H186+H187</f>
        <v>6</v>
      </c>
      <c r="I188" s="449">
        <f>I186+I187</f>
        <v>1</v>
      </c>
      <c r="J188" s="47">
        <f>J186+J187</f>
        <v>7</v>
      </c>
      <c r="K188" s="449">
        <f>K186+K187</f>
        <v>1</v>
      </c>
      <c r="L188" s="45"/>
    </row>
    <row r="189" spans="1:12">
      <c r="A189" s="52" t="s">
        <v>349</v>
      </c>
      <c r="B189" s="455" t="str">
        <f>'Khi2'!N292</f>
        <v>0.59*</v>
      </c>
      <c r="C189" s="490"/>
      <c r="D189" s="490"/>
      <c r="E189" s="491"/>
      <c r="F189" s="11"/>
      <c r="G189" s="52" t="s">
        <v>349</v>
      </c>
      <c r="H189" s="455" t="str">
        <f>'Khi2'!N300</f>
        <v>0.13*</v>
      </c>
      <c r="I189" s="483"/>
      <c r="J189" s="483"/>
      <c r="K189" s="483"/>
      <c r="L189" s="45"/>
    </row>
    <row r="190" spans="1:12">
      <c r="A190" s="621"/>
      <c r="B190" s="621"/>
      <c r="C190" s="621"/>
      <c r="D190" s="621"/>
      <c r="E190" s="621"/>
      <c r="F190" s="11"/>
      <c r="G190" s="591"/>
      <c r="H190" s="622"/>
      <c r="I190" s="622"/>
      <c r="J190" s="622"/>
      <c r="K190" s="622"/>
      <c r="L190" s="45"/>
    </row>
    <row r="191" spans="1:12">
      <c r="A191" s="590" t="s">
        <v>966</v>
      </c>
      <c r="B191" s="605"/>
      <c r="C191" s="605"/>
      <c r="D191" s="605"/>
      <c r="E191" s="605"/>
      <c r="F191" s="11"/>
      <c r="G191" s="621" t="s">
        <v>756</v>
      </c>
      <c r="H191" s="621"/>
      <c r="I191" s="621"/>
      <c r="J191" s="621"/>
      <c r="K191" s="621"/>
      <c r="L191" s="45"/>
    </row>
    <row r="192" spans="1:12">
      <c r="A192" s="601" t="s">
        <v>959</v>
      </c>
      <c r="B192" s="607"/>
      <c r="C192" s="607"/>
      <c r="D192" s="607"/>
      <c r="E192" s="607"/>
      <c r="G192" s="356" t="s">
        <v>868</v>
      </c>
      <c r="H192" s="356"/>
      <c r="I192" s="356"/>
      <c r="J192" s="356"/>
      <c r="K192" s="356"/>
      <c r="L192" s="45"/>
    </row>
    <row r="193" spans="1:12">
      <c r="A193" s="609" t="s">
        <v>636</v>
      </c>
      <c r="B193" s="610"/>
      <c r="C193" s="610"/>
      <c r="D193" s="610"/>
      <c r="E193" s="610"/>
      <c r="F193" s="11"/>
      <c r="G193" s="609" t="s">
        <v>636</v>
      </c>
      <c r="H193" s="609"/>
      <c r="I193" s="609"/>
      <c r="J193" s="609"/>
      <c r="K193" s="609"/>
      <c r="L193" s="45"/>
    </row>
    <row r="194" spans="1:12">
      <c r="A194" s="598"/>
      <c r="B194" s="599" t="s">
        <v>102</v>
      </c>
      <c r="C194" s="600"/>
      <c r="D194" s="599" t="s">
        <v>55</v>
      </c>
      <c r="E194" s="600"/>
      <c r="F194" s="11"/>
      <c r="G194" s="598"/>
      <c r="H194" s="599" t="s">
        <v>102</v>
      </c>
      <c r="I194" s="600"/>
      <c r="J194" s="599" t="s">
        <v>55</v>
      </c>
      <c r="K194" s="600"/>
      <c r="L194" s="45"/>
    </row>
    <row r="195" spans="1:12">
      <c r="A195" s="594"/>
      <c r="B195" s="14" t="s">
        <v>103</v>
      </c>
      <c r="C195" s="14" t="s">
        <v>104</v>
      </c>
      <c r="D195" s="461" t="s">
        <v>103</v>
      </c>
      <c r="E195" s="14" t="s">
        <v>104</v>
      </c>
      <c r="F195" s="11"/>
      <c r="G195" s="594"/>
      <c r="H195" s="14" t="s">
        <v>103</v>
      </c>
      <c r="I195" s="14" t="s">
        <v>104</v>
      </c>
      <c r="J195" s="461" t="s">
        <v>103</v>
      </c>
      <c r="K195" s="14" t="s">
        <v>104</v>
      </c>
      <c r="L195" s="45"/>
    </row>
    <row r="196" spans="1:12">
      <c r="A196" s="32" t="s">
        <v>460</v>
      </c>
      <c r="B196" s="14">
        <f>GETPIVOTDATA("Répondant",Croisements!$A$389,"Question 16.3",1,"Question 30",1)+GETPIVOTDATA("Répondant",Croisements!$A$389,"Question 16.3",2,"Question 30",1)</f>
        <v>3</v>
      </c>
      <c r="C196" s="16">
        <f>B196/B198</f>
        <v>0.42857142857142855</v>
      </c>
      <c r="D196" s="14">
        <f>GETPIVOTDATA("Répondant",Croisements!$A$389,"Question 16.3",1,"Question 30",2)+GETPIVOTDATA("Répondant",Croisements!$A$389,"Question 16.3",2,"Question 30",2)</f>
        <v>5</v>
      </c>
      <c r="E196" s="16">
        <f>D196/D198</f>
        <v>0.7142857142857143</v>
      </c>
      <c r="F196" s="11"/>
      <c r="G196" s="32" t="s">
        <v>611</v>
      </c>
      <c r="H196" s="14">
        <f>GETPIVOTDATA("Répondant",Croisements!$A$400,"Question 17",1,"Question 30",1)</f>
        <v>1</v>
      </c>
      <c r="I196" s="16">
        <f>H196/$H$199</f>
        <v>0.16666666666666666</v>
      </c>
      <c r="J196" s="14">
        <f>GETPIVOTDATA("Répondant",Croisements!$A$400,"Question 17",1,"Question 30",2)</f>
        <v>4</v>
      </c>
      <c r="K196" s="16">
        <f>J196/$J$199</f>
        <v>0.5</v>
      </c>
    </row>
    <row r="197" spans="1:12">
      <c r="A197" s="32" t="s">
        <v>461</v>
      </c>
      <c r="B197" s="14">
        <f>GETPIVOTDATA("Répondant",Croisements!$A$389,"Question 16.3",3,"Question 30",1)+GETPIVOTDATA("Répondant",Croisements!$A$389,"Question 16.3",4,"Question 30",1)</f>
        <v>4</v>
      </c>
      <c r="C197" s="16">
        <f>B197/B198</f>
        <v>0.5714285714285714</v>
      </c>
      <c r="D197" s="14">
        <f>GETPIVOTDATA("Répondant",Croisements!$A$389,"Question 16.3",3,"Question 30",2)+GETPIVOTDATA("Répondant",Croisements!$A$389,"Question 16.3",4,"Question 30",2)</f>
        <v>2</v>
      </c>
      <c r="E197" s="16">
        <f>D197/D198</f>
        <v>0.2857142857142857</v>
      </c>
      <c r="F197" s="45"/>
      <c r="G197" s="32" t="s">
        <v>612</v>
      </c>
      <c r="H197" s="14">
        <f>GETPIVOTDATA("Répondant",Croisements!$A$400,"Question 17",2,"Question 30",1)</f>
        <v>3</v>
      </c>
      <c r="I197" s="16">
        <f t="shared" ref="I197:I199" si="6">H197/$H$199</f>
        <v>0.5</v>
      </c>
      <c r="J197" s="14">
        <f>GETPIVOTDATA("Répondant",Croisements!$A$400,"Question 17",2,"Question 30",2)</f>
        <v>2</v>
      </c>
      <c r="K197" s="16">
        <f t="shared" ref="K197:K199" si="7">J197/$J$199</f>
        <v>0.25</v>
      </c>
      <c r="L197" s="45"/>
    </row>
    <row r="198" spans="1:12">
      <c r="A198" s="46" t="s">
        <v>345</v>
      </c>
      <c r="B198" s="47">
        <f>B196+B197</f>
        <v>7</v>
      </c>
      <c r="C198" s="449">
        <f>C196+C197</f>
        <v>1</v>
      </c>
      <c r="D198" s="47">
        <f>D196+D197</f>
        <v>7</v>
      </c>
      <c r="E198" s="449">
        <f>E196+E197</f>
        <v>1</v>
      </c>
      <c r="F198" s="33"/>
      <c r="G198" s="46" t="s">
        <v>613</v>
      </c>
      <c r="H198" s="47">
        <f>GETPIVOTDATA("Répondant",Croisements!$A$400,"Question 17",3,"Question 30",1)</f>
        <v>2</v>
      </c>
      <c r="I198" s="16">
        <f t="shared" si="6"/>
        <v>0.33333333333333331</v>
      </c>
      <c r="J198" s="47">
        <f>GETPIVOTDATA("Répondant",Croisements!$A$400,"Question 17",3,"Question 30",2)</f>
        <v>2</v>
      </c>
      <c r="K198" s="16">
        <f t="shared" si="7"/>
        <v>0.25</v>
      </c>
      <c r="L198" s="45"/>
    </row>
    <row r="199" spans="1:12">
      <c r="A199" s="52" t="s">
        <v>349</v>
      </c>
      <c r="B199" s="455" t="str">
        <f>'Khi2'!N308</f>
        <v>0.28*</v>
      </c>
      <c r="C199" s="490"/>
      <c r="D199" s="490"/>
      <c r="E199" s="490"/>
      <c r="F199" s="11"/>
      <c r="G199" s="84" t="s">
        <v>345</v>
      </c>
      <c r="H199" s="14">
        <f>H196+H197+H198</f>
        <v>6</v>
      </c>
      <c r="I199" s="16">
        <f t="shared" si="6"/>
        <v>1</v>
      </c>
      <c r="J199" s="14">
        <f>J196+J197+J198</f>
        <v>8</v>
      </c>
      <c r="K199" s="16">
        <f t="shared" si="7"/>
        <v>1</v>
      </c>
      <c r="L199" s="45"/>
    </row>
    <row r="200" spans="1:12">
      <c r="A200" s="589"/>
      <c r="B200" s="589"/>
      <c r="C200" s="589"/>
      <c r="D200" s="589"/>
      <c r="E200" s="589"/>
      <c r="F200" s="11"/>
      <c r="G200" s="52" t="s">
        <v>349</v>
      </c>
      <c r="H200" s="455">
        <f>'Khi2'!N316</f>
        <v>0.04</v>
      </c>
      <c r="I200" s="490"/>
      <c r="J200" s="490"/>
      <c r="K200" s="490"/>
      <c r="L200" s="45"/>
    </row>
    <row r="201" spans="1:12">
      <c r="A201" s="454"/>
      <c r="B201" s="454"/>
      <c r="C201" s="454"/>
      <c r="D201" s="454"/>
      <c r="E201" s="454"/>
      <c r="F201" s="11"/>
      <c r="G201" s="52"/>
      <c r="H201" s="455"/>
      <c r="I201" s="483"/>
      <c r="J201" s="483"/>
      <c r="K201" s="483"/>
      <c r="L201" s="45"/>
    </row>
    <row r="202" spans="1:12">
      <c r="A202" s="590" t="s">
        <v>458</v>
      </c>
      <c r="B202" s="605"/>
      <c r="C202" s="605"/>
      <c r="D202" s="605"/>
      <c r="E202" s="605"/>
      <c r="F202" s="11"/>
      <c r="G202" s="590" t="s">
        <v>462</v>
      </c>
      <c r="H202" s="590"/>
      <c r="I202" s="590"/>
      <c r="J202" s="590"/>
      <c r="K202" s="590"/>
      <c r="L202" s="45"/>
    </row>
    <row r="203" spans="1:12">
      <c r="A203" s="623" t="s">
        <v>459</v>
      </c>
      <c r="B203" s="623"/>
      <c r="C203" s="623"/>
      <c r="D203" s="623"/>
      <c r="E203" s="623"/>
      <c r="F203" s="11"/>
      <c r="G203" s="601" t="s">
        <v>463</v>
      </c>
      <c r="H203" s="601"/>
      <c r="I203" s="601"/>
      <c r="J203" s="601"/>
      <c r="K203" s="601"/>
      <c r="L203" s="45"/>
    </row>
    <row r="204" spans="1:12">
      <c r="A204" s="609" t="s">
        <v>636</v>
      </c>
      <c r="B204" s="610"/>
      <c r="C204" s="610"/>
      <c r="D204" s="610"/>
      <c r="E204" s="610"/>
      <c r="F204" s="11"/>
      <c r="G204" s="609" t="s">
        <v>636</v>
      </c>
      <c r="H204" s="609"/>
      <c r="I204" s="609"/>
      <c r="J204" s="609"/>
      <c r="K204" s="609"/>
      <c r="L204" s="45"/>
    </row>
    <row r="205" spans="1:12">
      <c r="A205" s="598"/>
      <c r="B205" s="599" t="s">
        <v>102</v>
      </c>
      <c r="C205" s="600"/>
      <c r="D205" s="599" t="s">
        <v>55</v>
      </c>
      <c r="E205" s="600"/>
      <c r="F205" s="11"/>
      <c r="G205" s="593"/>
      <c r="H205" s="595" t="s">
        <v>102</v>
      </c>
      <c r="I205" s="596"/>
      <c r="J205" s="595" t="s">
        <v>55</v>
      </c>
      <c r="K205" s="596"/>
      <c r="L205" s="45"/>
    </row>
    <row r="206" spans="1:12">
      <c r="A206" s="594"/>
      <c r="B206" s="14" t="s">
        <v>103</v>
      </c>
      <c r="C206" s="14" t="s">
        <v>104</v>
      </c>
      <c r="D206" s="461" t="s">
        <v>103</v>
      </c>
      <c r="E206" s="14" t="s">
        <v>104</v>
      </c>
      <c r="F206" s="11"/>
      <c r="G206" s="594"/>
      <c r="H206" s="14" t="s">
        <v>103</v>
      </c>
      <c r="I206" s="14" t="s">
        <v>104</v>
      </c>
      <c r="J206" s="461" t="s">
        <v>103</v>
      </c>
      <c r="K206" s="14" t="s">
        <v>104</v>
      </c>
      <c r="L206" s="45"/>
    </row>
    <row r="207" spans="1:12">
      <c r="A207" s="32" t="s">
        <v>460</v>
      </c>
      <c r="B207" s="14">
        <f>GETPIVOTDATA("Répondant",Croisements!$A$411,"Question 18",1,"Question 30",1)+GETPIVOTDATA("Répondant",Croisements!$A$411,"Question 18",2,"Question 30",1)</f>
        <v>4</v>
      </c>
      <c r="C207" s="16">
        <f>B207/B209</f>
        <v>0.5714285714285714</v>
      </c>
      <c r="D207" s="14">
        <f>GETPIVOTDATA("Répondant",Croisements!$A$411,"Question 18",1,"Question 30",2)+GETPIVOTDATA("Répondant",Croisements!$A$411,"Question 18",2,"Question 30",2)</f>
        <v>4</v>
      </c>
      <c r="E207" s="16">
        <f>D207/D209</f>
        <v>0.5</v>
      </c>
      <c r="G207" s="32" t="s">
        <v>460</v>
      </c>
      <c r="H207" s="14">
        <f>GETPIVOTDATA("Répondant",Croisements!$A$421,"Question 19",1,"Question 30",1)+GETPIVOTDATA("Répondant",Croisements!$A$421,"Question 19",2,"Question 30",1)</f>
        <v>3</v>
      </c>
      <c r="I207" s="16">
        <f>H207/H209</f>
        <v>0.42857142857142855</v>
      </c>
      <c r="J207" s="14">
        <f>GETPIVOTDATA("Répondant",Croisements!$A$421,"Question 19",1,"Question 30",2)+GETPIVOTDATA("Répondant",Croisements!$A$421,"Question 19",2,"Question 30",2)</f>
        <v>5</v>
      </c>
      <c r="K207" s="16">
        <f>J207/J209</f>
        <v>0.7142857142857143</v>
      </c>
      <c r="L207" s="45"/>
    </row>
    <row r="208" spans="1:12">
      <c r="A208" s="32" t="s">
        <v>461</v>
      </c>
      <c r="B208" s="14">
        <f>GETPIVOTDATA("Répondant",Croisements!$A$411,"Question 18",3,"Question 30",1)+GETPIVOTDATA("Répondant",Croisements!$A$411,"Question 18",4,"Question 30",1)</f>
        <v>3</v>
      </c>
      <c r="C208" s="16">
        <f>B208/B209</f>
        <v>0.42857142857142855</v>
      </c>
      <c r="D208" s="14">
        <f>GETPIVOTDATA("Répondant",Croisements!$A$411,"Question 18",3,"Question 30",2)+GETPIVOTDATA("Répondant",Croisements!$A$411,"Question 18",4,"Question 30",2)</f>
        <v>4</v>
      </c>
      <c r="E208" s="16">
        <f>D208/D209</f>
        <v>0.5</v>
      </c>
      <c r="F208" s="45"/>
      <c r="G208" s="32" t="s">
        <v>461</v>
      </c>
      <c r="H208" s="14">
        <f>GETPIVOTDATA("Répondant",Croisements!$A$421,"Question 19",3,"Question 30",1)+GETPIVOTDATA("Répondant",Croisements!$A$421,"Question 19",4,"Question 30",1)</f>
        <v>4</v>
      </c>
      <c r="I208" s="16">
        <f>H208/H209</f>
        <v>0.5714285714285714</v>
      </c>
      <c r="J208" s="14">
        <f>GETPIVOTDATA("Répondant",Croisements!$A$421,"Question 19",3,"Question 30",2)+GETPIVOTDATA("Répondant",Croisements!$A$421,"Question 19",4,"Question 30",2)</f>
        <v>2</v>
      </c>
      <c r="K208" s="16">
        <f>J208/J209</f>
        <v>0.2857142857142857</v>
      </c>
      <c r="L208" s="45"/>
    </row>
    <row r="209" spans="1:12">
      <c r="A209" s="46" t="s">
        <v>345</v>
      </c>
      <c r="B209" s="47">
        <f>B207+B208</f>
        <v>7</v>
      </c>
      <c r="C209" s="449">
        <f>C207+C208</f>
        <v>1</v>
      </c>
      <c r="D209" s="47">
        <f>D207+D208</f>
        <v>8</v>
      </c>
      <c r="E209" s="449">
        <f>E207+E208</f>
        <v>1</v>
      </c>
      <c r="F209" s="45"/>
      <c r="G209" s="32" t="s">
        <v>345</v>
      </c>
      <c r="H209" s="14">
        <f>H207+H208</f>
        <v>7</v>
      </c>
      <c r="I209" s="16">
        <f>I207+I208</f>
        <v>1</v>
      </c>
      <c r="J209" s="14">
        <f>J207+J208</f>
        <v>7</v>
      </c>
      <c r="K209" s="16">
        <f>K207+K208</f>
        <v>1</v>
      </c>
      <c r="L209" s="45"/>
    </row>
    <row r="210" spans="1:12">
      <c r="A210" s="52" t="s">
        <v>349</v>
      </c>
      <c r="B210" s="455" t="str">
        <f>'Khi2'!N325</f>
        <v>0.78*</v>
      </c>
      <c r="C210" s="35"/>
      <c r="D210" s="353"/>
      <c r="E210" s="35"/>
      <c r="F210" s="45"/>
      <c r="G210" s="52" t="s">
        <v>349</v>
      </c>
      <c r="H210" s="455" t="str">
        <f>'Khi2'!N333</f>
        <v>0.28*</v>
      </c>
      <c r="I210" s="35"/>
      <c r="J210" s="353"/>
      <c r="K210" s="35"/>
      <c r="L210" s="45"/>
    </row>
    <row r="211" spans="1:12">
      <c r="A211" s="589"/>
      <c r="B211" s="589"/>
      <c r="C211" s="589"/>
      <c r="D211" s="589"/>
      <c r="E211" s="589"/>
      <c r="F211" s="45"/>
      <c r="G211" s="589"/>
      <c r="H211" s="636"/>
      <c r="I211" s="636"/>
      <c r="J211" s="636"/>
      <c r="K211" s="636"/>
      <c r="L211" s="45"/>
    </row>
    <row r="212" spans="1:12">
      <c r="A212" s="597" t="s">
        <v>757</v>
      </c>
      <c r="B212" s="608"/>
      <c r="C212" s="608"/>
      <c r="D212" s="608"/>
      <c r="E212" s="608"/>
      <c r="F212" s="45"/>
      <c r="G212" s="597" t="s">
        <v>758</v>
      </c>
      <c r="H212" s="597"/>
      <c r="I212" s="597"/>
      <c r="J212" s="597"/>
      <c r="K212" s="597"/>
      <c r="L212" s="45"/>
    </row>
    <row r="213" spans="1:12">
      <c r="A213" s="601" t="s">
        <v>464</v>
      </c>
      <c r="B213" s="607"/>
      <c r="C213" s="607"/>
      <c r="D213" s="607"/>
      <c r="E213" s="607"/>
      <c r="F213" s="45"/>
      <c r="G213" s="601" t="s">
        <v>466</v>
      </c>
      <c r="H213" s="601"/>
      <c r="I213" s="601"/>
      <c r="J213" s="601"/>
      <c r="K213" s="601"/>
      <c r="L213" s="45"/>
    </row>
    <row r="214" spans="1:12">
      <c r="A214" s="601" t="s">
        <v>465</v>
      </c>
      <c r="B214" s="607"/>
      <c r="C214" s="607"/>
      <c r="D214" s="607"/>
      <c r="E214" s="607"/>
      <c r="F214" s="45"/>
      <c r="G214" s="601" t="s">
        <v>467</v>
      </c>
      <c r="H214" s="601"/>
      <c r="I214" s="601"/>
      <c r="J214" s="601"/>
      <c r="K214" s="601"/>
      <c r="L214" s="45"/>
    </row>
    <row r="215" spans="1:12">
      <c r="A215" s="609" t="s">
        <v>636</v>
      </c>
      <c r="B215" s="610"/>
      <c r="C215" s="610"/>
      <c r="D215" s="610"/>
      <c r="E215" s="610"/>
      <c r="F215" s="45"/>
      <c r="G215" s="609" t="s">
        <v>636</v>
      </c>
      <c r="H215" s="609"/>
      <c r="I215" s="609"/>
      <c r="J215" s="609"/>
      <c r="K215" s="609"/>
      <c r="L215" s="45"/>
    </row>
    <row r="216" spans="1:12">
      <c r="A216" s="598"/>
      <c r="B216" s="599" t="s">
        <v>102</v>
      </c>
      <c r="C216" s="600"/>
      <c r="D216" s="599" t="s">
        <v>55</v>
      </c>
      <c r="E216" s="600"/>
      <c r="F216" s="45"/>
      <c r="G216" s="598"/>
      <c r="H216" s="599" t="s">
        <v>102</v>
      </c>
      <c r="I216" s="600"/>
      <c r="J216" s="599" t="s">
        <v>55</v>
      </c>
      <c r="K216" s="600"/>
    </row>
    <row r="217" spans="1:12">
      <c r="A217" s="594"/>
      <c r="B217" s="14" t="s">
        <v>103</v>
      </c>
      <c r="C217" s="14" t="s">
        <v>104</v>
      </c>
      <c r="D217" s="461" t="s">
        <v>103</v>
      </c>
      <c r="E217" s="14" t="s">
        <v>104</v>
      </c>
      <c r="F217" s="45"/>
      <c r="G217" s="594"/>
      <c r="H217" s="14" t="s">
        <v>103</v>
      </c>
      <c r="I217" s="14" t="s">
        <v>104</v>
      </c>
      <c r="J217" s="461" t="s">
        <v>103</v>
      </c>
      <c r="K217" s="14" t="s">
        <v>104</v>
      </c>
      <c r="L217" s="45"/>
    </row>
    <row r="218" spans="1:12">
      <c r="A218" s="32" t="s">
        <v>460</v>
      </c>
      <c r="B218" s="14">
        <f>GETPIVOTDATA("Répondant",Croisements!$A$432,"Question 20.1",1,"Question 30",1)+GETPIVOTDATA("Répondant",Croisements!$A$432,"Question 20.1",2,"Question 30",1)</f>
        <v>3</v>
      </c>
      <c r="C218" s="16">
        <f>B218/B220</f>
        <v>0.5</v>
      </c>
      <c r="D218" s="14">
        <f>GETPIVOTDATA("Répondant",Croisements!$A$432,"Question 20.1",1,"Question 30",2)+GETPIVOTDATA("Répondant",Croisements!$A$432,"Question 20.1",2,"Question 30",2)</f>
        <v>6</v>
      </c>
      <c r="E218" s="16">
        <f>D218/D220</f>
        <v>0.75</v>
      </c>
      <c r="F218" s="45"/>
      <c r="G218" s="32" t="s">
        <v>460</v>
      </c>
      <c r="H218" s="14">
        <f>GETPIVOTDATA("Répondant",Croisements!$A$443,"Question 20.2",1,"Question 30",1)+GETPIVOTDATA("Répondant",Croisements!$A$443,"Question 20.2",2,"Question 30",1)</f>
        <v>3</v>
      </c>
      <c r="I218" s="16">
        <f>H218/H220</f>
        <v>0.75</v>
      </c>
      <c r="J218" s="14">
        <f>GETPIVOTDATA("Répondant",Croisements!$A$443,"Question 20.2",1,"Question 30",2)+GETPIVOTDATA("Répondant",Croisements!$A$443,"Question 20.2",2,"Question 30",2)</f>
        <v>3</v>
      </c>
      <c r="K218" s="16">
        <f>J218/J220</f>
        <v>0.42857142857142855</v>
      </c>
      <c r="L218" s="45"/>
    </row>
    <row r="219" spans="1:12">
      <c r="A219" s="32" t="s">
        <v>461</v>
      </c>
      <c r="B219" s="14">
        <f>GETPIVOTDATA("Répondant",Croisements!$A$432,"Question 20.1",3,"Question 30",1)+GETPIVOTDATA("Répondant",Croisements!$A$432,"Question 20.1",4,"Question 30",1)</f>
        <v>3</v>
      </c>
      <c r="C219" s="16">
        <f>B219/B220</f>
        <v>0.5</v>
      </c>
      <c r="D219" s="14">
        <f>GETPIVOTDATA("Répondant",Croisements!$A$432,"Question 20.1",3,"Question 30",2)+GETPIVOTDATA("Répondant",Croisements!$A$432,"Question 20.1",4,"Question 30",2)</f>
        <v>2</v>
      </c>
      <c r="E219" s="16">
        <f>D219/D220</f>
        <v>0.25</v>
      </c>
      <c r="F219" s="45"/>
      <c r="G219" s="32" t="s">
        <v>461</v>
      </c>
      <c r="H219" s="14">
        <f>GETPIVOTDATA("Répondant",Croisements!$A$443,"Question 20.2",3,"Question 30",1)+GETPIVOTDATA("Répondant",Croisements!$A$443,"Question 20.2",4,"Question 30",1)</f>
        <v>1</v>
      </c>
      <c r="I219" s="16">
        <f>H219/H220</f>
        <v>0.25</v>
      </c>
      <c r="J219" s="14">
        <f>GETPIVOTDATA("Répondant",Croisements!$A$443,"Question 20.2",3,"Question 30",2)+GETPIVOTDATA("Répondant",Croisements!$A$443,"Question 20.2",4,"Question 30",2)</f>
        <v>4</v>
      </c>
      <c r="K219" s="16">
        <f>J219/J220</f>
        <v>0.5714285714285714</v>
      </c>
      <c r="L219" s="45"/>
    </row>
    <row r="220" spans="1:12">
      <c r="A220" s="46" t="s">
        <v>345</v>
      </c>
      <c r="B220" s="47">
        <f>B218+B219</f>
        <v>6</v>
      </c>
      <c r="C220" s="449">
        <f>C218+C219</f>
        <v>1</v>
      </c>
      <c r="D220" s="47">
        <f>D218+D219</f>
        <v>8</v>
      </c>
      <c r="E220" s="449">
        <f>E218+E219</f>
        <v>1</v>
      </c>
      <c r="F220" s="45"/>
      <c r="G220" s="46" t="s">
        <v>345</v>
      </c>
      <c r="H220" s="47">
        <f>H218+H219</f>
        <v>4</v>
      </c>
      <c r="I220" s="449">
        <f>I218+I219</f>
        <v>1</v>
      </c>
      <c r="J220" s="47">
        <f>J218+J219</f>
        <v>7</v>
      </c>
      <c r="K220" s="449">
        <f>K218+K219</f>
        <v>1</v>
      </c>
      <c r="L220" s="45"/>
    </row>
    <row r="221" spans="1:12">
      <c r="A221" s="52" t="s">
        <v>349</v>
      </c>
      <c r="B221" s="455" t="str">
        <f>'Khi2'!N341</f>
        <v>0.33*</v>
      </c>
      <c r="C221" s="35"/>
      <c r="D221" s="353"/>
      <c r="E221" s="35"/>
      <c r="F221" s="45"/>
      <c r="G221" s="52" t="s">
        <v>349</v>
      </c>
      <c r="H221" s="455" t="str">
        <f>'Khi2'!N349</f>
        <v>0.3*</v>
      </c>
      <c r="I221" s="35"/>
      <c r="J221" s="353"/>
      <c r="K221" s="35"/>
      <c r="L221" s="45"/>
    </row>
    <row r="222" spans="1:12">
      <c r="A222" s="589"/>
      <c r="B222" s="589"/>
      <c r="C222" s="589"/>
      <c r="D222" s="589"/>
      <c r="E222" s="589"/>
      <c r="F222" s="11"/>
      <c r="G222" s="591"/>
      <c r="H222" s="622"/>
      <c r="I222" s="622"/>
      <c r="J222" s="622"/>
      <c r="K222" s="622"/>
      <c r="L222" s="45"/>
    </row>
    <row r="223" spans="1:12">
      <c r="A223" s="597" t="s">
        <v>759</v>
      </c>
      <c r="B223" s="608"/>
      <c r="C223" s="608"/>
      <c r="D223" s="608"/>
      <c r="E223" s="608"/>
      <c r="F223" s="11"/>
      <c r="G223" s="590" t="s">
        <v>470</v>
      </c>
      <c r="H223" s="590"/>
      <c r="I223" s="590"/>
      <c r="J223" s="590"/>
      <c r="K223" s="590"/>
      <c r="L223" s="45"/>
    </row>
    <row r="224" spans="1:12">
      <c r="A224" s="611" t="s">
        <v>468</v>
      </c>
      <c r="B224" s="611"/>
      <c r="C224" s="611"/>
      <c r="D224" s="611"/>
      <c r="E224" s="611"/>
      <c r="F224" s="11"/>
      <c r="G224" s="618" t="s">
        <v>303</v>
      </c>
      <c r="H224" s="618"/>
      <c r="I224" s="618"/>
      <c r="J224" s="618"/>
      <c r="K224" s="618"/>
      <c r="L224" s="45"/>
    </row>
    <row r="225" spans="1:12">
      <c r="A225" s="611" t="s">
        <v>469</v>
      </c>
      <c r="B225" s="611"/>
      <c r="C225" s="611"/>
      <c r="D225" s="611"/>
      <c r="E225" s="611"/>
      <c r="F225" s="11"/>
      <c r="G225" s="618" t="s">
        <v>378</v>
      </c>
      <c r="H225" s="618"/>
      <c r="I225" s="618"/>
      <c r="J225" s="618"/>
      <c r="K225" s="618"/>
      <c r="L225" s="45"/>
    </row>
    <row r="226" spans="1:12">
      <c r="A226" s="609" t="s">
        <v>636</v>
      </c>
      <c r="B226" s="610"/>
      <c r="C226" s="610"/>
      <c r="D226" s="610"/>
      <c r="E226" s="610"/>
      <c r="F226" s="11"/>
      <c r="G226" s="602" t="s">
        <v>636</v>
      </c>
      <c r="H226" s="602"/>
      <c r="I226" s="602"/>
      <c r="J226" s="602"/>
      <c r="K226" s="602"/>
      <c r="L226" s="45"/>
    </row>
    <row r="227" spans="1:12">
      <c r="A227" s="598"/>
      <c r="B227" s="599" t="s">
        <v>102</v>
      </c>
      <c r="C227" s="600"/>
      <c r="D227" s="599" t="s">
        <v>55</v>
      </c>
      <c r="E227" s="600"/>
      <c r="F227" s="11"/>
      <c r="G227" s="598"/>
      <c r="H227" s="599" t="s">
        <v>102</v>
      </c>
      <c r="I227" s="600"/>
      <c r="J227" s="599" t="s">
        <v>55</v>
      </c>
      <c r="K227" s="600"/>
      <c r="L227" s="45"/>
    </row>
    <row r="228" spans="1:12">
      <c r="A228" s="594"/>
      <c r="B228" s="14" t="s">
        <v>103</v>
      </c>
      <c r="C228" s="14" t="s">
        <v>104</v>
      </c>
      <c r="D228" s="461" t="s">
        <v>103</v>
      </c>
      <c r="E228" s="14" t="s">
        <v>104</v>
      </c>
      <c r="F228" s="11"/>
      <c r="G228" s="594"/>
      <c r="H228" s="14" t="s">
        <v>103</v>
      </c>
      <c r="I228" s="14" t="s">
        <v>104</v>
      </c>
      <c r="J228" s="461" t="s">
        <v>103</v>
      </c>
      <c r="K228" s="14" t="s">
        <v>104</v>
      </c>
      <c r="L228" s="45"/>
    </row>
    <row r="229" spans="1:12">
      <c r="A229" s="32" t="s">
        <v>460</v>
      </c>
      <c r="B229" s="14">
        <f>GETPIVOTDATA("Répondant",Croisements!$A$454,"Question 20.3",1,"Question 30",1)+GETPIVOTDATA("Répondant",Croisements!$A$454,"Question 20.3",2,"Question 30",1)</f>
        <v>3</v>
      </c>
      <c r="C229" s="16">
        <f>B229/B231</f>
        <v>0.6</v>
      </c>
      <c r="D229" s="14">
        <f>GETPIVOTDATA("Répondant",Croisements!$A$454,"Question 20.3",1,"Question 30",2)+GETPIVOTDATA("Répondant",Croisements!$A$454,"Question 20.3",2,"Question 30",2)</f>
        <v>5</v>
      </c>
      <c r="E229" s="16">
        <f>D229/D231</f>
        <v>0.625</v>
      </c>
      <c r="F229" s="11"/>
      <c r="G229" s="32" t="s">
        <v>307</v>
      </c>
      <c r="H229" s="14">
        <f>GETPIVOTDATA("Répondant",Croisements!$A$465,"Question 21",1,"Question 30",1)</f>
        <v>4</v>
      </c>
      <c r="I229" s="16">
        <f>H229/$H$233</f>
        <v>0.5714285714285714</v>
      </c>
      <c r="J229" s="14">
        <f>GETPIVOTDATA("Répondant",Croisements!$A$465,"Question 21",1,"Question 30",2)</f>
        <v>1</v>
      </c>
      <c r="K229" s="16">
        <f>J229/$J$233</f>
        <v>0.125</v>
      </c>
      <c r="L229" s="45"/>
    </row>
    <row r="230" spans="1:12">
      <c r="A230" s="32" t="s">
        <v>461</v>
      </c>
      <c r="B230" s="14">
        <f>GETPIVOTDATA("Répondant",Croisements!$A$454,"Question 20.3",3,"Question 30",1)+GETPIVOTDATA("Répondant",Croisements!$A$454,"Question 20.3",4,"Question 30",1)</f>
        <v>2</v>
      </c>
      <c r="C230" s="16">
        <f>B230/B231</f>
        <v>0.4</v>
      </c>
      <c r="D230" s="14">
        <f>GETPIVOTDATA("Répondant",Croisements!$A$454,"Question 20.3",3,"Question 30",2)+GETPIVOTDATA("Répondant",Croisements!$A$454,"Question 20.3",4,"Question 30",2)</f>
        <v>3</v>
      </c>
      <c r="E230" s="16">
        <f>D230/D231</f>
        <v>0.375</v>
      </c>
      <c r="F230" s="11"/>
      <c r="G230" s="32" t="s">
        <v>48</v>
      </c>
      <c r="H230" s="14">
        <f>GETPIVOTDATA("Répondant",Croisements!$A$465,"Question 21",2,"Question 30",1)</f>
        <v>1</v>
      </c>
      <c r="I230" s="16">
        <f t="shared" ref="I230:I232" si="8">H230/$H$233</f>
        <v>0.14285714285714285</v>
      </c>
      <c r="J230" s="14">
        <f>GETPIVOTDATA("Répondant",Croisements!$A$465,"Question 21",2,"Question 30",2)</f>
        <v>3</v>
      </c>
      <c r="K230" s="16">
        <f t="shared" ref="K230:K232" si="9">J230/$J$233</f>
        <v>0.375</v>
      </c>
    </row>
    <row r="231" spans="1:12">
      <c r="A231" s="46" t="s">
        <v>345</v>
      </c>
      <c r="B231" s="47">
        <f>B229+B230</f>
        <v>5</v>
      </c>
      <c r="C231" s="449">
        <f>C229+C230</f>
        <v>1</v>
      </c>
      <c r="D231" s="47">
        <f>D229+D230</f>
        <v>8</v>
      </c>
      <c r="E231" s="449">
        <f>E229+E230</f>
        <v>1</v>
      </c>
      <c r="F231" s="11"/>
      <c r="G231" s="32" t="s">
        <v>49</v>
      </c>
      <c r="H231" s="14">
        <f>GETPIVOTDATA("Répondant",Croisements!$A$465,"Question 21",3,"Question 30",1)</f>
        <v>2</v>
      </c>
      <c r="I231" s="16">
        <f t="shared" si="8"/>
        <v>0.2857142857142857</v>
      </c>
      <c r="J231" s="14">
        <f>GETPIVOTDATA("Répondant",Croisements!$A$465,"Question 21",3,"Question 30",2)</f>
        <v>2</v>
      </c>
      <c r="K231" s="16">
        <f t="shared" si="9"/>
        <v>0.25</v>
      </c>
      <c r="L231" s="45"/>
    </row>
    <row r="232" spans="1:12">
      <c r="A232" s="52" t="s">
        <v>349</v>
      </c>
      <c r="B232" s="455" t="str">
        <f>'Khi2'!N357</f>
        <v>0.93*</v>
      </c>
      <c r="C232" s="490"/>
      <c r="D232" s="490"/>
      <c r="E232" s="491"/>
      <c r="F232" s="11"/>
      <c r="G232" s="32" t="s">
        <v>50</v>
      </c>
      <c r="H232" s="14">
        <f>GETPIVOTDATA("Répondant",Croisements!$A$465,"Question 21",4,"Question 30",1)</f>
        <v>0</v>
      </c>
      <c r="I232" s="16">
        <f t="shared" si="8"/>
        <v>0</v>
      </c>
      <c r="J232" s="14">
        <f>GETPIVOTDATA("Répondant",Croisements!$A$465,"Question 21",4,"Question 30",2)</f>
        <v>2</v>
      </c>
      <c r="K232" s="16">
        <f t="shared" si="9"/>
        <v>0.25</v>
      </c>
      <c r="L232" s="45"/>
    </row>
    <row r="233" spans="1:12">
      <c r="A233" s="52"/>
      <c r="B233" s="455"/>
      <c r="C233" s="483"/>
      <c r="D233" s="483"/>
      <c r="E233" s="483"/>
      <c r="F233" s="11"/>
      <c r="G233" s="32" t="s">
        <v>345</v>
      </c>
      <c r="H233" s="14">
        <f>H229+H230+H231+H232</f>
        <v>7</v>
      </c>
      <c r="I233" s="16">
        <f>SUM(I229:I232)</f>
        <v>0.99999999999999989</v>
      </c>
      <c r="J233" s="14">
        <f>J229+J230+J231+J232</f>
        <v>8</v>
      </c>
      <c r="K233" s="16">
        <f>SUM(K229:K232)</f>
        <v>1</v>
      </c>
      <c r="L233" s="45"/>
    </row>
    <row r="234" spans="1:12">
      <c r="A234" s="591"/>
      <c r="B234" s="591"/>
      <c r="C234" s="591"/>
      <c r="D234" s="591"/>
      <c r="E234" s="591"/>
      <c r="G234" s="52" t="s">
        <v>349</v>
      </c>
      <c r="H234" s="455">
        <f>'Khi2'!N365</f>
        <v>0.03</v>
      </c>
      <c r="I234" s="483"/>
      <c r="J234" s="483"/>
      <c r="K234" s="483"/>
      <c r="L234" s="45"/>
    </row>
    <row r="235" spans="1:12">
      <c r="A235" s="592"/>
      <c r="B235" s="592"/>
      <c r="C235" s="592"/>
      <c r="D235" s="592"/>
      <c r="E235" s="592"/>
      <c r="F235" s="11"/>
      <c r="G235" s="634"/>
      <c r="H235" s="634"/>
      <c r="I235" s="634"/>
      <c r="J235" s="634"/>
      <c r="K235" s="634"/>
      <c r="L235" s="45"/>
    </row>
    <row r="236" spans="1:12">
      <c r="A236" s="590" t="s">
        <v>471</v>
      </c>
      <c r="B236" s="605"/>
      <c r="C236" s="605"/>
      <c r="D236" s="605"/>
      <c r="E236" s="605"/>
      <c r="F236" s="11"/>
      <c r="G236" s="590" t="s">
        <v>760</v>
      </c>
      <c r="H236" s="590"/>
      <c r="I236" s="590"/>
      <c r="J236" s="590"/>
      <c r="K236" s="590"/>
      <c r="L236" s="45"/>
    </row>
    <row r="237" spans="1:12">
      <c r="A237" s="603" t="s">
        <v>304</v>
      </c>
      <c r="B237" s="604"/>
      <c r="C237" s="604"/>
      <c r="D237" s="604"/>
      <c r="E237" s="604"/>
      <c r="F237" s="11"/>
      <c r="G237" s="618" t="s">
        <v>472</v>
      </c>
      <c r="H237" s="618"/>
      <c r="I237" s="618"/>
      <c r="J237" s="618"/>
      <c r="K237" s="618"/>
      <c r="L237" s="45"/>
    </row>
    <row r="238" spans="1:12">
      <c r="A238" s="601" t="s">
        <v>239</v>
      </c>
      <c r="B238" s="607"/>
      <c r="C238" s="607"/>
      <c r="D238" s="607"/>
      <c r="E238" s="607"/>
      <c r="F238" s="11"/>
      <c r="G238" s="483"/>
      <c r="H238" s="612"/>
      <c r="I238" s="612"/>
      <c r="J238" s="612"/>
      <c r="K238" s="612"/>
      <c r="L238" s="45"/>
    </row>
    <row r="239" spans="1:12">
      <c r="A239" s="602" t="s">
        <v>636</v>
      </c>
      <c r="B239" s="606"/>
      <c r="C239" s="606"/>
      <c r="D239" s="606"/>
      <c r="E239" s="606"/>
      <c r="F239" s="11"/>
      <c r="G239" s="602" t="s">
        <v>636</v>
      </c>
      <c r="H239" s="602"/>
      <c r="I239" s="602"/>
      <c r="J239" s="602"/>
      <c r="K239" s="602"/>
      <c r="L239" s="45"/>
    </row>
    <row r="240" spans="1:12">
      <c r="A240" s="598"/>
      <c r="B240" s="599" t="s">
        <v>102</v>
      </c>
      <c r="C240" s="600"/>
      <c r="D240" s="599" t="s">
        <v>55</v>
      </c>
      <c r="E240" s="600"/>
      <c r="F240" s="11"/>
      <c r="G240" s="598"/>
      <c r="H240" s="599" t="s">
        <v>102</v>
      </c>
      <c r="I240" s="600"/>
      <c r="J240" s="599" t="s">
        <v>55</v>
      </c>
      <c r="K240" s="600"/>
      <c r="L240" s="45"/>
    </row>
    <row r="241" spans="1:13">
      <c r="A241" s="594"/>
      <c r="B241" s="14" t="s">
        <v>103</v>
      </c>
      <c r="C241" s="14" t="s">
        <v>104</v>
      </c>
      <c r="D241" s="287" t="s">
        <v>103</v>
      </c>
      <c r="E241" s="14" t="s">
        <v>104</v>
      </c>
      <c r="F241" s="11"/>
      <c r="G241" s="594"/>
      <c r="H241" s="14" t="s">
        <v>103</v>
      </c>
      <c r="I241" s="14" t="s">
        <v>104</v>
      </c>
      <c r="J241" s="461" t="s">
        <v>103</v>
      </c>
      <c r="K241" s="14" t="s">
        <v>104</v>
      </c>
      <c r="L241" s="45"/>
    </row>
    <row r="242" spans="1:13">
      <c r="A242" s="32" t="s">
        <v>460</v>
      </c>
      <c r="B242" s="14">
        <f>GETPIVOTDATA("Répondant",Croisements!$A$477,"Question 21A",1,"Question 30",1)+GETPIVOTDATA("Répondant",Croisements!$A$477,"Question 21A",2,"Question 30",1)</f>
        <v>2</v>
      </c>
      <c r="C242" s="16">
        <f>B242/B244</f>
        <v>0.66666666666666663</v>
      </c>
      <c r="D242" s="14">
        <f>GETPIVOTDATA("Répondant",Croisements!$A$477,"Question 21A",1,"Question 30",2)+GETPIVOTDATA("Répondant",Croisements!$A$477,"Question 21A",2,"Question 30",2)</f>
        <v>3</v>
      </c>
      <c r="E242" s="16">
        <f>D242/D244</f>
        <v>0.42857142857142855</v>
      </c>
      <c r="F242" s="45"/>
      <c r="G242" s="32" t="s">
        <v>35</v>
      </c>
      <c r="H242" s="14">
        <f>GETPIVOTDATA("Répondant",Croisements!$A$488,"Question 22.1",1,"Question 30",1)</f>
        <v>4</v>
      </c>
      <c r="I242" s="16">
        <f>H242/H244</f>
        <v>0.5714285714285714</v>
      </c>
      <c r="J242" s="14">
        <f>GETPIVOTDATA("Répondant",Croisements!$A$488,"Question 22.1",1,"Question 30",2)</f>
        <v>4</v>
      </c>
      <c r="K242" s="16">
        <f>J242/J244</f>
        <v>0.5</v>
      </c>
      <c r="L242" s="45"/>
    </row>
    <row r="243" spans="1:13">
      <c r="A243" s="32" t="s">
        <v>461</v>
      </c>
      <c r="B243" s="14">
        <f>GETPIVOTDATA("Répondant",Croisements!$A$477,"Question 21A",3,"Question 30",1)+GETPIVOTDATA("Répondant",Croisements!$A$477,"Question 21A",4,"Question 30",1)</f>
        <v>1</v>
      </c>
      <c r="C243" s="16">
        <f>B243/B244</f>
        <v>0.33333333333333331</v>
      </c>
      <c r="D243" s="14">
        <f>GETPIVOTDATA("Répondant",Croisements!$A$477,"Question 21A",3,"Question 30",2)+GETPIVOTDATA("Répondant",Croisements!$A$477,"Question 21A",4,"Question 30",2)</f>
        <v>4</v>
      </c>
      <c r="E243" s="16">
        <f>D243/D244</f>
        <v>0.5714285714285714</v>
      </c>
      <c r="F243" s="33"/>
      <c r="G243" s="32" t="s">
        <v>36</v>
      </c>
      <c r="H243" s="14">
        <f>GETPIVOTDATA("Répondant",Croisements!$A$488,"Question 22.1",2,"Question 30",1)</f>
        <v>3</v>
      </c>
      <c r="I243" s="16">
        <f>H243/H244</f>
        <v>0.42857142857142855</v>
      </c>
      <c r="J243" s="14">
        <f>GETPIVOTDATA("Répondant",Croisements!$A$488,"Question 22.1",2,"Question 30",2)</f>
        <v>4</v>
      </c>
      <c r="K243" s="16">
        <f>J243/J244</f>
        <v>0.5</v>
      </c>
      <c r="L243" s="45"/>
    </row>
    <row r="244" spans="1:13">
      <c r="A244" s="84" t="s">
        <v>345</v>
      </c>
      <c r="B244" s="14">
        <f>B242+B243</f>
        <v>3</v>
      </c>
      <c r="C244" s="16">
        <f>C242+C243</f>
        <v>1</v>
      </c>
      <c r="D244" s="14">
        <f>D242+D243</f>
        <v>7</v>
      </c>
      <c r="E244" s="16">
        <f>E242+E243</f>
        <v>1</v>
      </c>
      <c r="F244" s="11"/>
      <c r="G244" s="84" t="s">
        <v>345</v>
      </c>
      <c r="H244" s="14">
        <f>H242+H243</f>
        <v>7</v>
      </c>
      <c r="I244" s="16">
        <f>I242+I243</f>
        <v>1</v>
      </c>
      <c r="J244" s="14">
        <f>J242+J243</f>
        <v>8</v>
      </c>
      <c r="K244" s="16">
        <f>K242+K243</f>
        <v>1</v>
      </c>
      <c r="L244" s="45"/>
    </row>
    <row r="245" spans="1:13">
      <c r="A245" s="52" t="s">
        <v>349</v>
      </c>
      <c r="B245" s="455" t="str">
        <f>'Khi2'!N375</f>
        <v>0.49*</v>
      </c>
      <c r="C245" s="469"/>
      <c r="D245" s="469"/>
      <c r="E245" s="469"/>
      <c r="F245" s="11"/>
      <c r="G245" s="52" t="s">
        <v>349</v>
      </c>
      <c r="H245" s="455" t="str">
        <f>'Khi2'!N383</f>
        <v>0.78*</v>
      </c>
      <c r="I245" s="33"/>
      <c r="J245" s="33"/>
      <c r="K245" s="33"/>
      <c r="L245" s="45"/>
    </row>
    <row r="246" spans="1:13">
      <c r="A246" s="630"/>
      <c r="B246" s="630"/>
      <c r="C246" s="630"/>
      <c r="D246" s="630"/>
      <c r="E246" s="630"/>
      <c r="F246" s="11"/>
      <c r="G246" s="33"/>
      <c r="H246" s="33"/>
      <c r="I246" s="33"/>
      <c r="J246" s="33"/>
      <c r="K246" s="33"/>
      <c r="L246" s="45"/>
    </row>
    <row r="247" spans="1:13">
      <c r="A247" s="590" t="s">
        <v>761</v>
      </c>
      <c r="B247" s="605"/>
      <c r="C247" s="605"/>
      <c r="D247" s="605"/>
      <c r="E247" s="605"/>
      <c r="F247" s="11"/>
      <c r="G247" s="637" t="s">
        <v>895</v>
      </c>
      <c r="H247" s="637"/>
      <c r="I247" s="637"/>
      <c r="J247" s="637"/>
      <c r="K247" s="637"/>
      <c r="L247" s="637"/>
      <c r="M247" s="637"/>
    </row>
    <row r="248" spans="1:13">
      <c r="A248" s="602" t="s">
        <v>636</v>
      </c>
      <c r="B248" s="606"/>
      <c r="C248" s="606"/>
      <c r="D248" s="606"/>
      <c r="E248" s="606"/>
      <c r="F248" s="11"/>
      <c r="G248" s="602" t="s">
        <v>636</v>
      </c>
      <c r="H248" s="602"/>
      <c r="I248" s="602"/>
      <c r="J248" s="602"/>
      <c r="K248" s="602"/>
      <c r="L248" s="45"/>
    </row>
    <row r="249" spans="1:13">
      <c r="A249" s="598"/>
      <c r="B249" s="599" t="s">
        <v>102</v>
      </c>
      <c r="C249" s="600"/>
      <c r="D249" s="599" t="s">
        <v>55</v>
      </c>
      <c r="E249" s="600"/>
      <c r="F249" s="11"/>
      <c r="G249" s="598"/>
      <c r="H249" s="599" t="s">
        <v>102</v>
      </c>
      <c r="I249" s="600"/>
      <c r="J249" s="599" t="s">
        <v>55</v>
      </c>
      <c r="K249" s="600"/>
      <c r="L249" s="45"/>
    </row>
    <row r="250" spans="1:13">
      <c r="A250" s="594"/>
      <c r="B250" s="14" t="s">
        <v>103</v>
      </c>
      <c r="C250" s="14" t="s">
        <v>104</v>
      </c>
      <c r="D250" s="461" t="s">
        <v>103</v>
      </c>
      <c r="E250" s="14" t="s">
        <v>104</v>
      </c>
      <c r="F250" s="11"/>
      <c r="G250" s="594"/>
      <c r="H250" s="14" t="s">
        <v>103</v>
      </c>
      <c r="I250" s="14" t="s">
        <v>104</v>
      </c>
      <c r="J250" s="461" t="s">
        <v>103</v>
      </c>
      <c r="K250" s="14" t="s">
        <v>104</v>
      </c>
      <c r="L250" s="45"/>
    </row>
    <row r="251" spans="1:13">
      <c r="A251" s="32" t="s">
        <v>35</v>
      </c>
      <c r="B251" s="14">
        <f>GETPIVOTDATA("Répondant",Croisements!$A$500,"Question 22.2",1,"Question 30",1)</f>
        <v>2</v>
      </c>
      <c r="C251" s="16">
        <f>B251/B253</f>
        <v>0.2857142857142857</v>
      </c>
      <c r="D251" s="14">
        <f>GETPIVOTDATA("Répondant",Croisements!$A$500,"Question 22.2",1,"Question 30",2)</f>
        <v>5</v>
      </c>
      <c r="E251" s="16">
        <f>D251/D253</f>
        <v>0.625</v>
      </c>
      <c r="F251" s="11"/>
      <c r="G251" s="32" t="s">
        <v>35</v>
      </c>
      <c r="H251" s="14">
        <f>GETPIVOTDATA("Répondant",Croisements!$A$510,"Question 22.3",1,"Question 30",1)</f>
        <v>3</v>
      </c>
      <c r="I251" s="16">
        <f>H251/H253</f>
        <v>0.42857142857142855</v>
      </c>
      <c r="J251" s="14">
        <f>GETPIVOTDATA("Répondant",Croisements!$A$510,"Question 22.3",1,"Question 30",2)</f>
        <v>5</v>
      </c>
      <c r="K251" s="16">
        <f>J251/J253</f>
        <v>0.625</v>
      </c>
      <c r="L251" s="45"/>
    </row>
    <row r="252" spans="1:13">
      <c r="A252" s="32" t="s">
        <v>36</v>
      </c>
      <c r="B252" s="14">
        <f>GETPIVOTDATA("Répondant",Croisements!$A$500,"Question 22.2",2,"Question 30",1)</f>
        <v>5</v>
      </c>
      <c r="C252" s="16">
        <f>B252/B253</f>
        <v>0.7142857142857143</v>
      </c>
      <c r="D252" s="14">
        <f>GETPIVOTDATA("Répondant",Croisements!$A$500,"Question 22.2",2,"Question 30",2)</f>
        <v>3</v>
      </c>
      <c r="E252" s="16">
        <f>D252/D253</f>
        <v>0.375</v>
      </c>
      <c r="F252" s="11"/>
      <c r="G252" s="32" t="s">
        <v>36</v>
      </c>
      <c r="H252" s="14">
        <f>GETPIVOTDATA("Répondant",Croisements!$A$510,"Question 22.3",2,"Question 30",1)</f>
        <v>4</v>
      </c>
      <c r="I252" s="16">
        <f>H252/H253</f>
        <v>0.5714285714285714</v>
      </c>
      <c r="J252" s="14">
        <f>GETPIVOTDATA("Répondant",Croisements!$A$510,"Question 22.3",2,"Question 30",2)</f>
        <v>3</v>
      </c>
      <c r="K252" s="16">
        <f>J252/J253</f>
        <v>0.375</v>
      </c>
      <c r="L252" s="45"/>
    </row>
    <row r="253" spans="1:13">
      <c r="A253" s="46" t="s">
        <v>345</v>
      </c>
      <c r="B253" s="47">
        <f>B251+B252</f>
        <v>7</v>
      </c>
      <c r="C253" s="449">
        <f>C251+C252</f>
        <v>1</v>
      </c>
      <c r="D253" s="47">
        <f>D251+D252</f>
        <v>8</v>
      </c>
      <c r="E253" s="449">
        <f>E251+E252</f>
        <v>1</v>
      </c>
      <c r="F253" s="11"/>
      <c r="G253" s="46" t="s">
        <v>345</v>
      </c>
      <c r="H253" s="47">
        <f>H251+H252</f>
        <v>7</v>
      </c>
      <c r="I253" s="449">
        <f>I251+I252</f>
        <v>1</v>
      </c>
      <c r="J253" s="47">
        <f>J251+J252</f>
        <v>8</v>
      </c>
      <c r="K253" s="449">
        <f>K251+K252</f>
        <v>1</v>
      </c>
      <c r="L253" s="45"/>
    </row>
    <row r="254" spans="1:13">
      <c r="A254" s="52" t="s">
        <v>349</v>
      </c>
      <c r="B254" s="455" t="str">
        <f>'Khi2'!N391</f>
        <v>0.19*</v>
      </c>
      <c r="C254" s="35"/>
      <c r="D254" s="455"/>
      <c r="E254" s="35"/>
      <c r="F254" s="11"/>
      <c r="G254" s="52" t="s">
        <v>349</v>
      </c>
      <c r="H254" s="455" t="str">
        <f>'Khi2'!N399</f>
        <v>0.45*</v>
      </c>
      <c r="I254" s="35"/>
      <c r="J254" s="455"/>
      <c r="K254" s="35"/>
      <c r="L254" s="45"/>
    </row>
    <row r="255" spans="1:13">
      <c r="A255" s="52"/>
      <c r="B255" s="455"/>
      <c r="C255" s="35"/>
      <c r="D255" s="455"/>
      <c r="E255" s="35"/>
      <c r="F255" s="11"/>
      <c r="G255" s="52"/>
      <c r="H255" s="284"/>
      <c r="I255" s="35"/>
      <c r="J255" s="284"/>
      <c r="K255" s="35"/>
      <c r="L255" s="45"/>
    </row>
    <row r="256" spans="1:13">
      <c r="A256" s="597" t="s">
        <v>894</v>
      </c>
      <c r="B256" s="597"/>
      <c r="C256" s="597"/>
      <c r="D256" s="597"/>
      <c r="E256" s="597"/>
      <c r="F256" s="11"/>
      <c r="G256" s="590" t="s">
        <v>896</v>
      </c>
      <c r="H256" s="590"/>
      <c r="I256" s="590"/>
      <c r="J256" s="590"/>
      <c r="K256" s="590"/>
      <c r="L256" s="590"/>
    </row>
    <row r="257" spans="1:12">
      <c r="A257" s="601" t="s">
        <v>305</v>
      </c>
      <c r="B257" s="601"/>
      <c r="C257" s="601"/>
      <c r="D257" s="601"/>
      <c r="E257" s="601"/>
      <c r="F257" s="11"/>
      <c r="G257" s="601" t="s">
        <v>897</v>
      </c>
      <c r="H257" s="607"/>
      <c r="I257" s="607"/>
      <c r="J257" s="607"/>
      <c r="K257" s="607"/>
      <c r="L257" s="45"/>
    </row>
    <row r="258" spans="1:12">
      <c r="A258" s="602" t="s">
        <v>636</v>
      </c>
      <c r="B258" s="602"/>
      <c r="C258" s="602"/>
      <c r="D258" s="602"/>
      <c r="E258" s="602"/>
      <c r="F258" s="11"/>
      <c r="G258" s="505" t="s">
        <v>636</v>
      </c>
      <c r="H258" s="508"/>
      <c r="I258" s="508"/>
      <c r="J258" s="508"/>
      <c r="K258" s="508"/>
      <c r="L258" s="45"/>
    </row>
    <row r="259" spans="1:12">
      <c r="A259" s="598"/>
      <c r="B259" s="599" t="s">
        <v>102</v>
      </c>
      <c r="C259" s="600"/>
      <c r="D259" s="599" t="s">
        <v>55</v>
      </c>
      <c r="E259" s="600"/>
      <c r="F259" s="11"/>
      <c r="G259" s="357"/>
      <c r="H259" s="595" t="s">
        <v>102</v>
      </c>
      <c r="I259" s="596"/>
      <c r="J259" s="595" t="s">
        <v>55</v>
      </c>
      <c r="K259" s="596"/>
      <c r="L259" s="45"/>
    </row>
    <row r="260" spans="1:12">
      <c r="A260" s="594"/>
      <c r="B260" s="14" t="s">
        <v>103</v>
      </c>
      <c r="C260" s="14" t="s">
        <v>104</v>
      </c>
      <c r="D260" s="461" t="s">
        <v>103</v>
      </c>
      <c r="E260" s="14" t="s">
        <v>104</v>
      </c>
      <c r="F260" s="11"/>
      <c r="G260" s="503"/>
      <c r="H260" s="507" t="s">
        <v>103</v>
      </c>
      <c r="I260" s="507" t="s">
        <v>104</v>
      </c>
      <c r="J260" s="504" t="s">
        <v>103</v>
      </c>
      <c r="K260" s="507" t="s">
        <v>104</v>
      </c>
      <c r="L260" s="45"/>
    </row>
    <row r="261" spans="1:12">
      <c r="A261" s="32" t="s">
        <v>35</v>
      </c>
      <c r="B261" s="14">
        <f>GETPIVOTDATA("Répondant",Croisements!$A$521,"Question 22.5",1,"Question 30",1)</f>
        <v>3</v>
      </c>
      <c r="C261" s="16">
        <f>B261/B263</f>
        <v>0.42857142857142855</v>
      </c>
      <c r="D261" s="14">
        <f>GETPIVOTDATA("Répondant",Croisements!$A$521,"Question 22.5",1,"Question 30",2)</f>
        <v>3</v>
      </c>
      <c r="E261" s="16">
        <f>D261/D263</f>
        <v>0.375</v>
      </c>
      <c r="F261" s="11"/>
      <c r="G261" s="32" t="s">
        <v>35</v>
      </c>
      <c r="H261" s="507">
        <f>GETPIVOTDATA("Répondant",Croisements!$A$531,"Question 22.6",1,"Question 30",1)</f>
        <v>3</v>
      </c>
      <c r="I261" s="16">
        <f>H261/H263</f>
        <v>0.42857142857142855</v>
      </c>
      <c r="J261" s="507">
        <f>GETPIVOTDATA("Répondant",Croisements!$A$531,"Question 22.6",1,"Question 30",2)</f>
        <v>4</v>
      </c>
      <c r="K261" s="16">
        <f>J261/J263</f>
        <v>0.5</v>
      </c>
    </row>
    <row r="262" spans="1:12">
      <c r="A262" s="32" t="s">
        <v>36</v>
      </c>
      <c r="B262" s="14">
        <f>GETPIVOTDATA("Répondant",Croisements!$A$521,"Question 22.5",2,"Question 30",1)</f>
        <v>4</v>
      </c>
      <c r="C262" s="16">
        <f>B262/B263</f>
        <v>0.5714285714285714</v>
      </c>
      <c r="D262" s="14">
        <f>GETPIVOTDATA("Répondant",Croisements!$A$521,"Question 22.5",2,"Question 30",2)</f>
        <v>5</v>
      </c>
      <c r="E262" s="16">
        <f>D262/D263</f>
        <v>0.625</v>
      </c>
      <c r="F262" s="11"/>
      <c r="G262" s="32" t="s">
        <v>36</v>
      </c>
      <c r="H262" s="507">
        <f>GETPIVOTDATA("Répondant",Croisements!$A$531,"Question 22.6",2,"Question 30",1)</f>
        <v>4</v>
      </c>
      <c r="I262" s="16">
        <f>H262/H263</f>
        <v>0.5714285714285714</v>
      </c>
      <c r="J262" s="507">
        <f>GETPIVOTDATA("Répondant",Croisements!$A$531,"Question 22.6",2,"Question 30",2)</f>
        <v>4</v>
      </c>
      <c r="K262" s="16">
        <f>J262/J263</f>
        <v>0.5</v>
      </c>
      <c r="L262" s="45"/>
    </row>
    <row r="263" spans="1:12">
      <c r="A263" s="50" t="s">
        <v>345</v>
      </c>
      <c r="B263" s="47">
        <f>B261+B262</f>
        <v>7</v>
      </c>
      <c r="C263" s="449">
        <f>C261+C262</f>
        <v>1</v>
      </c>
      <c r="D263" s="47">
        <f>D261+D262</f>
        <v>8</v>
      </c>
      <c r="E263" s="449">
        <f>E261+E262</f>
        <v>1</v>
      </c>
      <c r="F263" s="11"/>
      <c r="G263" s="50" t="s">
        <v>345</v>
      </c>
      <c r="H263" s="47">
        <f>H261+H262</f>
        <v>7</v>
      </c>
      <c r="I263" s="449">
        <f>I261+I262</f>
        <v>1</v>
      </c>
      <c r="J263" s="47">
        <f>J261+J262</f>
        <v>8</v>
      </c>
      <c r="K263" s="449">
        <f>K261+K262</f>
        <v>1</v>
      </c>
      <c r="L263" s="45"/>
    </row>
    <row r="264" spans="1:12">
      <c r="A264" s="52" t="s">
        <v>349</v>
      </c>
      <c r="B264" s="455" t="str">
        <f>'Khi2'!N407</f>
        <v>0.83*</v>
      </c>
      <c r="C264" s="35"/>
      <c r="D264" s="455"/>
      <c r="E264" s="35"/>
      <c r="F264" s="11"/>
      <c r="G264" s="52" t="s">
        <v>349</v>
      </c>
      <c r="H264" s="455" t="str">
        <f>'Khi2'!N415</f>
        <v>0.78*</v>
      </c>
      <c r="I264" s="35"/>
      <c r="J264" s="455"/>
      <c r="K264" s="35"/>
      <c r="L264" s="45"/>
    </row>
    <row r="265" spans="1:12">
      <c r="A265" s="45"/>
      <c r="B265" s="45"/>
      <c r="C265" s="45"/>
      <c r="D265" s="45"/>
      <c r="E265" s="45"/>
      <c r="F265" s="45"/>
      <c r="G265" s="45"/>
      <c r="H265" s="45"/>
      <c r="I265" s="45"/>
      <c r="J265" s="45"/>
      <c r="K265" s="45"/>
      <c r="L265" s="45"/>
    </row>
    <row r="266" spans="1:12">
      <c r="A266" s="590" t="s">
        <v>473</v>
      </c>
      <c r="B266" s="590"/>
      <c r="C266" s="590"/>
      <c r="D266" s="590"/>
      <c r="E266" s="590"/>
      <c r="F266" s="11"/>
      <c r="G266" s="590" t="s">
        <v>475</v>
      </c>
      <c r="H266" s="605"/>
      <c r="I266" s="605"/>
      <c r="J266" s="605"/>
      <c r="K266" s="605"/>
      <c r="L266" s="45"/>
    </row>
    <row r="267" spans="1:12">
      <c r="A267" s="601" t="s">
        <v>474</v>
      </c>
      <c r="B267" s="601"/>
      <c r="C267" s="601"/>
      <c r="D267" s="601"/>
      <c r="E267" s="601"/>
      <c r="F267" s="11"/>
      <c r="G267" s="601" t="s">
        <v>476</v>
      </c>
      <c r="H267" s="607"/>
      <c r="I267" s="607"/>
      <c r="J267" s="607"/>
      <c r="K267" s="607"/>
      <c r="L267" s="45"/>
    </row>
    <row r="268" spans="1:12">
      <c r="A268" s="458" t="s">
        <v>427</v>
      </c>
      <c r="B268" s="459"/>
      <c r="C268" s="459"/>
      <c r="D268" s="459"/>
      <c r="E268" s="459"/>
      <c r="F268" s="11"/>
      <c r="G268" s="285" t="s">
        <v>477</v>
      </c>
      <c r="H268" s="286"/>
      <c r="I268" s="286"/>
      <c r="J268" s="286"/>
      <c r="K268" s="286"/>
      <c r="L268" s="45"/>
    </row>
    <row r="269" spans="1:12">
      <c r="A269" s="602" t="s">
        <v>636</v>
      </c>
      <c r="B269" s="602"/>
      <c r="C269" s="602"/>
      <c r="D269" s="602"/>
      <c r="E269" s="602"/>
      <c r="F269" s="11"/>
      <c r="G269" s="602" t="s">
        <v>636</v>
      </c>
      <c r="H269" s="606"/>
      <c r="I269" s="606"/>
      <c r="J269" s="606"/>
      <c r="K269" s="606"/>
      <c r="L269" s="45"/>
    </row>
    <row r="270" spans="1:12">
      <c r="A270" s="598"/>
      <c r="B270" s="599" t="s">
        <v>102</v>
      </c>
      <c r="C270" s="600"/>
      <c r="D270" s="599" t="s">
        <v>55</v>
      </c>
      <c r="E270" s="600"/>
      <c r="F270" s="11"/>
      <c r="G270" s="598"/>
      <c r="H270" s="599" t="s">
        <v>102</v>
      </c>
      <c r="I270" s="600"/>
      <c r="J270" s="599" t="s">
        <v>55</v>
      </c>
      <c r="K270" s="600"/>
      <c r="L270" s="45"/>
    </row>
    <row r="271" spans="1:12">
      <c r="A271" s="594"/>
      <c r="B271" s="14" t="s">
        <v>103</v>
      </c>
      <c r="C271" s="14" t="s">
        <v>104</v>
      </c>
      <c r="D271" s="461" t="s">
        <v>103</v>
      </c>
      <c r="E271" s="14" t="s">
        <v>104</v>
      </c>
      <c r="F271" s="11"/>
      <c r="G271" s="594"/>
      <c r="H271" s="14" t="s">
        <v>103</v>
      </c>
      <c r="I271" s="14" t="s">
        <v>104</v>
      </c>
      <c r="J271" s="461" t="s">
        <v>103</v>
      </c>
      <c r="K271" s="14" t="s">
        <v>104</v>
      </c>
      <c r="L271" s="45"/>
    </row>
    <row r="272" spans="1:12">
      <c r="A272" s="32" t="s">
        <v>35</v>
      </c>
      <c r="B272" s="14">
        <f>GETPIVOTDATA("Répondant",Croisements!$A$540,"Question 23",1,"Question 30",1)</f>
        <v>6</v>
      </c>
      <c r="C272" s="16">
        <f>B272/B274</f>
        <v>0.8571428571428571</v>
      </c>
      <c r="D272" s="14">
        <f>GETPIVOTDATA("Répondant",Croisements!$A$540,"Question 23",1,"Question 30",2)</f>
        <v>2</v>
      </c>
      <c r="E272" s="16">
        <f>D272/D274</f>
        <v>0.25</v>
      </c>
      <c r="F272" s="11"/>
      <c r="G272" s="15" t="s">
        <v>35</v>
      </c>
      <c r="H272" s="14">
        <f>GETPIVOTDATA("Répondant",Croisements!$A$550,"Question 24",1,"Question 30",1)</f>
        <v>4</v>
      </c>
      <c r="I272" s="16">
        <f>H272/H274</f>
        <v>0.5714285714285714</v>
      </c>
      <c r="J272" s="14">
        <f>GETPIVOTDATA("Répondant",Croisements!$A$550,"Question 24",1,"Question 30",2)</f>
        <v>4</v>
      </c>
      <c r="K272" s="16">
        <f>J272/J274</f>
        <v>0.5</v>
      </c>
      <c r="L272" s="45"/>
    </row>
    <row r="273" spans="1:12">
      <c r="A273" s="32" t="s">
        <v>36</v>
      </c>
      <c r="B273" s="14">
        <f>GETPIVOTDATA("Répondant",Croisements!$A$540,"Question 23",2,"Question 30",1)</f>
        <v>1</v>
      </c>
      <c r="C273" s="16">
        <f>B273/B274</f>
        <v>0.14285714285714285</v>
      </c>
      <c r="D273" s="14">
        <f>GETPIVOTDATA("Répondant",Croisements!$A$540,"Question 23",2,"Question 30",2)</f>
        <v>6</v>
      </c>
      <c r="E273" s="16">
        <f>D273/D274</f>
        <v>0.75</v>
      </c>
      <c r="F273" s="11"/>
      <c r="G273" s="15" t="s">
        <v>36</v>
      </c>
      <c r="H273" s="14">
        <f>GETPIVOTDATA("Répondant",Croisements!$A$550,"Question 24",2,"Question 30",1)</f>
        <v>3</v>
      </c>
      <c r="I273" s="16">
        <f>H273/H274</f>
        <v>0.42857142857142855</v>
      </c>
      <c r="J273" s="14">
        <f>GETPIVOTDATA("Répondant",Croisements!$A$550,"Question 24",2,"Question 30",2)</f>
        <v>4</v>
      </c>
      <c r="K273" s="16">
        <f>J273/J274</f>
        <v>0.5</v>
      </c>
      <c r="L273" s="45"/>
    </row>
    <row r="274" spans="1:12">
      <c r="A274" s="50" t="s">
        <v>345</v>
      </c>
      <c r="B274" s="47">
        <f>B272+B273</f>
        <v>7</v>
      </c>
      <c r="C274" s="449">
        <f>C272+C273</f>
        <v>1</v>
      </c>
      <c r="D274" s="47">
        <f>D272+D273</f>
        <v>8</v>
      </c>
      <c r="E274" s="449">
        <f>E272+E273</f>
        <v>1</v>
      </c>
      <c r="F274" s="45"/>
      <c r="G274" s="46" t="s">
        <v>345</v>
      </c>
      <c r="H274" s="47">
        <f>H272+H273</f>
        <v>7</v>
      </c>
      <c r="I274" s="449">
        <f>I272+I273</f>
        <v>1</v>
      </c>
      <c r="J274" s="47">
        <f>J272+J273</f>
        <v>8</v>
      </c>
      <c r="K274" s="449">
        <f>K272+K273</f>
        <v>1</v>
      </c>
      <c r="L274" s="45"/>
    </row>
    <row r="275" spans="1:12">
      <c r="A275" s="52" t="s">
        <v>349</v>
      </c>
      <c r="B275" s="455">
        <f>'Khi2'!N423</f>
        <v>0.02</v>
      </c>
      <c r="C275" s="35"/>
      <c r="D275" s="455"/>
      <c r="E275" s="35"/>
      <c r="F275" s="33"/>
      <c r="G275" s="52" t="s">
        <v>349</v>
      </c>
      <c r="H275" s="455">
        <f>'Khi2'!N423</f>
        <v>0.02</v>
      </c>
      <c r="I275" s="35"/>
      <c r="J275" s="455"/>
      <c r="K275" s="35"/>
      <c r="L275" s="45"/>
    </row>
    <row r="276" spans="1:12">
      <c r="A276" s="45"/>
      <c r="B276" s="45"/>
      <c r="C276" s="45"/>
      <c r="D276" s="45"/>
      <c r="F276" s="11"/>
      <c r="L276" s="45"/>
    </row>
    <row r="277" spans="1:12">
      <c r="A277" s="640" t="s">
        <v>478</v>
      </c>
      <c r="B277" s="640"/>
      <c r="C277" s="640"/>
      <c r="D277" s="640"/>
      <c r="E277" s="640"/>
      <c r="F277" s="11"/>
      <c r="G277" s="640" t="s">
        <v>480</v>
      </c>
      <c r="H277" s="642"/>
      <c r="I277" s="642"/>
      <c r="J277" s="642"/>
      <c r="K277" s="642"/>
      <c r="L277" s="45"/>
    </row>
    <row r="278" spans="1:12">
      <c r="A278" s="641" t="s">
        <v>479</v>
      </c>
      <c r="B278" s="641"/>
      <c r="C278" s="641"/>
      <c r="D278" s="641"/>
      <c r="E278" s="641"/>
      <c r="F278" s="11"/>
      <c r="G278" s="641" t="s">
        <v>481</v>
      </c>
      <c r="H278" s="643"/>
      <c r="I278" s="643"/>
      <c r="J278" s="643"/>
      <c r="K278" s="643"/>
      <c r="L278" s="45"/>
    </row>
    <row r="279" spans="1:12">
      <c r="A279" s="641" t="s">
        <v>27</v>
      </c>
      <c r="B279" s="641"/>
      <c r="C279" s="641"/>
      <c r="D279" s="641"/>
      <c r="E279" s="641"/>
      <c r="F279" s="11"/>
      <c r="G279" s="641" t="s">
        <v>482</v>
      </c>
      <c r="H279" s="643"/>
      <c r="I279" s="643"/>
      <c r="J279" s="643"/>
      <c r="K279" s="643"/>
      <c r="L279" s="45"/>
    </row>
    <row r="280" spans="1:12">
      <c r="A280" s="602" t="s">
        <v>636</v>
      </c>
      <c r="B280" s="602"/>
      <c r="C280" s="602"/>
      <c r="D280" s="602"/>
      <c r="E280" s="602"/>
      <c r="F280" s="11"/>
      <c r="G280" s="641" t="s">
        <v>311</v>
      </c>
      <c r="H280" s="643"/>
      <c r="I280" s="643"/>
      <c r="J280" s="643"/>
      <c r="K280" s="643"/>
      <c r="L280" s="45"/>
    </row>
    <row r="281" spans="1:12">
      <c r="A281" s="598"/>
      <c r="B281" s="599" t="s">
        <v>102</v>
      </c>
      <c r="C281" s="600"/>
      <c r="D281" s="599" t="s">
        <v>55</v>
      </c>
      <c r="E281" s="600"/>
      <c r="F281" s="11"/>
      <c r="G281" s="602" t="s">
        <v>636</v>
      </c>
      <c r="H281" s="606"/>
      <c r="I281" s="606"/>
      <c r="J281" s="606"/>
      <c r="K281" s="606"/>
      <c r="L281" s="45"/>
    </row>
    <row r="282" spans="1:12">
      <c r="A282" s="594"/>
      <c r="B282" s="14" t="s">
        <v>103</v>
      </c>
      <c r="C282" s="14" t="s">
        <v>104</v>
      </c>
      <c r="D282" s="461" t="s">
        <v>103</v>
      </c>
      <c r="E282" s="14" t="s">
        <v>104</v>
      </c>
      <c r="F282" s="11"/>
      <c r="G282" s="598"/>
      <c r="H282" s="599" t="s">
        <v>102</v>
      </c>
      <c r="I282" s="600"/>
      <c r="J282" s="599" t="s">
        <v>55</v>
      </c>
      <c r="K282" s="600"/>
      <c r="L282" s="45"/>
    </row>
    <row r="283" spans="1:12">
      <c r="A283" s="32" t="s">
        <v>75</v>
      </c>
      <c r="B283" s="14">
        <f>GETPIVOTDATA("Répondant",Croisements!$A$559,"Question 25",1,"Question 30",1)+GETPIVOTDATA("Répondant",Croisements!$A$559,"Question 25",2,"Question 30",1)</f>
        <v>5</v>
      </c>
      <c r="C283" s="16">
        <f>B283/B285</f>
        <v>0.7142857142857143</v>
      </c>
      <c r="D283" s="14">
        <f>GETPIVOTDATA("Répondant",Croisements!$A$559,"Question 25",1,"Question 30",2)+GETPIVOTDATA("Répondant",Croisements!$A$559,"Question 25",2,"Question 30",2)</f>
        <v>3</v>
      </c>
      <c r="E283" s="16">
        <f>D283/D285</f>
        <v>0.375</v>
      </c>
      <c r="F283" s="11"/>
      <c r="G283" s="594"/>
      <c r="H283" s="14" t="s">
        <v>103</v>
      </c>
      <c r="I283" s="14" t="s">
        <v>104</v>
      </c>
      <c r="J283" s="461" t="s">
        <v>103</v>
      </c>
      <c r="K283" s="14" t="s">
        <v>104</v>
      </c>
      <c r="L283" s="45"/>
    </row>
    <row r="284" spans="1:12">
      <c r="A284" s="32" t="s">
        <v>76</v>
      </c>
      <c r="B284" s="14">
        <f>GETPIVOTDATA("Répondant",Croisements!$A$559,"Question 25",3,"Question 30",1)+GETPIVOTDATA("Répondant",Croisements!$A$559,"Question 25",4,"Question 30",1)</f>
        <v>2</v>
      </c>
      <c r="C284" s="16">
        <f>B284/B285</f>
        <v>0.2857142857142857</v>
      </c>
      <c r="D284" s="14">
        <f>GETPIVOTDATA("Répondant",Croisements!$A$559,"Question 25",3,"Question 30",2)+GETPIVOTDATA("Répondant",Croisements!$A$559,"Question 25",4,"Question 30",2)</f>
        <v>5</v>
      </c>
      <c r="E284" s="16">
        <f>D284/D285</f>
        <v>0.625</v>
      </c>
      <c r="F284" s="45"/>
      <c r="G284" s="15" t="s">
        <v>35</v>
      </c>
      <c r="H284" s="14">
        <f>GETPIVOTDATA("Répondant",Croisements!$A$571,"Question 26",1,"Question 30",1)</f>
        <v>4</v>
      </c>
      <c r="I284" s="16">
        <f>H284/H286</f>
        <v>0.5714285714285714</v>
      </c>
      <c r="J284" s="14">
        <f>GETPIVOTDATA("Répondant",Croisements!$A$571,"Question 26",1,"Question 30",2)</f>
        <v>4</v>
      </c>
      <c r="K284" s="16">
        <f>J284/J286</f>
        <v>0.5</v>
      </c>
      <c r="L284" s="45"/>
    </row>
    <row r="285" spans="1:12">
      <c r="A285" s="46" t="s">
        <v>345</v>
      </c>
      <c r="B285" s="47">
        <f>B283+B284</f>
        <v>7</v>
      </c>
      <c r="C285" s="449">
        <f>C283+C284</f>
        <v>1</v>
      </c>
      <c r="D285" s="47">
        <f>D283+D284</f>
        <v>8</v>
      </c>
      <c r="E285" s="449">
        <f>E283+E284</f>
        <v>1</v>
      </c>
      <c r="F285" s="33"/>
      <c r="G285" s="15" t="s">
        <v>36</v>
      </c>
      <c r="H285" s="14">
        <f>GETPIVOTDATA("Répondant",Croisements!$A$571,"Question 26",2,"Question 30",1)</f>
        <v>3</v>
      </c>
      <c r="I285" s="16">
        <f>H285/H286</f>
        <v>0.42857142857142855</v>
      </c>
      <c r="J285" s="14">
        <f>GETPIVOTDATA("Répondant",Croisements!$A$571,"Question 26",2,"Question 30",2)</f>
        <v>4</v>
      </c>
      <c r="K285" s="16">
        <f>J285/J286</f>
        <v>0.5</v>
      </c>
      <c r="L285" s="45"/>
    </row>
    <row r="286" spans="1:12">
      <c r="A286" s="52" t="s">
        <v>349</v>
      </c>
      <c r="B286" s="455" t="str">
        <f>'Khi2'!N439</f>
        <v>0.19*</v>
      </c>
      <c r="C286" s="35"/>
      <c r="D286" s="455"/>
      <c r="E286" s="35"/>
      <c r="F286" s="11"/>
      <c r="G286" s="46" t="s">
        <v>345</v>
      </c>
      <c r="H286" s="47">
        <f>H284+H285</f>
        <v>7</v>
      </c>
      <c r="I286" s="449">
        <f>I284+I285</f>
        <v>1</v>
      </c>
      <c r="J286" s="47">
        <f>J284+J285</f>
        <v>8</v>
      </c>
      <c r="K286" s="449">
        <f>K284+K285</f>
        <v>1</v>
      </c>
      <c r="L286" s="45"/>
    </row>
    <row r="287" spans="1:12">
      <c r="A287" s="45"/>
      <c r="B287" s="45"/>
      <c r="C287" s="45"/>
      <c r="D287" s="45"/>
      <c r="E287" s="45"/>
      <c r="F287" s="11"/>
      <c r="G287" s="52" t="s">
        <v>349</v>
      </c>
      <c r="H287" s="455" t="str">
        <f>'Khi2'!N447</f>
        <v>0.78*</v>
      </c>
      <c r="I287" s="35"/>
      <c r="J287" s="34"/>
      <c r="K287" s="35"/>
      <c r="L287" s="45"/>
    </row>
    <row r="288" spans="1:12">
      <c r="A288" s="45"/>
      <c r="B288" s="45"/>
      <c r="C288" s="45"/>
      <c r="D288" s="45"/>
      <c r="E288" s="45"/>
      <c r="F288" s="11"/>
      <c r="G288" s="45"/>
      <c r="H288" s="45"/>
      <c r="I288" s="45"/>
      <c r="J288" s="45"/>
      <c r="K288" s="45"/>
      <c r="L288" s="45"/>
    </row>
    <row r="289" spans="1:12">
      <c r="A289" s="640" t="s">
        <v>509</v>
      </c>
      <c r="B289" s="640"/>
      <c r="C289" s="640"/>
      <c r="D289" s="640"/>
      <c r="E289" s="640"/>
      <c r="F289" s="11"/>
      <c r="G289" s="45"/>
      <c r="H289" s="45"/>
      <c r="I289" s="45"/>
      <c r="J289" s="45"/>
      <c r="K289" s="45"/>
      <c r="L289" s="45"/>
    </row>
    <row r="290" spans="1:12">
      <c r="A290" s="641" t="s">
        <v>312</v>
      </c>
      <c r="B290" s="641"/>
      <c r="C290" s="641"/>
      <c r="D290" s="641"/>
      <c r="E290" s="641"/>
      <c r="G290" s="45"/>
      <c r="H290" s="45"/>
      <c r="I290" s="45"/>
      <c r="J290" s="45"/>
      <c r="K290" s="45"/>
      <c r="L290" s="45"/>
    </row>
    <row r="291" spans="1:12">
      <c r="A291" s="33"/>
      <c r="B291" s="33"/>
      <c r="C291" s="33"/>
      <c r="D291" s="33"/>
      <c r="E291" s="33"/>
      <c r="F291" s="11"/>
      <c r="G291" s="45"/>
      <c r="H291" s="45"/>
      <c r="I291" s="45"/>
      <c r="J291" s="45"/>
      <c r="K291" s="45"/>
      <c r="L291" s="45"/>
    </row>
    <row r="292" spans="1:12">
      <c r="A292" s="638"/>
      <c r="B292" s="639"/>
      <c r="C292" s="639"/>
      <c r="D292" s="639"/>
      <c r="E292" s="639"/>
      <c r="F292" s="11"/>
      <c r="G292" s="45"/>
      <c r="H292" s="45"/>
      <c r="I292" s="45"/>
      <c r="J292" s="45"/>
      <c r="K292" s="45"/>
      <c r="L292" s="45"/>
    </row>
    <row r="293" spans="1:12">
      <c r="A293" s="602" t="s">
        <v>636</v>
      </c>
      <c r="B293" s="602"/>
      <c r="C293" s="602"/>
      <c r="D293" s="602"/>
      <c r="E293" s="602"/>
      <c r="F293" s="11"/>
      <c r="G293" s="45"/>
      <c r="H293" s="45"/>
      <c r="I293" s="45"/>
      <c r="J293" s="45"/>
      <c r="K293" s="45"/>
      <c r="L293" s="45"/>
    </row>
    <row r="294" spans="1:12">
      <c r="A294" s="593"/>
      <c r="B294" s="595" t="s">
        <v>102</v>
      </c>
      <c r="C294" s="596"/>
      <c r="D294" s="595" t="s">
        <v>55</v>
      </c>
      <c r="E294" s="596"/>
      <c r="F294" s="11"/>
      <c r="G294" s="45"/>
      <c r="H294" s="45"/>
      <c r="I294" s="45"/>
      <c r="J294" s="45"/>
      <c r="K294" s="45"/>
      <c r="L294" s="45"/>
    </row>
    <row r="295" spans="1:12">
      <c r="A295" s="594"/>
      <c r="B295" s="14" t="s">
        <v>103</v>
      </c>
      <c r="C295" s="14" t="s">
        <v>104</v>
      </c>
      <c r="D295" s="461" t="s">
        <v>103</v>
      </c>
      <c r="E295" s="14" t="s">
        <v>104</v>
      </c>
      <c r="F295" s="45"/>
      <c r="G295" s="45"/>
      <c r="H295" s="45"/>
      <c r="I295" s="45"/>
      <c r="J295" s="45"/>
      <c r="K295" s="45"/>
      <c r="L295" s="45"/>
    </row>
    <row r="296" spans="1:12">
      <c r="A296" s="32" t="s">
        <v>254</v>
      </c>
      <c r="B296" s="507">
        <f>GETPIVOTDATA("Répondant",Croisements!$A$582,"Question 27",1,"Question 30",1)</f>
        <v>1</v>
      </c>
      <c r="C296" s="16">
        <f>B296/$B$301</f>
        <v>0.16666666666666666</v>
      </c>
      <c r="D296" s="507">
        <f>GETPIVOTDATA("Répondant",Croisements!$A$582,"Question 27",1,"Question 30",2)</f>
        <v>2</v>
      </c>
      <c r="E296" s="16">
        <f>D296/$D$301</f>
        <v>0.25</v>
      </c>
      <c r="F296" s="45"/>
      <c r="G296" s="45"/>
      <c r="H296" s="45"/>
      <c r="I296" s="45"/>
      <c r="J296" s="45"/>
      <c r="K296" s="45"/>
      <c r="L296" s="45"/>
    </row>
    <row r="297" spans="1:12">
      <c r="A297" s="32" t="s">
        <v>255</v>
      </c>
      <c r="B297" s="507">
        <f>GETPIVOTDATA("Répondant",Croisements!$A$582,"Question 27",2,"Question 30",1)</f>
        <v>2</v>
      </c>
      <c r="C297" s="16">
        <f>B297/$B$301</f>
        <v>0.33333333333333331</v>
      </c>
      <c r="D297" s="507">
        <f>GETPIVOTDATA("Répondant",Croisements!$A$582,"Question 27",2,"Question 30",2)</f>
        <v>2</v>
      </c>
      <c r="E297" s="16">
        <f>D297/$D$301</f>
        <v>0.25</v>
      </c>
      <c r="F297" s="11"/>
      <c r="G297" s="45"/>
      <c r="H297" s="45"/>
      <c r="I297" s="45"/>
      <c r="J297" s="45"/>
      <c r="K297" s="45"/>
      <c r="L297" s="45"/>
    </row>
    <row r="298" spans="1:12">
      <c r="A298" s="46" t="s">
        <v>256</v>
      </c>
      <c r="B298" s="47">
        <f>GETPIVOTDATA("Répondant",Croisements!$A$582,"Question 27",3,"Question 30",1)</f>
        <v>3</v>
      </c>
      <c r="C298" s="16">
        <f>B298/$B$301</f>
        <v>0.5</v>
      </c>
      <c r="D298" s="47">
        <f>GETPIVOTDATA("Répondant",Croisements!$A$582,"Question 27",3,"Question 30",2)</f>
        <v>1</v>
      </c>
      <c r="E298" s="16">
        <f>D298/$D$301</f>
        <v>0.125</v>
      </c>
      <c r="G298" s="45"/>
      <c r="H298" s="45"/>
      <c r="I298" s="45"/>
      <c r="J298" s="45"/>
      <c r="K298" s="45"/>
      <c r="L298" s="45"/>
    </row>
    <row r="299" spans="1:12">
      <c r="A299" s="46" t="s">
        <v>257</v>
      </c>
      <c r="B299" s="47">
        <f>GETPIVOTDATA("Répondant",Croisements!$A$582,"Question 27",4,"Question 30",1)</f>
        <v>0</v>
      </c>
      <c r="C299" s="16">
        <f>B299/$B$301</f>
        <v>0</v>
      </c>
      <c r="D299" s="47">
        <f>GETPIVOTDATA("Répondant",Croisements!$A$582,"Question 27",4,"Question 30",2)</f>
        <v>1</v>
      </c>
      <c r="E299" s="16">
        <f>D299/$D$301</f>
        <v>0.125</v>
      </c>
      <c r="F299" s="11"/>
      <c r="G299" s="45"/>
      <c r="H299" s="45"/>
      <c r="I299" s="45"/>
      <c r="J299" s="45"/>
      <c r="K299" s="45"/>
      <c r="L299" s="45"/>
    </row>
    <row r="300" spans="1:12">
      <c r="A300" s="46" t="s">
        <v>258</v>
      </c>
      <c r="B300" s="47">
        <f>GETPIVOTDATA("Répondant",Croisements!$A$582,"Question 27",5,"Question 30",1)</f>
        <v>0</v>
      </c>
      <c r="C300" s="16">
        <f>B300/$B$301</f>
        <v>0</v>
      </c>
      <c r="D300" s="47">
        <f>GETPIVOTDATA("Répondant",Croisements!$A$582,"Question 27",5,"Question 30",2)</f>
        <v>2</v>
      </c>
      <c r="E300" s="16">
        <f>D300/$D$301</f>
        <v>0.25</v>
      </c>
      <c r="F300" s="11"/>
      <c r="G300" s="45"/>
      <c r="H300" s="45"/>
      <c r="I300" s="45"/>
      <c r="J300" s="45"/>
      <c r="K300" s="45"/>
      <c r="L300" s="45"/>
    </row>
    <row r="301" spans="1:12">
      <c r="A301" s="50" t="s">
        <v>345</v>
      </c>
      <c r="B301" s="47">
        <f>SUM(B296:B300)</f>
        <v>6</v>
      </c>
      <c r="C301" s="16">
        <f>SUM(C296:C300)</f>
        <v>1</v>
      </c>
      <c r="D301" s="47">
        <f>SUM(D296:D300)</f>
        <v>8</v>
      </c>
      <c r="E301" s="449">
        <f>SUM(E296:E300)</f>
        <v>1</v>
      </c>
      <c r="F301" s="11"/>
      <c r="G301" s="45"/>
      <c r="H301" s="45"/>
      <c r="I301" s="45"/>
      <c r="J301" s="45"/>
      <c r="K301" s="45"/>
      <c r="L301" s="45"/>
    </row>
    <row r="302" spans="1:12">
      <c r="A302" s="52" t="s">
        <v>349</v>
      </c>
      <c r="B302" s="45">
        <f>'Khi2'!N455</f>
        <v>0.04</v>
      </c>
      <c r="C302" s="376"/>
      <c r="D302" s="490"/>
      <c r="E302" s="490"/>
      <c r="F302" s="11"/>
      <c r="G302" s="45"/>
      <c r="H302" s="45"/>
      <c r="I302" s="45"/>
      <c r="J302" s="45"/>
      <c r="K302" s="45"/>
      <c r="L302" s="45"/>
    </row>
    <row r="303" spans="1:12">
      <c r="A303" s="612"/>
      <c r="B303" s="612"/>
      <c r="C303" s="612"/>
      <c r="D303" s="612"/>
      <c r="E303" s="612"/>
      <c r="F303" s="11"/>
      <c r="L303" s="45"/>
    </row>
    <row r="304" spans="1:12">
      <c r="A304" s="612"/>
      <c r="B304" s="455"/>
      <c r="C304" s="455"/>
      <c r="D304" s="455"/>
      <c r="E304" s="455"/>
      <c r="F304" s="11"/>
    </row>
    <row r="305" spans="1:12">
      <c r="A305" s="52"/>
      <c r="B305" s="455"/>
      <c r="C305" s="35"/>
      <c r="D305" s="455"/>
      <c r="E305" s="35"/>
      <c r="F305" s="11"/>
      <c r="L305" s="45"/>
    </row>
    <row r="306" spans="1:12">
      <c r="A306" s="52"/>
      <c r="B306" s="455"/>
      <c r="C306" s="35"/>
      <c r="D306" s="455"/>
      <c r="E306" s="35"/>
      <c r="F306" s="11"/>
      <c r="L306" s="45"/>
    </row>
    <row r="307" spans="1:12">
      <c r="A307" s="45"/>
      <c r="B307" s="45"/>
      <c r="C307" s="45"/>
      <c r="D307" s="45"/>
      <c r="E307" s="45"/>
      <c r="F307" s="45"/>
    </row>
    <row r="308" spans="1:12">
      <c r="A308" s="45"/>
      <c r="B308" s="45"/>
      <c r="C308" s="45"/>
      <c r="D308" s="45"/>
      <c r="E308" s="45"/>
      <c r="F308" s="45"/>
      <c r="G308" s="45"/>
      <c r="H308" s="45"/>
      <c r="I308" s="45"/>
      <c r="J308" s="45"/>
      <c r="K308" s="45"/>
    </row>
    <row r="309" spans="1:12">
      <c r="A309" s="45"/>
      <c r="B309" s="45"/>
      <c r="C309" s="45"/>
      <c r="D309" s="45"/>
      <c r="E309" s="45"/>
      <c r="F309" s="45"/>
      <c r="G309" s="45"/>
      <c r="H309" s="45"/>
      <c r="I309" s="45"/>
      <c r="J309" s="45"/>
      <c r="K309" s="45"/>
    </row>
    <row r="310" spans="1:12">
      <c r="A310" s="45"/>
      <c r="B310" s="45"/>
      <c r="C310" s="45"/>
      <c r="D310" s="45"/>
      <c r="E310" s="45"/>
      <c r="F310" s="45"/>
      <c r="G310" s="45"/>
      <c r="H310" s="45"/>
      <c r="I310" s="45"/>
      <c r="J310" s="45"/>
      <c r="K310" s="45"/>
    </row>
    <row r="311" spans="1:12">
      <c r="A311" s="45"/>
      <c r="B311" s="45"/>
      <c r="C311" s="45"/>
      <c r="D311" s="45"/>
      <c r="E311" s="45"/>
      <c r="F311" s="45"/>
      <c r="G311" s="45"/>
      <c r="H311" s="45"/>
      <c r="I311" s="45"/>
      <c r="J311" s="45"/>
      <c r="K311" s="45"/>
    </row>
    <row r="312" spans="1:12">
      <c r="A312" s="45"/>
      <c r="B312" s="45"/>
      <c r="C312" s="45"/>
      <c r="D312" s="45"/>
      <c r="E312" s="45"/>
      <c r="F312" s="45"/>
      <c r="G312" s="45"/>
      <c r="H312" s="45"/>
      <c r="I312" s="45"/>
      <c r="J312" s="45"/>
      <c r="K312" s="45"/>
    </row>
    <row r="313" spans="1:12">
      <c r="A313" s="45"/>
      <c r="B313" s="45"/>
      <c r="C313" s="45"/>
      <c r="D313" s="45"/>
      <c r="E313" s="45"/>
      <c r="F313" s="45"/>
      <c r="G313" s="45"/>
      <c r="H313" s="45"/>
      <c r="I313" s="45"/>
      <c r="J313" s="45"/>
      <c r="K313" s="45"/>
    </row>
    <row r="314" spans="1:12">
      <c r="A314" s="45"/>
      <c r="B314" s="45"/>
      <c r="C314" s="45"/>
      <c r="D314" s="45"/>
      <c r="E314" s="45"/>
      <c r="F314" s="45"/>
      <c r="G314" s="45"/>
      <c r="H314" s="45"/>
      <c r="I314" s="45"/>
      <c r="J314" s="45"/>
      <c r="K314" s="45"/>
    </row>
    <row r="315" spans="1:12">
      <c r="A315" s="45"/>
      <c r="B315" s="45"/>
      <c r="C315" s="45"/>
      <c r="D315" s="45"/>
      <c r="E315" s="45"/>
      <c r="F315" s="45"/>
      <c r="G315" s="45"/>
      <c r="H315" s="45"/>
      <c r="I315" s="45"/>
      <c r="J315" s="45"/>
      <c r="K315" s="45"/>
    </row>
    <row r="316" spans="1:12">
      <c r="A316" s="45"/>
      <c r="B316" s="45"/>
      <c r="C316" s="45"/>
      <c r="D316" s="45"/>
      <c r="E316" s="45"/>
      <c r="F316" s="45"/>
      <c r="G316" s="45"/>
      <c r="H316" s="45"/>
      <c r="I316" s="45"/>
      <c r="J316" s="45"/>
      <c r="K316" s="45"/>
    </row>
    <row r="317" spans="1:12">
      <c r="A317" s="45"/>
      <c r="B317" s="45"/>
      <c r="C317" s="45"/>
      <c r="D317" s="45"/>
      <c r="E317" s="45"/>
      <c r="F317" s="45"/>
      <c r="G317" s="45"/>
      <c r="H317" s="45"/>
      <c r="I317" s="45"/>
      <c r="J317" s="45"/>
      <c r="K317" s="45"/>
    </row>
    <row r="318" spans="1:12">
      <c r="A318" s="45"/>
      <c r="B318" s="45"/>
      <c r="C318" s="45"/>
      <c r="D318" s="45"/>
      <c r="E318" s="45"/>
      <c r="F318" s="45"/>
      <c r="G318" s="45"/>
      <c r="H318" s="45"/>
      <c r="I318" s="45"/>
      <c r="J318" s="45"/>
      <c r="K318" s="45"/>
    </row>
    <row r="319" spans="1:12">
      <c r="A319" s="45"/>
      <c r="B319" s="45"/>
      <c r="C319" s="45"/>
      <c r="D319" s="45"/>
      <c r="E319" s="45"/>
      <c r="F319" s="45"/>
      <c r="G319" s="45"/>
      <c r="H319" s="45"/>
      <c r="I319" s="45"/>
      <c r="J319" s="45"/>
      <c r="K319" s="45"/>
    </row>
    <row r="320" spans="1:12">
      <c r="A320" s="45"/>
      <c r="B320" s="45"/>
      <c r="C320" s="45"/>
      <c r="D320" s="45"/>
      <c r="E320" s="45"/>
      <c r="F320" s="45"/>
      <c r="G320" s="45"/>
      <c r="H320" s="45"/>
      <c r="I320" s="45"/>
      <c r="J320" s="45"/>
      <c r="K320" s="45"/>
    </row>
    <row r="321" spans="1:11">
      <c r="A321" s="45"/>
      <c r="B321" s="45"/>
      <c r="C321" s="45"/>
      <c r="D321" s="45"/>
      <c r="E321" s="45"/>
      <c r="F321" s="45"/>
      <c r="G321" s="45"/>
      <c r="H321" s="45"/>
      <c r="I321" s="45"/>
      <c r="J321" s="45"/>
      <c r="K321" s="45"/>
    </row>
    <row r="322" spans="1:11">
      <c r="A322" s="45"/>
      <c r="B322" s="45"/>
      <c r="C322" s="45"/>
      <c r="D322" s="45"/>
      <c r="E322" s="45"/>
      <c r="F322" s="45"/>
      <c r="G322" s="45"/>
      <c r="H322" s="45"/>
      <c r="I322" s="45"/>
      <c r="J322" s="45"/>
      <c r="K322" s="45"/>
    </row>
    <row r="323" spans="1:11">
      <c r="A323" s="45"/>
      <c r="B323" s="45"/>
      <c r="C323" s="45"/>
      <c r="D323" s="45"/>
      <c r="E323" s="45"/>
      <c r="F323" s="45"/>
      <c r="G323" s="45"/>
      <c r="H323" s="45"/>
      <c r="I323" s="45"/>
      <c r="J323" s="45"/>
      <c r="K323" s="45"/>
    </row>
    <row r="324" spans="1:11">
      <c r="A324" s="45"/>
      <c r="B324" s="45"/>
      <c r="C324" s="45"/>
      <c r="D324" s="45"/>
      <c r="E324" s="45"/>
      <c r="F324" s="45"/>
      <c r="G324" s="45"/>
      <c r="H324" s="45"/>
      <c r="I324" s="45"/>
      <c r="J324" s="45"/>
      <c r="K324" s="45"/>
    </row>
    <row r="325" spans="1:11">
      <c r="A325" s="45"/>
      <c r="B325" s="45"/>
      <c r="C325" s="45"/>
      <c r="D325" s="45"/>
      <c r="E325" s="45"/>
      <c r="F325" s="45"/>
      <c r="G325" s="45"/>
      <c r="H325" s="45"/>
      <c r="I325" s="45"/>
      <c r="J325" s="45"/>
      <c r="K325" s="45"/>
    </row>
  </sheetData>
  <mergeCells count="377">
    <mergeCell ref="A22:E22"/>
    <mergeCell ref="A23:E23"/>
    <mergeCell ref="A24:E24"/>
    <mergeCell ref="A25:E25"/>
    <mergeCell ref="A26:A27"/>
    <mergeCell ref="G23:K23"/>
    <mergeCell ref="G24:M24"/>
    <mergeCell ref="G25:K25"/>
    <mergeCell ref="G26:G27"/>
    <mergeCell ref="H26:I26"/>
    <mergeCell ref="J26:K26"/>
    <mergeCell ref="G22:K22"/>
    <mergeCell ref="B26:C26"/>
    <mergeCell ref="D26:E26"/>
    <mergeCell ref="A33:E33"/>
    <mergeCell ref="G33:K33"/>
    <mergeCell ref="G32:K32"/>
    <mergeCell ref="A289:E289"/>
    <mergeCell ref="G281:K281"/>
    <mergeCell ref="G282:G283"/>
    <mergeCell ref="H282:I282"/>
    <mergeCell ref="J282:K282"/>
    <mergeCell ref="A290:E290"/>
    <mergeCell ref="A269:E269"/>
    <mergeCell ref="A280:E280"/>
    <mergeCell ref="G280:K280"/>
    <mergeCell ref="G239:K239"/>
    <mergeCell ref="G237:K237"/>
    <mergeCell ref="G235:K235"/>
    <mergeCell ref="G236:K236"/>
    <mergeCell ref="H238:I238"/>
    <mergeCell ref="J238:K238"/>
    <mergeCell ref="J240:K240"/>
    <mergeCell ref="G248:K248"/>
    <mergeCell ref="A249:A250"/>
    <mergeCell ref="B249:C249"/>
    <mergeCell ref="D249:E249"/>
    <mergeCell ref="A240:A241"/>
    <mergeCell ref="A293:E293"/>
    <mergeCell ref="A303:A304"/>
    <mergeCell ref="B303:C303"/>
    <mergeCell ref="D303:E303"/>
    <mergeCell ref="A292:E292"/>
    <mergeCell ref="G257:K257"/>
    <mergeCell ref="A281:A282"/>
    <mergeCell ref="B281:C281"/>
    <mergeCell ref="D281:E281"/>
    <mergeCell ref="G269:K269"/>
    <mergeCell ref="G270:G271"/>
    <mergeCell ref="H270:I270"/>
    <mergeCell ref="J270:K270"/>
    <mergeCell ref="A277:E277"/>
    <mergeCell ref="A278:E278"/>
    <mergeCell ref="A279:E279"/>
    <mergeCell ref="A267:E267"/>
    <mergeCell ref="H259:I259"/>
    <mergeCell ref="J259:K259"/>
    <mergeCell ref="G277:K277"/>
    <mergeCell ref="G278:K278"/>
    <mergeCell ref="G266:K266"/>
    <mergeCell ref="G267:K267"/>
    <mergeCell ref="G279:K279"/>
    <mergeCell ref="B240:C240"/>
    <mergeCell ref="D240:E240"/>
    <mergeCell ref="G249:G250"/>
    <mergeCell ref="H249:I249"/>
    <mergeCell ref="J249:K249"/>
    <mergeCell ref="A246:E246"/>
    <mergeCell ref="G247:M247"/>
    <mergeCell ref="G225:K225"/>
    <mergeCell ref="A225:E225"/>
    <mergeCell ref="A226:E226"/>
    <mergeCell ref="A227:A228"/>
    <mergeCell ref="B227:C227"/>
    <mergeCell ref="D227:E227"/>
    <mergeCell ref="G226:K226"/>
    <mergeCell ref="G227:G228"/>
    <mergeCell ref="H227:I227"/>
    <mergeCell ref="J227:K227"/>
    <mergeCell ref="H240:I240"/>
    <mergeCell ref="G181:K181"/>
    <mergeCell ref="G222:K222"/>
    <mergeCell ref="A161:E161"/>
    <mergeCell ref="A162:E162"/>
    <mergeCell ref="G152:K152"/>
    <mergeCell ref="G160:K160"/>
    <mergeCell ref="A163:E163"/>
    <mergeCell ref="A164:A165"/>
    <mergeCell ref="B164:C164"/>
    <mergeCell ref="D164:E164"/>
    <mergeCell ref="G163:K163"/>
    <mergeCell ref="G164:G165"/>
    <mergeCell ref="H164:I164"/>
    <mergeCell ref="J164:K164"/>
    <mergeCell ref="A200:E200"/>
    <mergeCell ref="A204:E204"/>
    <mergeCell ref="A205:A206"/>
    <mergeCell ref="G153:K153"/>
    <mergeCell ref="G154:G155"/>
    <mergeCell ref="H154:I154"/>
    <mergeCell ref="J154:K154"/>
    <mergeCell ref="G211:K211"/>
    <mergeCell ref="G212:K212"/>
    <mergeCell ref="G214:K214"/>
    <mergeCell ref="G107:K107"/>
    <mergeCell ref="A180:E180"/>
    <mergeCell ref="A182:E182"/>
    <mergeCell ref="A181:E181"/>
    <mergeCell ref="G161:K161"/>
    <mergeCell ref="A129:E129"/>
    <mergeCell ref="A150:E150"/>
    <mergeCell ref="G140:K140"/>
    <mergeCell ref="G141:K141"/>
    <mergeCell ref="G150:K150"/>
    <mergeCell ref="A133:E133"/>
    <mergeCell ref="A134:A135"/>
    <mergeCell ref="B134:C134"/>
    <mergeCell ref="D134:E134"/>
    <mergeCell ref="H134:I134"/>
    <mergeCell ref="J134:K134"/>
    <mergeCell ref="G134:G135"/>
    <mergeCell ref="A143:E143"/>
    <mergeCell ref="A144:A145"/>
    <mergeCell ref="B144:C144"/>
    <mergeCell ref="D144:E144"/>
    <mergeCell ref="G143:K143"/>
    <mergeCell ref="G144:G145"/>
    <mergeCell ref="H144:I144"/>
    <mergeCell ref="G108:K108"/>
    <mergeCell ref="A118:E118"/>
    <mergeCell ref="G111:K111"/>
    <mergeCell ref="B112:C112"/>
    <mergeCell ref="B123:C123"/>
    <mergeCell ref="D123:E123"/>
    <mergeCell ref="G119:K119"/>
    <mergeCell ref="G121:K121"/>
    <mergeCell ref="G122:K122"/>
    <mergeCell ref="G109:K109"/>
    <mergeCell ref="G110:K110"/>
    <mergeCell ref="D112:E112"/>
    <mergeCell ref="A111:E111"/>
    <mergeCell ref="H112:I112"/>
    <mergeCell ref="J112:K112"/>
    <mergeCell ref="A122:E122"/>
    <mergeCell ref="G120:K120"/>
    <mergeCell ref="A87:E87"/>
    <mergeCell ref="G88:K88"/>
    <mergeCell ref="A98:E98"/>
    <mergeCell ref="A88:E88"/>
    <mergeCell ref="A89:E89"/>
    <mergeCell ref="A90:E90"/>
    <mergeCell ref="A91:A92"/>
    <mergeCell ref="B91:C91"/>
    <mergeCell ref="D91:E91"/>
    <mergeCell ref="G97:K97"/>
    <mergeCell ref="G98:K98"/>
    <mergeCell ref="G68:K68"/>
    <mergeCell ref="A67:E67"/>
    <mergeCell ref="A68:E68"/>
    <mergeCell ref="B38:C38"/>
    <mergeCell ref="A57:E57"/>
    <mergeCell ref="G53:K53"/>
    <mergeCell ref="G55:K55"/>
    <mergeCell ref="G56:G57"/>
    <mergeCell ref="G44:K44"/>
    <mergeCell ref="A44:E44"/>
    <mergeCell ref="A45:E45"/>
    <mergeCell ref="H56:I56"/>
    <mergeCell ref="J56:K56"/>
    <mergeCell ref="D38:E38"/>
    <mergeCell ref="A60:E60"/>
    <mergeCell ref="A61:A62"/>
    <mergeCell ref="B61:C61"/>
    <mergeCell ref="G61:G62"/>
    <mergeCell ref="H61:I61"/>
    <mergeCell ref="A48:A49"/>
    <mergeCell ref="B48:C48"/>
    <mergeCell ref="D48:E48"/>
    <mergeCell ref="G46:K46"/>
    <mergeCell ref="G47:K47"/>
    <mergeCell ref="G182:K182"/>
    <mergeCell ref="A171:E171"/>
    <mergeCell ref="A172:E172"/>
    <mergeCell ref="G170:K170"/>
    <mergeCell ref="G172:K172"/>
    <mergeCell ref="G171:K171"/>
    <mergeCell ref="G180:K180"/>
    <mergeCell ref="G58:K58"/>
    <mergeCell ref="A77:E77"/>
    <mergeCell ref="G77:K77"/>
    <mergeCell ref="G67:K67"/>
    <mergeCell ref="J61:K61"/>
    <mergeCell ref="A69:E69"/>
    <mergeCell ref="A70:E70"/>
    <mergeCell ref="A71:A72"/>
    <mergeCell ref="B71:C71"/>
    <mergeCell ref="D71:E71"/>
    <mergeCell ref="G69:K69"/>
    <mergeCell ref="G70:K70"/>
    <mergeCell ref="G71:G72"/>
    <mergeCell ref="H71:I71"/>
    <mergeCell ref="J71:K71"/>
    <mergeCell ref="D61:E61"/>
    <mergeCell ref="G162:K162"/>
    <mergeCell ref="A2:E2"/>
    <mergeCell ref="A1:E1"/>
    <mergeCell ref="A12:E12"/>
    <mergeCell ref="A11:E11"/>
    <mergeCell ref="A14:A15"/>
    <mergeCell ref="B14:C14"/>
    <mergeCell ref="D14:E14"/>
    <mergeCell ref="A13:E13"/>
    <mergeCell ref="G3:G4"/>
    <mergeCell ref="G11:L11"/>
    <mergeCell ref="H14:I14"/>
    <mergeCell ref="J14:K14"/>
    <mergeCell ref="D3:E3"/>
    <mergeCell ref="A3:A4"/>
    <mergeCell ref="L14:M14"/>
    <mergeCell ref="G13:K13"/>
    <mergeCell ref="L3:M3"/>
    <mergeCell ref="H3:I3"/>
    <mergeCell ref="J3:K3"/>
    <mergeCell ref="B3:C3"/>
    <mergeCell ref="G48:G49"/>
    <mergeCell ref="H48:I48"/>
    <mergeCell ref="J48:K48"/>
    <mergeCell ref="A58:E58"/>
    <mergeCell ref="G45:K45"/>
    <mergeCell ref="A34:E34"/>
    <mergeCell ref="A35:E35"/>
    <mergeCell ref="A36:E36"/>
    <mergeCell ref="A37:E37"/>
    <mergeCell ref="A38:A39"/>
    <mergeCell ref="G34:K34"/>
    <mergeCell ref="G35:K35"/>
    <mergeCell ref="G37:K37"/>
    <mergeCell ref="G38:G39"/>
    <mergeCell ref="H38:I38"/>
    <mergeCell ref="J38:K38"/>
    <mergeCell ref="A47:E47"/>
    <mergeCell ref="G223:K223"/>
    <mergeCell ref="G224:K224"/>
    <mergeCell ref="A46:E46"/>
    <mergeCell ref="G191:K191"/>
    <mergeCell ref="G190:K190"/>
    <mergeCell ref="A190:E190"/>
    <mergeCell ref="A191:E191"/>
    <mergeCell ref="G203:K203"/>
    <mergeCell ref="G202:K202"/>
    <mergeCell ref="A222:E222"/>
    <mergeCell ref="A223:E223"/>
    <mergeCell ref="A203:E203"/>
    <mergeCell ref="A202:E202"/>
    <mergeCell ref="A214:E214"/>
    <mergeCell ref="A224:E224"/>
    <mergeCell ref="A80:E80"/>
    <mergeCell ref="G79:K79"/>
    <mergeCell ref="G80:K80"/>
    <mergeCell ref="A81:A82"/>
    <mergeCell ref="B81:C81"/>
    <mergeCell ref="D81:E81"/>
    <mergeCell ref="A59:E59"/>
    <mergeCell ref="G59:K59"/>
    <mergeCell ref="G60:K60"/>
    <mergeCell ref="G81:G82"/>
    <mergeCell ref="H81:I81"/>
    <mergeCell ref="J81:K81"/>
    <mergeCell ref="A78:E78"/>
    <mergeCell ref="B79:C79"/>
    <mergeCell ref="D79:E79"/>
    <mergeCell ref="G78:K78"/>
    <mergeCell ref="G133:K133"/>
    <mergeCell ref="G89:K89"/>
    <mergeCell ref="G90:K90"/>
    <mergeCell ref="G91:G92"/>
    <mergeCell ref="H91:I91"/>
    <mergeCell ref="J91:K91"/>
    <mergeCell ref="A99:E99"/>
    <mergeCell ref="A100:E100"/>
    <mergeCell ref="A101:A102"/>
    <mergeCell ref="B101:C101"/>
    <mergeCell ref="D101:E101"/>
    <mergeCell ref="G99:K99"/>
    <mergeCell ref="G100:K100"/>
    <mergeCell ref="G101:G102"/>
    <mergeCell ref="H101:I101"/>
    <mergeCell ref="J101:K101"/>
    <mergeCell ref="A110:E110"/>
    <mergeCell ref="G130:K130"/>
    <mergeCell ref="A173:E173"/>
    <mergeCell ref="A130:E130"/>
    <mergeCell ref="G123:G124"/>
    <mergeCell ref="H123:I123"/>
    <mergeCell ref="J123:K123"/>
    <mergeCell ref="G151:K151"/>
    <mergeCell ref="A170:E170"/>
    <mergeCell ref="J144:K144"/>
    <mergeCell ref="B174:C174"/>
    <mergeCell ref="D174:E174"/>
    <mergeCell ref="G173:K173"/>
    <mergeCell ref="G174:G175"/>
    <mergeCell ref="H174:I174"/>
    <mergeCell ref="J174:K174"/>
    <mergeCell ref="A131:E131"/>
    <mergeCell ref="G142:K142"/>
    <mergeCell ref="A152:E152"/>
    <mergeCell ref="G131:K131"/>
    <mergeCell ref="A151:E151"/>
    <mergeCell ref="A142:E142"/>
    <mergeCell ref="A140:E140"/>
    <mergeCell ref="A141:E141"/>
    <mergeCell ref="A160:E160"/>
    <mergeCell ref="A153:E153"/>
    <mergeCell ref="A154:A155"/>
    <mergeCell ref="B154:C154"/>
    <mergeCell ref="D154:E154"/>
    <mergeCell ref="A174:A175"/>
    <mergeCell ref="A132:E132"/>
    <mergeCell ref="A183:E183"/>
    <mergeCell ref="G183:K183"/>
    <mergeCell ref="B205:C205"/>
    <mergeCell ref="D205:E205"/>
    <mergeCell ref="G204:K204"/>
    <mergeCell ref="G205:G206"/>
    <mergeCell ref="H205:I205"/>
    <mergeCell ref="J205:K205"/>
    <mergeCell ref="A184:A185"/>
    <mergeCell ref="B184:C184"/>
    <mergeCell ref="D184:E184"/>
    <mergeCell ref="G184:G185"/>
    <mergeCell ref="H184:I184"/>
    <mergeCell ref="J184:K184"/>
    <mergeCell ref="A193:E193"/>
    <mergeCell ref="A194:A195"/>
    <mergeCell ref="B194:C194"/>
    <mergeCell ref="D194:E194"/>
    <mergeCell ref="G193:K193"/>
    <mergeCell ref="G194:G195"/>
    <mergeCell ref="H194:I194"/>
    <mergeCell ref="J194:K194"/>
    <mergeCell ref="A192:E192"/>
    <mergeCell ref="A212:E212"/>
    <mergeCell ref="A213:E213"/>
    <mergeCell ref="A215:E215"/>
    <mergeCell ref="A216:A217"/>
    <mergeCell ref="B216:C216"/>
    <mergeCell ref="D216:E216"/>
    <mergeCell ref="G213:K213"/>
    <mergeCell ref="G215:K215"/>
    <mergeCell ref="G216:G217"/>
    <mergeCell ref="H216:I216"/>
    <mergeCell ref="J216:K216"/>
    <mergeCell ref="A211:E211"/>
    <mergeCell ref="G256:L256"/>
    <mergeCell ref="A234:E234"/>
    <mergeCell ref="A235:E235"/>
    <mergeCell ref="A294:A295"/>
    <mergeCell ref="B294:C294"/>
    <mergeCell ref="D294:E294"/>
    <mergeCell ref="A256:E256"/>
    <mergeCell ref="A259:A260"/>
    <mergeCell ref="B259:C259"/>
    <mergeCell ref="D259:E259"/>
    <mergeCell ref="A266:E266"/>
    <mergeCell ref="A270:A271"/>
    <mergeCell ref="B270:C270"/>
    <mergeCell ref="D270:E270"/>
    <mergeCell ref="A257:E257"/>
    <mergeCell ref="A258:E258"/>
    <mergeCell ref="A237:E237"/>
    <mergeCell ref="A236:E236"/>
    <mergeCell ref="A247:E247"/>
    <mergeCell ref="A248:E248"/>
    <mergeCell ref="A238:E238"/>
    <mergeCell ref="A239:E239"/>
    <mergeCell ref="G240:G241"/>
  </mergeCells>
  <phoneticPr fontId="9" type="noConversion"/>
  <pageMargins left="0.43307086614173229" right="0.43307086614173229" top="1.1811023622047245" bottom="0.98425196850393704" header="0.51181102362204722" footer="0.51181102362204722"/>
  <pageSetup scale="56" orientation="portrait" r:id="rId1"/>
  <headerFooter alignWithMargins="0">
    <oddHeader>&amp;L&amp;9
[Inscrire le lieu et  l'année]&amp;C&amp;"Arial,Gras"&amp;11Croisements selon le sexe</oddHeader>
    <oddFooter xml:space="preserve">&amp;L&amp;9Source : Inscrire le nom de l'enquête
</oddFooter>
  </headerFooter>
  <rowBreaks count="4" manualBreakCount="4">
    <brk id="77" max="12" man="1"/>
    <brk id="159" max="12" man="1"/>
    <brk id="235" max="12" man="1"/>
    <brk id="306" max="10" man="1"/>
  </rowBreaks>
</worksheet>
</file>

<file path=xl/worksheets/sheet16.xml><?xml version="1.0" encoding="utf-8"?>
<worksheet xmlns="http://schemas.openxmlformats.org/spreadsheetml/2006/main" xmlns:r="http://schemas.openxmlformats.org/officeDocument/2006/relationships">
  <sheetPr codeName="Feuil34">
    <tabColor indexed="11"/>
  </sheetPr>
  <dimension ref="A1:Q370"/>
  <sheetViews>
    <sheetView view="pageBreakPreview" topLeftCell="A165" zoomScale="90" zoomScaleNormal="90" workbookViewId="0">
      <selection activeCell="I186" sqref="I186"/>
    </sheetView>
  </sheetViews>
  <sheetFormatPr baseColWidth="10" defaultRowHeight="14.25"/>
  <cols>
    <col min="1" max="1" width="28.28515625" style="9" customWidth="1"/>
    <col min="2" max="2" width="7.7109375" style="9" customWidth="1"/>
    <col min="3" max="3" width="8.5703125" style="9" customWidth="1"/>
    <col min="4" max="7" width="7.7109375" style="9" customWidth="1"/>
    <col min="8" max="8" width="5" style="9" customWidth="1"/>
    <col min="9" max="9" width="28.28515625" style="9" customWidth="1"/>
    <col min="10" max="15" width="7.7109375" style="9" customWidth="1"/>
    <col min="16" max="16" width="4.140625" style="9" customWidth="1"/>
    <col min="17" max="16384" width="11.42578125" style="9"/>
  </cols>
  <sheetData>
    <row r="1" spans="1:16" ht="14.25" customHeight="1">
      <c r="A1" s="613" t="s">
        <v>635</v>
      </c>
      <c r="B1" s="617"/>
      <c r="C1" s="617"/>
      <c r="D1" s="617"/>
      <c r="E1" s="617"/>
      <c r="F1" s="617"/>
      <c r="G1" s="617"/>
      <c r="H1" s="8"/>
      <c r="I1" s="623" t="s">
        <v>725</v>
      </c>
      <c r="J1" s="650"/>
      <c r="K1" s="650"/>
      <c r="L1" s="650"/>
      <c r="M1" s="650"/>
      <c r="N1" s="650"/>
      <c r="O1" s="650"/>
      <c r="P1" s="11"/>
    </row>
    <row r="2" spans="1:16" ht="14.25" customHeight="1">
      <c r="A2" s="609" t="s">
        <v>637</v>
      </c>
      <c r="B2" s="610"/>
      <c r="C2" s="610"/>
      <c r="D2" s="610"/>
      <c r="E2" s="610"/>
      <c r="F2" s="610"/>
      <c r="G2" s="610"/>
      <c r="H2" s="8"/>
      <c r="I2" s="609" t="s">
        <v>637</v>
      </c>
      <c r="J2" s="610"/>
      <c r="K2" s="610"/>
      <c r="L2" s="610"/>
      <c r="M2" s="610"/>
      <c r="N2" s="610"/>
      <c r="O2" s="610"/>
      <c r="P2" s="11"/>
    </row>
    <row r="3" spans="1:16">
      <c r="A3" s="593"/>
      <c r="B3" s="595" t="s">
        <v>86</v>
      </c>
      <c r="C3" s="596"/>
      <c r="D3" s="595" t="s">
        <v>87</v>
      </c>
      <c r="E3" s="596"/>
      <c r="F3" s="595" t="s">
        <v>90</v>
      </c>
      <c r="G3" s="596"/>
      <c r="H3" s="11"/>
      <c r="I3" s="593"/>
      <c r="J3" s="595" t="s">
        <v>86</v>
      </c>
      <c r="K3" s="596"/>
      <c r="L3" s="595" t="s">
        <v>87</v>
      </c>
      <c r="M3" s="596"/>
      <c r="N3" s="595" t="s">
        <v>90</v>
      </c>
      <c r="O3" s="596"/>
      <c r="P3" s="11"/>
    </row>
    <row r="4" spans="1:16">
      <c r="A4" s="594"/>
      <c r="B4" s="12" t="s">
        <v>103</v>
      </c>
      <c r="C4" s="12" t="s">
        <v>104</v>
      </c>
      <c r="D4" s="13" t="s">
        <v>103</v>
      </c>
      <c r="E4" s="14" t="s">
        <v>104</v>
      </c>
      <c r="F4" s="13" t="s">
        <v>103</v>
      </c>
      <c r="G4" s="14" t="s">
        <v>104</v>
      </c>
      <c r="H4" s="11"/>
      <c r="I4" s="594"/>
      <c r="J4" s="14" t="s">
        <v>103</v>
      </c>
      <c r="K4" s="14" t="s">
        <v>104</v>
      </c>
      <c r="L4" s="461" t="s">
        <v>103</v>
      </c>
      <c r="M4" s="14" t="s">
        <v>104</v>
      </c>
      <c r="N4" s="461" t="s">
        <v>103</v>
      </c>
      <c r="O4" s="14" t="s">
        <v>104</v>
      </c>
      <c r="P4" s="11"/>
    </row>
    <row r="5" spans="1:16">
      <c r="A5" s="15" t="s">
        <v>1</v>
      </c>
      <c r="B5" s="14">
        <f>GETPIVOTDATA("Répondant",Croisements!$H$4,"Question E1",1,"L'âge regrouper",1)</f>
        <v>3</v>
      </c>
      <c r="C5" s="16">
        <f>B5/$B$8</f>
        <v>0.23076923076923078</v>
      </c>
      <c r="D5" s="14">
        <f>GETPIVOTDATA("Répondant",Croisements!$H$4,"Question E1",1,"L'âge regrouper",2)</f>
        <v>0</v>
      </c>
      <c r="E5" s="16">
        <f>D5/D8</f>
        <v>0</v>
      </c>
      <c r="F5" s="14">
        <f>GETPIVOTDATA("Répondant",Croisements!$H$4,"Question E1",1,"L'âge regrouper",3)</f>
        <v>0</v>
      </c>
      <c r="G5" s="16">
        <f>F5/F8</f>
        <v>0</v>
      </c>
      <c r="H5" s="11"/>
      <c r="I5" s="19" t="s">
        <v>71</v>
      </c>
      <c r="J5" s="14">
        <f>GETPIVOTDATA("Répondant",Croisements!$H$25,"Question 1",1,"L'âge regrouper",1)+GETPIVOTDATA("Répondant",Croisements!$H$25,"Question 1",2,"L'âge regrouper",1)</f>
        <v>7</v>
      </c>
      <c r="K5" s="16">
        <f>J5/J7</f>
        <v>0.53846153846153844</v>
      </c>
      <c r="L5" s="14">
        <f>GETPIVOTDATA("Répondant",Croisements!$H$25,"Question 1",1,"L'âge regrouper",2)+GETPIVOTDATA("Répondant",Croisements!$H$25,"Question 1",2,"L'âge regrouper",2)</f>
        <v>4</v>
      </c>
      <c r="M5" s="16">
        <f>L5/L7</f>
        <v>0.8</v>
      </c>
      <c r="N5" s="14">
        <f>GETPIVOTDATA("Répondant",Croisements!$H$25,"Question 1",1,"L'âge regrouper",3)+GETPIVOTDATA("Répondant",Croisements!$H$25,"Question 1",2,"L'âge regrouper",3)</f>
        <v>0</v>
      </c>
      <c r="O5" s="16">
        <f>N5/N7</f>
        <v>0</v>
      </c>
      <c r="P5" s="11"/>
    </row>
    <row r="6" spans="1:16">
      <c r="A6" s="32" t="s">
        <v>935</v>
      </c>
      <c r="B6" s="14">
        <f>GETPIVOTDATA("Répondant",Croisements!$H$4,"Question E1",2,"L'âge regrouper",1)</f>
        <v>9</v>
      </c>
      <c r="C6" s="16">
        <f t="shared" ref="C6:C7" si="0">B6/$B$8</f>
        <v>0.69230769230769229</v>
      </c>
      <c r="D6" s="14">
        <f>GETPIVOTDATA("Répondant",Croisements!$H$4,"Question E1",2,"L'âge regrouper",2)</f>
        <v>2</v>
      </c>
      <c r="E6" s="16">
        <f>D6/D8</f>
        <v>0.4</v>
      </c>
      <c r="F6" s="14">
        <f>GETPIVOTDATA("Répondant",Croisements!$H$4,"Question E1",2,"L'âge regrouper",3)</f>
        <v>0</v>
      </c>
      <c r="G6" s="16">
        <f>F6/F8</f>
        <v>0</v>
      </c>
      <c r="H6" s="11"/>
      <c r="I6" s="36" t="s">
        <v>72</v>
      </c>
      <c r="J6" s="14">
        <f>GETPIVOTDATA("Répondant",Croisements!$H$25,"Question 1",3,"L'âge regrouper",1)+GETPIVOTDATA("Répondant",Croisements!$H$25,"Question 1",4,"L'âge regrouper",1)</f>
        <v>6</v>
      </c>
      <c r="K6" s="16">
        <f>J6/J7</f>
        <v>0.46153846153846156</v>
      </c>
      <c r="L6" s="14">
        <f>GETPIVOTDATA("Répondant",Croisements!$H$25,"Question 1",3,"L'âge regrouper",2)+GETPIVOTDATA("Répondant",Croisements!$H$25,"Question 1",4,"L'âge regrouper",2)</f>
        <v>1</v>
      </c>
      <c r="M6" s="16">
        <f>L6/L7</f>
        <v>0.2</v>
      </c>
      <c r="N6" s="14">
        <f>GETPIVOTDATA("Répondant",Croisements!$H$25,"Question 1",3,"L'âge regrouper",3)+GETPIVOTDATA("Répondant",Croisements!$H$25,"Question 1",4,"L'âge regrouper",3)</f>
        <v>2</v>
      </c>
      <c r="O6" s="16">
        <f>N6/N7</f>
        <v>1</v>
      </c>
      <c r="P6" s="11"/>
    </row>
    <row r="7" spans="1:16">
      <c r="A7" s="15" t="s">
        <v>2</v>
      </c>
      <c r="B7" s="14">
        <f>GETPIVOTDATA("Répondant",Croisements!$H$4,"Question E1",3,"L'âge regrouper",1)</f>
        <v>1</v>
      </c>
      <c r="C7" s="16">
        <f t="shared" si="0"/>
        <v>7.6923076923076927E-2</v>
      </c>
      <c r="D7" s="14">
        <f>GETPIVOTDATA("Répondant",Croisements!$H$4,"Question E1",3,"L'âge regrouper",2)</f>
        <v>3</v>
      </c>
      <c r="E7" s="16">
        <f>D7/D8</f>
        <v>0.6</v>
      </c>
      <c r="F7" s="14">
        <f>GETPIVOTDATA("Répondant",Croisements!$H$4,"Question E1",3,"L'âge regrouper",3)</f>
        <v>2</v>
      </c>
      <c r="G7" s="16">
        <f>F7/F8</f>
        <v>1</v>
      </c>
      <c r="H7" s="11"/>
      <c r="I7" s="46" t="s">
        <v>345</v>
      </c>
      <c r="J7" s="47">
        <f t="shared" ref="J7:O7" si="1">J5+J6</f>
        <v>13</v>
      </c>
      <c r="K7" s="449">
        <f t="shared" si="1"/>
        <v>1</v>
      </c>
      <c r="L7" s="47">
        <f t="shared" si="1"/>
        <v>5</v>
      </c>
      <c r="M7" s="449">
        <f t="shared" si="1"/>
        <v>1</v>
      </c>
      <c r="N7" s="47">
        <f t="shared" si="1"/>
        <v>2</v>
      </c>
      <c r="O7" s="449">
        <f t="shared" si="1"/>
        <v>1</v>
      </c>
      <c r="P7" s="11"/>
    </row>
    <row r="8" spans="1:16">
      <c r="A8" s="46" t="s">
        <v>345</v>
      </c>
      <c r="B8" s="47">
        <f t="shared" ref="B8:G8" si="2">B5+B6+B7</f>
        <v>13</v>
      </c>
      <c r="C8" s="449">
        <f t="shared" si="2"/>
        <v>1</v>
      </c>
      <c r="D8" s="47">
        <f t="shared" si="2"/>
        <v>5</v>
      </c>
      <c r="E8" s="449">
        <f t="shared" si="2"/>
        <v>1</v>
      </c>
      <c r="F8" s="47">
        <f t="shared" si="2"/>
        <v>2</v>
      </c>
      <c r="G8" s="449">
        <f t="shared" si="2"/>
        <v>1</v>
      </c>
      <c r="H8" s="11"/>
      <c r="I8" s="52"/>
      <c r="J8" s="443"/>
      <c r="K8" s="35"/>
      <c r="L8" s="443"/>
      <c r="M8" s="35"/>
      <c r="N8" s="443"/>
      <c r="O8" s="35"/>
      <c r="P8" s="11"/>
    </row>
    <row r="9" spans="1:16">
      <c r="A9" s="52" t="s">
        <v>349</v>
      </c>
      <c r="B9" s="92">
        <f>'Khi2'!R468</f>
        <v>0</v>
      </c>
      <c r="C9" s="35"/>
      <c r="D9" s="92"/>
      <c r="E9" s="35"/>
      <c r="F9" s="92"/>
      <c r="G9" s="35"/>
      <c r="H9" s="11"/>
      <c r="I9" s="52" t="s">
        <v>349</v>
      </c>
      <c r="J9" s="455" t="str">
        <f>'Khi2'!R487</f>
        <v>0.05*</v>
      </c>
      <c r="K9" s="443"/>
      <c r="L9" s="443"/>
      <c r="M9" s="443"/>
      <c r="N9" s="443"/>
      <c r="O9" s="443"/>
      <c r="P9" s="11"/>
    </row>
    <row r="10" spans="1:16">
      <c r="A10" s="52"/>
      <c r="B10" s="368"/>
      <c r="C10" s="35"/>
      <c r="D10" s="368"/>
      <c r="E10" s="35"/>
      <c r="F10" s="368"/>
      <c r="G10" s="35"/>
      <c r="H10" s="11"/>
      <c r="I10" s="52"/>
      <c r="J10" s="368"/>
      <c r="K10" s="368"/>
      <c r="L10" s="368"/>
      <c r="M10" s="368"/>
      <c r="N10" s="368"/>
      <c r="O10" s="368"/>
      <c r="P10" s="11"/>
    </row>
    <row r="11" spans="1:16">
      <c r="A11" s="590" t="s">
        <v>805</v>
      </c>
      <c r="B11" s="605"/>
      <c r="C11" s="605"/>
      <c r="D11" s="605"/>
      <c r="E11" s="605"/>
      <c r="F11" s="605"/>
      <c r="G11" s="605"/>
      <c r="H11" s="11"/>
      <c r="I11" s="621" t="s">
        <v>806</v>
      </c>
      <c r="J11" s="644"/>
      <c r="K11" s="644"/>
      <c r="L11" s="644"/>
      <c r="M11" s="644"/>
      <c r="N11" s="644"/>
      <c r="O11" s="644"/>
      <c r="P11" s="11"/>
    </row>
    <row r="12" spans="1:16">
      <c r="A12" s="457"/>
      <c r="B12" s="460"/>
      <c r="C12" s="460"/>
      <c r="D12" s="460"/>
      <c r="E12" s="460"/>
      <c r="F12" s="460"/>
      <c r="G12" s="460"/>
      <c r="H12" s="11"/>
      <c r="I12" s="662" t="s">
        <v>378</v>
      </c>
      <c r="J12" s="663"/>
      <c r="K12" s="663"/>
      <c r="L12" s="663"/>
      <c r="M12" s="663"/>
      <c r="N12" s="663"/>
      <c r="O12" s="663"/>
      <c r="P12" s="11"/>
    </row>
    <row r="13" spans="1:16">
      <c r="A13" s="609" t="s">
        <v>637</v>
      </c>
      <c r="B13" s="610"/>
      <c r="C13" s="610"/>
      <c r="D13" s="610"/>
      <c r="E13" s="610"/>
      <c r="F13" s="610"/>
      <c r="G13" s="610"/>
      <c r="H13" s="11"/>
      <c r="I13" s="609" t="s">
        <v>637</v>
      </c>
      <c r="J13" s="610"/>
      <c r="K13" s="610"/>
      <c r="L13" s="610"/>
      <c r="M13" s="610"/>
      <c r="N13" s="610"/>
      <c r="O13" s="610"/>
      <c r="P13" s="11"/>
    </row>
    <row r="14" spans="1:16">
      <c r="A14" s="359"/>
      <c r="B14" s="595" t="s">
        <v>86</v>
      </c>
      <c r="C14" s="596"/>
      <c r="D14" s="595" t="s">
        <v>87</v>
      </c>
      <c r="E14" s="596"/>
      <c r="F14" s="595" t="s">
        <v>90</v>
      </c>
      <c r="G14" s="596"/>
      <c r="H14" s="11"/>
      <c r="I14" s="593"/>
      <c r="J14" s="595" t="s">
        <v>86</v>
      </c>
      <c r="K14" s="596"/>
      <c r="L14" s="595" t="s">
        <v>87</v>
      </c>
      <c r="M14" s="596"/>
      <c r="N14" s="595" t="s">
        <v>90</v>
      </c>
      <c r="O14" s="596"/>
      <c r="P14" s="11"/>
    </row>
    <row r="15" spans="1:16">
      <c r="A15" s="358"/>
      <c r="B15" s="14" t="s">
        <v>103</v>
      </c>
      <c r="C15" s="14" t="s">
        <v>104</v>
      </c>
      <c r="D15" s="362" t="s">
        <v>103</v>
      </c>
      <c r="E15" s="14" t="s">
        <v>104</v>
      </c>
      <c r="F15" s="362" t="s">
        <v>103</v>
      </c>
      <c r="G15" s="14" t="s">
        <v>104</v>
      </c>
      <c r="H15" s="11"/>
      <c r="I15" s="594"/>
      <c r="J15" s="14" t="s">
        <v>103</v>
      </c>
      <c r="K15" s="14" t="s">
        <v>104</v>
      </c>
      <c r="L15" s="461" t="s">
        <v>103</v>
      </c>
      <c r="M15" s="14" t="s">
        <v>104</v>
      </c>
      <c r="N15" s="461" t="s">
        <v>103</v>
      </c>
      <c r="O15" s="14" t="s">
        <v>104</v>
      </c>
      <c r="P15" s="11"/>
    </row>
    <row r="16" spans="1:16">
      <c r="A16" s="40" t="s">
        <v>3</v>
      </c>
      <c r="B16" s="14">
        <f>GETPIVOTDATA("Répondant",Croisements!$H$35,"Question 2",1,"L'âge regrouper",1)</f>
        <v>3</v>
      </c>
      <c r="C16" s="16">
        <f>B16/$B$19</f>
        <v>0.3</v>
      </c>
      <c r="D16" s="14">
        <f>GETPIVOTDATA("Répondant",Croisements!$H$35,"Question 2",1,"L'âge regrouper",2)</f>
        <v>3</v>
      </c>
      <c r="E16" s="16">
        <f>D16/$D$19</f>
        <v>0.6</v>
      </c>
      <c r="F16" s="14">
        <f>GETPIVOTDATA("Répondant",Croisements!$H$35,"Question 2",1,"L'âge regrouper",3)</f>
        <v>0</v>
      </c>
      <c r="G16" s="16">
        <f>F16/$F$19</f>
        <v>0</v>
      </c>
      <c r="H16" s="11"/>
      <c r="I16" s="18" t="s">
        <v>75</v>
      </c>
      <c r="J16" s="14">
        <f>GETPIVOTDATA("Répondant",Croisements!$H$46,"Question 4",1,"L'âge regrouper",1)+GETPIVOTDATA("Répondant",Croisements!$H$46,"Question 4",2,"L'âge regrouper",1)</f>
        <v>7</v>
      </c>
      <c r="K16" s="16">
        <f>J16/J18</f>
        <v>0.53846153846153844</v>
      </c>
      <c r="L16" s="14">
        <f>GETPIVOTDATA("Répondant",Croisements!$H$46,"Question 4",1,"L'âge regrouper",2)+GETPIVOTDATA("Répondant",Croisements!$H$46,"Question 4",2,"L'âge regrouper",2)</f>
        <v>2</v>
      </c>
      <c r="M16" s="16">
        <f>L16/L18</f>
        <v>0.4</v>
      </c>
      <c r="N16" s="14">
        <f>GETPIVOTDATA("Répondant",Croisements!$H$46,"Question 4",1,"L'âge regrouper",3)+GETPIVOTDATA("Répondant",Croisements!$H$46,"Question 4",2,"L'âge regrouper",3)</f>
        <v>2</v>
      </c>
      <c r="O16" s="16">
        <f>N16/N18</f>
        <v>1</v>
      </c>
      <c r="P16" s="11"/>
    </row>
    <row r="17" spans="1:16">
      <c r="A17" s="41" t="s">
        <v>4</v>
      </c>
      <c r="B17" s="14">
        <f>GETPIVOTDATA("Répondant",Croisements!$H$35,"Question 2",2,"L'âge regrouper",1)</f>
        <v>4</v>
      </c>
      <c r="C17" s="16">
        <f t="shared" ref="C17:C18" si="3">B17/$B$19</f>
        <v>0.4</v>
      </c>
      <c r="D17" s="14">
        <f>GETPIVOTDATA("Répondant",Croisements!$H$35,"Question 2",2,"L'âge regrouper",2)</f>
        <v>1</v>
      </c>
      <c r="E17" s="16">
        <f t="shared" ref="E17:E18" si="4">D17/$D$19</f>
        <v>0.2</v>
      </c>
      <c r="F17" s="14">
        <f>GETPIVOTDATA("Répondant",Croisements!$H$35,"Question 2",2,"L'âge regrouper",3)</f>
        <v>2</v>
      </c>
      <c r="G17" s="16">
        <f t="shared" ref="G17:G18" si="5">F17/$F$19</f>
        <v>1</v>
      </c>
      <c r="H17" s="11"/>
      <c r="I17" s="18" t="s">
        <v>76</v>
      </c>
      <c r="J17" s="14">
        <f>GETPIVOTDATA("Répondant",Croisements!$H$46,"Question 4",3,"L'âge regrouper",1)+GETPIVOTDATA("Répondant",Croisements!$H$46,"Question 4",4,"L'âge regrouper",1)</f>
        <v>6</v>
      </c>
      <c r="K17" s="16">
        <f>J17/J18</f>
        <v>0.46153846153846156</v>
      </c>
      <c r="L17" s="14">
        <f>GETPIVOTDATA("Répondant",Croisements!$H$46,"Question 4",3,"L'âge regrouper",2)+GETPIVOTDATA("Répondant",Croisements!$H$46,"Question 4",4,"L'âge regrouper",2)</f>
        <v>3</v>
      </c>
      <c r="M17" s="16">
        <f>L17/L18</f>
        <v>0.6</v>
      </c>
      <c r="N17" s="14">
        <f>GETPIVOTDATA("Répondant",Croisements!$H$46,"Question 4",3,"L'âge regrouper",3)+GETPIVOTDATA("Répondant",Croisements!$H$46,"Question 4",4,"L'âge regrouper",3)</f>
        <v>0</v>
      </c>
      <c r="O17" s="16">
        <f>N17/N18</f>
        <v>0</v>
      </c>
      <c r="P17" s="11"/>
    </row>
    <row r="18" spans="1:16">
      <c r="A18" s="48" t="s">
        <v>5</v>
      </c>
      <c r="B18" s="14">
        <f>GETPIVOTDATA("Répondant",Croisements!$H$35,"Question 2",3,"L'âge regrouper",1)</f>
        <v>3</v>
      </c>
      <c r="C18" s="16">
        <f t="shared" si="3"/>
        <v>0.3</v>
      </c>
      <c r="D18" s="14">
        <f>GETPIVOTDATA("Répondant",Croisements!$H$35,"Question 2",3,"L'âge regrouper",2)</f>
        <v>1</v>
      </c>
      <c r="E18" s="16">
        <f t="shared" si="4"/>
        <v>0.2</v>
      </c>
      <c r="F18" s="14">
        <f>GETPIVOTDATA("Répondant",Croisements!$H$35,"Question 2",3,"L'âge regrouper",3)</f>
        <v>0</v>
      </c>
      <c r="G18" s="16">
        <f t="shared" si="5"/>
        <v>0</v>
      </c>
      <c r="H18" s="11"/>
      <c r="I18" s="46" t="s">
        <v>345</v>
      </c>
      <c r="J18" s="47">
        <f t="shared" ref="J18:O18" si="6">J16+J17</f>
        <v>13</v>
      </c>
      <c r="K18" s="449">
        <f t="shared" si="6"/>
        <v>1</v>
      </c>
      <c r="L18" s="47">
        <f t="shared" si="6"/>
        <v>5</v>
      </c>
      <c r="M18" s="449">
        <f t="shared" si="6"/>
        <v>1</v>
      </c>
      <c r="N18" s="47">
        <f t="shared" si="6"/>
        <v>2</v>
      </c>
      <c r="O18" s="449">
        <f t="shared" si="6"/>
        <v>1</v>
      </c>
      <c r="P18" s="11"/>
    </row>
    <row r="19" spans="1:16">
      <c r="A19" s="46" t="s">
        <v>345</v>
      </c>
      <c r="B19" s="47">
        <f t="shared" ref="B19:G19" si="7">B16+B17+B18</f>
        <v>10</v>
      </c>
      <c r="C19" s="450">
        <f t="shared" si="7"/>
        <v>1</v>
      </c>
      <c r="D19" s="47">
        <f t="shared" si="7"/>
        <v>5</v>
      </c>
      <c r="E19" s="450">
        <f t="shared" si="7"/>
        <v>1</v>
      </c>
      <c r="F19" s="47">
        <f t="shared" si="7"/>
        <v>2</v>
      </c>
      <c r="G19" s="450">
        <f t="shared" si="7"/>
        <v>1</v>
      </c>
      <c r="H19" s="11"/>
      <c r="I19" s="52" t="s">
        <v>349</v>
      </c>
      <c r="J19" s="466" t="str">
        <f>'Khi2'!R504</f>
        <v>0.15*</v>
      </c>
      <c r="K19" s="45"/>
      <c r="L19" s="45"/>
      <c r="M19" s="45"/>
      <c r="N19" s="45"/>
      <c r="O19" s="45"/>
      <c r="P19" s="11"/>
    </row>
    <row r="20" spans="1:16">
      <c r="A20" s="52" t="s">
        <v>349</v>
      </c>
      <c r="B20" s="62">
        <f>'Khi2'!R495</f>
        <v>0.03</v>
      </c>
      <c r="C20" s="376"/>
      <c r="D20" s="375"/>
      <c r="E20" s="376"/>
      <c r="F20" s="375"/>
      <c r="G20" s="376"/>
      <c r="H20" s="11"/>
      <c r="I20" s="45"/>
      <c r="J20" s="45"/>
      <c r="K20" s="45"/>
      <c r="L20" s="45"/>
      <c r="M20" s="45"/>
      <c r="N20" s="45"/>
      <c r="O20" s="45"/>
      <c r="P20" s="11"/>
    </row>
    <row r="21" spans="1:16">
      <c r="A21" s="52"/>
      <c r="B21" s="368"/>
      <c r="C21" s="35"/>
      <c r="D21" s="368"/>
      <c r="E21" s="35"/>
      <c r="F21" s="368"/>
      <c r="G21" s="35"/>
      <c r="H21" s="11"/>
      <c r="I21" s="45"/>
      <c r="K21" s="35"/>
      <c r="L21" s="62"/>
      <c r="M21" s="35"/>
      <c r="N21" s="62"/>
      <c r="O21" s="35"/>
      <c r="P21" s="11"/>
    </row>
    <row r="22" spans="1:16">
      <c r="A22" s="621" t="s">
        <v>807</v>
      </c>
      <c r="B22" s="644"/>
      <c r="C22" s="644"/>
      <c r="D22" s="644"/>
      <c r="E22" s="644"/>
      <c r="F22" s="644"/>
      <c r="G22" s="644"/>
      <c r="H22" s="11"/>
      <c r="I22" s="590" t="s">
        <v>808</v>
      </c>
      <c r="J22" s="605"/>
      <c r="K22" s="605"/>
      <c r="L22" s="605"/>
      <c r="M22" s="605"/>
      <c r="N22" s="605"/>
      <c r="O22" s="605"/>
      <c r="P22" s="11"/>
    </row>
    <row r="23" spans="1:16">
      <c r="A23" s="658" t="s">
        <v>483</v>
      </c>
      <c r="B23" s="659"/>
      <c r="C23" s="659"/>
      <c r="D23" s="659"/>
      <c r="E23" s="659"/>
      <c r="F23" s="659"/>
      <c r="G23" s="659"/>
      <c r="H23" s="11"/>
      <c r="I23" s="658" t="s">
        <v>483</v>
      </c>
      <c r="J23" s="659"/>
      <c r="K23" s="659"/>
      <c r="L23" s="659"/>
      <c r="M23" s="659"/>
      <c r="N23" s="659"/>
      <c r="O23" s="659"/>
      <c r="P23" s="11"/>
    </row>
    <row r="24" spans="1:16" ht="14.25" customHeight="1">
      <c r="A24" s="660" t="s">
        <v>316</v>
      </c>
      <c r="B24" s="661"/>
      <c r="C24" s="661"/>
      <c r="D24" s="661"/>
      <c r="E24" s="661"/>
      <c r="F24" s="661"/>
      <c r="G24" s="661"/>
      <c r="H24" s="11"/>
      <c r="I24" s="601" t="s">
        <v>317</v>
      </c>
      <c r="J24" s="601"/>
      <c r="K24" s="601"/>
      <c r="L24" s="601"/>
      <c r="M24" s="601"/>
      <c r="N24" s="601"/>
      <c r="O24" s="601"/>
      <c r="P24" s="11"/>
    </row>
    <row r="25" spans="1:16" ht="14.25" customHeight="1">
      <c r="A25" s="609" t="s">
        <v>637</v>
      </c>
      <c r="B25" s="610"/>
      <c r="C25" s="610"/>
      <c r="D25" s="610"/>
      <c r="E25" s="610"/>
      <c r="F25" s="610"/>
      <c r="G25" s="610"/>
      <c r="H25" s="11"/>
      <c r="I25" s="609" t="s">
        <v>637</v>
      </c>
      <c r="J25" s="610"/>
      <c r="K25" s="610"/>
      <c r="L25" s="610"/>
      <c r="M25" s="610"/>
      <c r="N25" s="610"/>
      <c r="O25" s="610"/>
      <c r="P25" s="11"/>
    </row>
    <row r="26" spans="1:16" ht="14.25" customHeight="1">
      <c r="A26" s="598"/>
      <c r="B26" s="599" t="s">
        <v>86</v>
      </c>
      <c r="C26" s="600"/>
      <c r="D26" s="599" t="s">
        <v>87</v>
      </c>
      <c r="E26" s="600"/>
      <c r="F26" s="595" t="s">
        <v>90</v>
      </c>
      <c r="G26" s="596"/>
      <c r="H26" s="11"/>
      <c r="I26" s="593"/>
      <c r="J26" s="595" t="s">
        <v>86</v>
      </c>
      <c r="K26" s="596"/>
      <c r="L26" s="595" t="s">
        <v>87</v>
      </c>
      <c r="M26" s="596"/>
      <c r="N26" s="595" t="s">
        <v>90</v>
      </c>
      <c r="O26" s="596"/>
      <c r="P26" s="11"/>
    </row>
    <row r="27" spans="1:16">
      <c r="A27" s="594"/>
      <c r="B27" s="14" t="s">
        <v>103</v>
      </c>
      <c r="C27" s="14" t="s">
        <v>104</v>
      </c>
      <c r="D27" s="461" t="s">
        <v>103</v>
      </c>
      <c r="E27" s="14" t="s">
        <v>104</v>
      </c>
      <c r="F27" s="461" t="s">
        <v>103</v>
      </c>
      <c r="G27" s="14" t="s">
        <v>104</v>
      </c>
      <c r="H27" s="11"/>
      <c r="I27" s="594"/>
      <c r="J27" s="14" t="s">
        <v>103</v>
      </c>
      <c r="K27" s="14" t="s">
        <v>104</v>
      </c>
      <c r="L27" s="461" t="s">
        <v>103</v>
      </c>
      <c r="M27" s="14" t="s">
        <v>104</v>
      </c>
      <c r="N27" s="461" t="s">
        <v>103</v>
      </c>
      <c r="O27" s="14" t="s">
        <v>104</v>
      </c>
      <c r="P27" s="11"/>
    </row>
    <row r="28" spans="1:16">
      <c r="A28" s="32" t="s">
        <v>279</v>
      </c>
      <c r="B28" s="14">
        <f>GETPIVOTDATA("Répondant",Croisements!$H$57,"Question 5.1",1,"L'âge regrouper",1)+GETPIVOTDATA("Répondant",Croisements!$H$57,"Question 5.1",2,"L'âge regrouper",1)</f>
        <v>5</v>
      </c>
      <c r="C28" s="16">
        <f>B28/B30</f>
        <v>0.41666666666666669</v>
      </c>
      <c r="D28" s="14">
        <f>GETPIVOTDATA("Répondant",Croisements!$H$57,"Question 5.1",1,"L'âge regrouper",2)+GETPIVOTDATA("Répondant",Croisements!$H$57,"Question 5.1",2,"L'âge regrouper",2)</f>
        <v>3</v>
      </c>
      <c r="E28" s="16">
        <f>D28/D30</f>
        <v>0.6</v>
      </c>
      <c r="F28" s="14">
        <f>GETPIVOTDATA("Répondant",Croisements!$H$57,"Question 5.1",1,"L'âge regrouper",3)+GETPIVOTDATA("Répondant",Croisements!$H$57,"Question 5.1",2,"L'âge regrouper",3)</f>
        <v>1</v>
      </c>
      <c r="G28" s="16">
        <f>F28/F30</f>
        <v>1</v>
      </c>
      <c r="I28" s="32" t="s">
        <v>279</v>
      </c>
      <c r="J28" s="14">
        <f>GETPIVOTDATA("Répondant",Croisements!$H$68,"Question 5.2",1,"L'âge regrouper",1)+GETPIVOTDATA("Répondant",Croisements!$H$68,"Question 5.2",2,"L'âge regrouper",1)</f>
        <v>5</v>
      </c>
      <c r="K28" s="16">
        <f>J28/J30</f>
        <v>0.7142857142857143</v>
      </c>
      <c r="L28" s="14">
        <f>GETPIVOTDATA("Répondant",Croisements!$H$68,"Question 5.2",1,"L'âge regrouper",2)+GETPIVOTDATA("Répondant",Croisements!$H$68,"Question 5.2",2,"L'âge regrouper",2)</f>
        <v>2</v>
      </c>
      <c r="M28" s="16">
        <f>L28/L30</f>
        <v>0.66666666666666663</v>
      </c>
      <c r="N28" s="14">
        <f>GETPIVOTDATA("Répondant",Croisements!$H$68,"Question 5.2",1,"L'âge regrouper",3)+GETPIVOTDATA("Répondant",Croisements!$H$68,"Question 5.2",2,"L'âge regrouper",3)</f>
        <v>1</v>
      </c>
      <c r="O28" s="16">
        <f>N28/N30</f>
        <v>0.5</v>
      </c>
      <c r="P28" s="11"/>
    </row>
    <row r="29" spans="1:16">
      <c r="A29" s="32" t="s">
        <v>280</v>
      </c>
      <c r="B29" s="14">
        <f>GETPIVOTDATA("Répondant",Croisements!$H$57,"Question 5.1",3,"L'âge regrouper",1)+GETPIVOTDATA("Répondant",Croisements!$H$57,"Question 5.1",4,"L'âge regrouper",1)</f>
        <v>7</v>
      </c>
      <c r="C29" s="16">
        <f>B29/B30</f>
        <v>0.58333333333333337</v>
      </c>
      <c r="D29" s="14">
        <f>GETPIVOTDATA("Répondant",Croisements!$H$57,"Question 5.1",3,"L'âge regrouper",2)+GETPIVOTDATA("Répondant",Croisements!$H$57,"Question 5.1",4,"L'âge regrouper",2)</f>
        <v>2</v>
      </c>
      <c r="E29" s="16">
        <f>D29/D30</f>
        <v>0.4</v>
      </c>
      <c r="F29" s="14">
        <f>GETPIVOTDATA("Répondant",Croisements!$H$57,"Question 5.1",3,"L'âge regrouper",3)+GETPIVOTDATA("Répondant",Croisements!$H$57,"Question 5.1",4,"L'âge regrouper",3)</f>
        <v>0</v>
      </c>
      <c r="G29" s="16">
        <f>F29/F30</f>
        <v>0</v>
      </c>
      <c r="H29" s="11"/>
      <c r="I29" s="32" t="s">
        <v>280</v>
      </c>
      <c r="J29" s="14">
        <f>GETPIVOTDATA("Répondant",Croisements!$H$68,"Question 5.2",3,"L'âge regrouper",1)+GETPIVOTDATA("Répondant",Croisements!$H$68,"Question 5.2",4,"L'âge regrouper",1)</f>
        <v>2</v>
      </c>
      <c r="K29" s="16">
        <f>J29/J30</f>
        <v>0.2857142857142857</v>
      </c>
      <c r="L29" s="14">
        <f>GETPIVOTDATA("Répondant",Croisements!$H$68,"Question 5.2",3,"L'âge regrouper",2)+GETPIVOTDATA("Répondant",Croisements!$H$68,"Question 5.2",4,"L'âge regrouper",2)</f>
        <v>1</v>
      </c>
      <c r="M29" s="16">
        <f>L29/L30</f>
        <v>0.33333333333333331</v>
      </c>
      <c r="N29" s="14">
        <f>GETPIVOTDATA("Répondant",Croisements!$H$68,"Question 5.2",3,"L'âge regrouper",3)+GETPIVOTDATA("Répondant",Croisements!$H$68,"Question 5.2",4,"L'âge regrouper",3)</f>
        <v>1</v>
      </c>
      <c r="O29" s="16">
        <f>N29/N30</f>
        <v>0.5</v>
      </c>
      <c r="P29" s="11"/>
    </row>
    <row r="30" spans="1:16">
      <c r="A30" s="500" t="s">
        <v>345</v>
      </c>
      <c r="B30" s="501">
        <f t="shared" ref="B30:G30" si="8">B28+B29</f>
        <v>12</v>
      </c>
      <c r="C30" s="502">
        <f t="shared" si="8"/>
        <v>1</v>
      </c>
      <c r="D30" s="501">
        <f t="shared" si="8"/>
        <v>5</v>
      </c>
      <c r="E30" s="502">
        <f t="shared" si="8"/>
        <v>1</v>
      </c>
      <c r="F30" s="501">
        <f t="shared" si="8"/>
        <v>1</v>
      </c>
      <c r="G30" s="502">
        <f t="shared" si="8"/>
        <v>1</v>
      </c>
      <c r="H30" s="11"/>
      <c r="I30" s="500" t="s">
        <v>345</v>
      </c>
      <c r="J30" s="501">
        <f t="shared" ref="J30:O30" si="9">J28+J29</f>
        <v>7</v>
      </c>
      <c r="K30" s="502">
        <f t="shared" si="9"/>
        <v>1</v>
      </c>
      <c r="L30" s="501">
        <f t="shared" si="9"/>
        <v>3</v>
      </c>
      <c r="M30" s="502">
        <f t="shared" si="9"/>
        <v>1</v>
      </c>
      <c r="N30" s="501">
        <f t="shared" si="9"/>
        <v>2</v>
      </c>
      <c r="O30" s="502">
        <f t="shared" si="9"/>
        <v>1</v>
      </c>
      <c r="P30" s="11"/>
    </row>
    <row r="31" spans="1:16">
      <c r="A31" s="52" t="s">
        <v>349</v>
      </c>
      <c r="B31" s="455" t="str">
        <f>'Khi2'!R512</f>
        <v>0.22*</v>
      </c>
      <c r="C31" s="466"/>
      <c r="D31" s="466"/>
      <c r="E31" s="466"/>
      <c r="F31" s="466"/>
      <c r="G31" s="466"/>
      <c r="H31" s="11"/>
      <c r="I31" s="52" t="s">
        <v>349</v>
      </c>
      <c r="J31" s="455" t="str">
        <f>'Khi2'!R520</f>
        <v>0.57*</v>
      </c>
      <c r="K31" s="35"/>
      <c r="L31" s="455"/>
      <c r="M31" s="35"/>
      <c r="N31" s="455"/>
      <c r="O31" s="35"/>
      <c r="P31" s="11"/>
    </row>
    <row r="32" spans="1:16">
      <c r="A32" s="45"/>
      <c r="B32" s="45"/>
      <c r="C32" s="369"/>
      <c r="D32" s="369"/>
      <c r="E32" s="369"/>
      <c r="F32" s="369"/>
      <c r="G32" s="369"/>
      <c r="H32" s="45"/>
      <c r="I32" s="45"/>
      <c r="J32" s="45"/>
      <c r="K32" s="45"/>
      <c r="L32" s="45"/>
      <c r="M32" s="45"/>
      <c r="N32" s="45"/>
      <c r="O32" s="45"/>
      <c r="P32" s="11"/>
    </row>
    <row r="33" spans="1:16">
      <c r="A33" s="621" t="s">
        <v>809</v>
      </c>
      <c r="B33" s="644"/>
      <c r="C33" s="644"/>
      <c r="D33" s="644"/>
      <c r="E33" s="644"/>
      <c r="F33" s="644"/>
      <c r="G33" s="644"/>
      <c r="H33" s="45"/>
      <c r="I33" s="645" t="s">
        <v>810</v>
      </c>
      <c r="J33" s="651"/>
      <c r="K33" s="651"/>
      <c r="L33" s="651"/>
      <c r="M33" s="651"/>
      <c r="N33" s="651"/>
      <c r="O33" s="651"/>
      <c r="P33" s="11"/>
    </row>
    <row r="34" spans="1:16">
      <c r="A34" s="624" t="s">
        <v>484</v>
      </c>
      <c r="B34" s="625"/>
      <c r="C34" s="625"/>
      <c r="D34" s="625"/>
      <c r="E34" s="625"/>
      <c r="F34" s="625"/>
      <c r="G34" s="625"/>
      <c r="H34" s="11"/>
      <c r="I34" s="618" t="s">
        <v>485</v>
      </c>
      <c r="J34" s="615"/>
      <c r="K34" s="615"/>
      <c r="L34" s="615"/>
      <c r="M34" s="615"/>
      <c r="N34" s="615"/>
      <c r="O34" s="615"/>
    </row>
    <row r="35" spans="1:16">
      <c r="A35" s="619" t="s">
        <v>318</v>
      </c>
      <c r="B35" s="620"/>
      <c r="C35" s="620"/>
      <c r="D35" s="620"/>
      <c r="E35" s="620"/>
      <c r="F35" s="620"/>
      <c r="G35" s="620"/>
      <c r="H35" s="11"/>
      <c r="I35" s="33"/>
      <c r="J35" s="33"/>
      <c r="K35" s="33"/>
      <c r="L35" s="33"/>
      <c r="M35" s="33"/>
      <c r="N35" s="33"/>
      <c r="O35" s="33"/>
    </row>
    <row r="36" spans="1:16">
      <c r="A36" s="609" t="s">
        <v>637</v>
      </c>
      <c r="B36" s="610"/>
      <c r="C36" s="610"/>
      <c r="D36" s="610"/>
      <c r="E36" s="610"/>
      <c r="F36" s="610"/>
      <c r="G36" s="610"/>
      <c r="H36" s="17"/>
      <c r="I36" s="609" t="s">
        <v>637</v>
      </c>
      <c r="J36" s="610"/>
      <c r="K36" s="610"/>
      <c r="L36" s="610"/>
      <c r="M36" s="610"/>
      <c r="N36" s="610"/>
      <c r="O36" s="610"/>
    </row>
    <row r="37" spans="1:16">
      <c r="A37" s="598"/>
      <c r="B37" s="599" t="s">
        <v>86</v>
      </c>
      <c r="C37" s="600"/>
      <c r="D37" s="599" t="s">
        <v>87</v>
      </c>
      <c r="E37" s="600"/>
      <c r="F37" s="595" t="s">
        <v>90</v>
      </c>
      <c r="G37" s="596"/>
      <c r="H37" s="11"/>
      <c r="I37" s="593"/>
      <c r="J37" s="599" t="s">
        <v>86</v>
      </c>
      <c r="K37" s="600"/>
      <c r="L37" s="599" t="s">
        <v>87</v>
      </c>
      <c r="M37" s="600"/>
      <c r="N37" s="595" t="s">
        <v>90</v>
      </c>
      <c r="O37" s="596"/>
    </row>
    <row r="38" spans="1:16">
      <c r="A38" s="594"/>
      <c r="B38" s="14" t="s">
        <v>103</v>
      </c>
      <c r="C38" s="14" t="s">
        <v>104</v>
      </c>
      <c r="D38" s="10" t="s">
        <v>103</v>
      </c>
      <c r="E38" s="14" t="s">
        <v>104</v>
      </c>
      <c r="F38" s="10" t="s">
        <v>103</v>
      </c>
      <c r="G38" s="14" t="s">
        <v>104</v>
      </c>
      <c r="H38" s="11"/>
      <c r="I38" s="594"/>
      <c r="J38" s="14" t="s">
        <v>103</v>
      </c>
      <c r="K38" s="14" t="s">
        <v>104</v>
      </c>
      <c r="L38" s="10" t="s">
        <v>103</v>
      </c>
      <c r="M38" s="14" t="s">
        <v>104</v>
      </c>
      <c r="N38" s="10" t="s">
        <v>103</v>
      </c>
      <c r="O38" s="14" t="s">
        <v>104</v>
      </c>
    </row>
    <row r="39" spans="1:16">
      <c r="A39" s="32" t="s">
        <v>279</v>
      </c>
      <c r="B39" s="14">
        <f>GETPIVOTDATA("Répondant",Croisements!$H$79,"Question 5.3",1,"L'âge regrouper",1)+GETPIVOTDATA("Répondant",Croisements!$H$79,"Question 5.3",2,"L'âge regrouper",1)</f>
        <v>4</v>
      </c>
      <c r="C39" s="16">
        <f>B39/B41</f>
        <v>0.5714285714285714</v>
      </c>
      <c r="D39" s="14">
        <f>GETPIVOTDATA("Répondant",Croisements!$H$79,"Question 5.3",1,"L'âge regrouper",2)+GETPIVOTDATA("Répondant",Croisements!$H$79,"Question 5.3",2,"L'âge regrouper",2)</f>
        <v>4</v>
      </c>
      <c r="E39" s="16">
        <f>D39/D41</f>
        <v>1</v>
      </c>
      <c r="F39" s="14">
        <f>GETPIVOTDATA("Répondant",Croisements!$H$79,"Question 5.3",1,"L'âge regrouper",3)+GETPIVOTDATA("Répondant",Croisements!$H$79,"Question 5.3",2,"L'âge regrouper",3)</f>
        <v>1</v>
      </c>
      <c r="G39" s="16">
        <f>F39/F41</f>
        <v>0.5</v>
      </c>
      <c r="I39" s="32" t="s">
        <v>279</v>
      </c>
      <c r="J39" s="14">
        <f>GETPIVOTDATA("Répondant",Croisements!$H$90,"Question 6",1,"L'âge regrouper",1)+GETPIVOTDATA("Répondant",Croisements!$H$90,"Question 6",2,"L'âge regrouper",1)</f>
        <v>3</v>
      </c>
      <c r="K39" s="16">
        <f>J39/J41</f>
        <v>0.6</v>
      </c>
      <c r="L39" s="14">
        <f>GETPIVOTDATA("Répondant",Croisements!$H$90,"Question 6",1,"L'âge regrouper",2)+GETPIVOTDATA("Répondant",Croisements!$H$90,"Question 6",2,"L'âge regrouper",2)</f>
        <v>3</v>
      </c>
      <c r="M39" s="16">
        <f>L39/L41</f>
        <v>0.75</v>
      </c>
      <c r="N39" s="14">
        <f>GETPIVOTDATA("Répondant",Croisements!$H$90,"Question 6",1,"L'âge regrouper",3)+GETPIVOTDATA("Répondant",Croisements!$H$90,"Question 6",2,"L'âge regrouper",3)</f>
        <v>1</v>
      </c>
      <c r="O39" s="16">
        <f>N39/N41</f>
        <v>0.5</v>
      </c>
    </row>
    <row r="40" spans="1:16">
      <c r="A40" s="32" t="s">
        <v>280</v>
      </c>
      <c r="B40" s="14">
        <f>GETPIVOTDATA("Répondant",Croisements!$H$79,"Question 5.3",3,"L'âge regrouper",1)+GETPIVOTDATA("Répondant",Croisements!$H$79,"Question 5.3",4,"L'âge regrouper",1)</f>
        <v>3</v>
      </c>
      <c r="C40" s="16">
        <f>B40/B41</f>
        <v>0.42857142857142855</v>
      </c>
      <c r="D40" s="14">
        <f>GETPIVOTDATA("Répondant",Croisements!$H$79,"Question 5.3",3,"L'âge regrouper",2)+GETPIVOTDATA("Répondant",Croisements!$H$79,"Question 5.3",4,"L'âge regrouper",2)</f>
        <v>0</v>
      </c>
      <c r="E40" s="16">
        <f>D40/D41</f>
        <v>0</v>
      </c>
      <c r="F40" s="14">
        <f>GETPIVOTDATA("Répondant",Croisements!$H$79,"Question 5.3",3,"L'âge regrouper",3)+GETPIVOTDATA("Répondant",Croisements!$H$79,"Question 5.3",4,"L'âge regrouper",3)</f>
        <v>1</v>
      </c>
      <c r="G40" s="16">
        <f>F40/F41</f>
        <v>0.5</v>
      </c>
      <c r="H40" s="11"/>
      <c r="I40" s="32" t="s">
        <v>280</v>
      </c>
      <c r="J40" s="14">
        <f>GETPIVOTDATA("Répondant",Croisements!$H$90,"Question 6",3,"L'âge regrouper",1)+GETPIVOTDATA("Répondant",Croisements!$H$90,"Question 6",4,"L'âge regrouper",1)</f>
        <v>2</v>
      </c>
      <c r="K40" s="16">
        <f>J40/J41</f>
        <v>0.4</v>
      </c>
      <c r="L40" s="14">
        <f>GETPIVOTDATA("Répondant",Croisements!$H$90,"Question 6",3,"L'âge regrouper",2)+GETPIVOTDATA("Répondant",Croisements!$H$90,"Question 6",4,"L'âge regrouper",2)</f>
        <v>1</v>
      </c>
      <c r="M40" s="16">
        <f>L40/L41</f>
        <v>0.25</v>
      </c>
      <c r="N40" s="14">
        <f>GETPIVOTDATA("Répondant",Croisements!$H$90,"Question 6",3,"L'âge regrouper",3)+GETPIVOTDATA("Répondant",Croisements!$H$90,"Question 6",4,"L'âge regrouper",3)</f>
        <v>1</v>
      </c>
      <c r="O40" s="16">
        <f>N40/N41</f>
        <v>0.5</v>
      </c>
    </row>
    <row r="41" spans="1:16">
      <c r="A41" s="46" t="s">
        <v>345</v>
      </c>
      <c r="B41" s="47">
        <f t="shared" ref="B41:G41" si="10">B39+B40</f>
        <v>7</v>
      </c>
      <c r="C41" s="449">
        <f t="shared" si="10"/>
        <v>1</v>
      </c>
      <c r="D41" s="47">
        <f t="shared" si="10"/>
        <v>4</v>
      </c>
      <c r="E41" s="449">
        <f t="shared" si="10"/>
        <v>1</v>
      </c>
      <c r="F41" s="47">
        <f t="shared" si="10"/>
        <v>2</v>
      </c>
      <c r="G41" s="449">
        <f t="shared" si="10"/>
        <v>1</v>
      </c>
      <c r="H41" s="11"/>
      <c r="I41" s="46" t="s">
        <v>345</v>
      </c>
      <c r="J41" s="47">
        <f t="shared" ref="J41:O41" si="11">J39+J40</f>
        <v>5</v>
      </c>
      <c r="K41" s="449">
        <f t="shared" si="11"/>
        <v>1</v>
      </c>
      <c r="L41" s="47">
        <f t="shared" si="11"/>
        <v>4</v>
      </c>
      <c r="M41" s="449">
        <f t="shared" si="11"/>
        <v>1</v>
      </c>
      <c r="N41" s="47">
        <f t="shared" si="11"/>
        <v>2</v>
      </c>
      <c r="O41" s="449">
        <f t="shared" si="11"/>
        <v>1</v>
      </c>
    </row>
    <row r="42" spans="1:16">
      <c r="A42" s="52" t="s">
        <v>349</v>
      </c>
      <c r="B42" s="92" t="str">
        <f>'Khi2'!R528</f>
        <v>0.11*</v>
      </c>
      <c r="C42" s="35"/>
      <c r="D42" s="92"/>
      <c r="E42" s="35"/>
      <c r="F42" s="92"/>
      <c r="G42" s="35"/>
      <c r="H42" s="11"/>
      <c r="I42" s="52" t="s">
        <v>349</v>
      </c>
      <c r="J42" s="368" t="str">
        <f>'Khi2'!R536</f>
        <v>0.52*</v>
      </c>
      <c r="K42" s="35"/>
      <c r="L42" s="368"/>
      <c r="M42" s="35"/>
      <c r="N42" s="368"/>
      <c r="O42" s="35"/>
    </row>
    <row r="43" spans="1:16">
      <c r="A43" s="52"/>
      <c r="B43" s="455"/>
      <c r="C43" s="35"/>
      <c r="D43" s="455"/>
      <c r="E43" s="35"/>
      <c r="F43" s="455"/>
      <c r="G43" s="35"/>
      <c r="H43" s="11"/>
      <c r="I43" s="52"/>
      <c r="J43" s="455"/>
      <c r="K43" s="35"/>
      <c r="L43" s="455"/>
      <c r="M43" s="35"/>
      <c r="N43" s="455"/>
      <c r="O43" s="35"/>
    </row>
    <row r="44" spans="1:16">
      <c r="A44" s="590" t="s">
        <v>811</v>
      </c>
      <c r="B44" s="605"/>
      <c r="C44" s="605"/>
      <c r="D44" s="605"/>
      <c r="E44" s="605"/>
      <c r="F44" s="605"/>
      <c r="G44" s="605"/>
      <c r="H44" s="11"/>
      <c r="I44" s="590" t="s">
        <v>812</v>
      </c>
      <c r="J44" s="605"/>
      <c r="K44" s="605"/>
      <c r="L44" s="605"/>
      <c r="M44" s="605"/>
      <c r="N44" s="605"/>
      <c r="O44" s="605"/>
    </row>
    <row r="45" spans="1:16">
      <c r="A45" s="619" t="s">
        <v>319</v>
      </c>
      <c r="B45" s="620"/>
      <c r="C45" s="620"/>
      <c r="D45" s="620"/>
      <c r="E45" s="620"/>
      <c r="F45" s="620"/>
      <c r="G45" s="620"/>
      <c r="H45" s="11"/>
      <c r="I45" s="618" t="s">
        <v>190</v>
      </c>
      <c r="J45" s="615"/>
      <c r="K45" s="615"/>
      <c r="L45" s="615"/>
      <c r="M45" s="615"/>
      <c r="N45" s="615"/>
      <c r="O45" s="615"/>
    </row>
    <row r="46" spans="1:16">
      <c r="A46" s="609" t="s">
        <v>637</v>
      </c>
      <c r="B46" s="610"/>
      <c r="C46" s="610"/>
      <c r="D46" s="610"/>
      <c r="E46" s="610"/>
      <c r="F46" s="610"/>
      <c r="G46" s="610"/>
      <c r="H46" s="11"/>
      <c r="I46" s="609" t="s">
        <v>637</v>
      </c>
      <c r="J46" s="610"/>
      <c r="K46" s="610"/>
      <c r="L46" s="610"/>
      <c r="M46" s="610"/>
      <c r="N46" s="610"/>
      <c r="O46" s="610"/>
    </row>
    <row r="47" spans="1:16">
      <c r="A47" s="598"/>
      <c r="B47" s="599" t="s">
        <v>86</v>
      </c>
      <c r="C47" s="600"/>
      <c r="D47" s="599" t="s">
        <v>87</v>
      </c>
      <c r="E47" s="600"/>
      <c r="F47" s="595" t="s">
        <v>90</v>
      </c>
      <c r="G47" s="596"/>
      <c r="H47" s="11"/>
      <c r="I47" s="593"/>
      <c r="J47" s="599" t="s">
        <v>86</v>
      </c>
      <c r="K47" s="600"/>
      <c r="L47" s="599" t="s">
        <v>87</v>
      </c>
      <c r="M47" s="600"/>
      <c r="N47" s="595" t="s">
        <v>90</v>
      </c>
      <c r="O47" s="596"/>
    </row>
    <row r="48" spans="1:16">
      <c r="A48" s="594"/>
      <c r="B48" s="14" t="s">
        <v>103</v>
      </c>
      <c r="C48" s="14" t="s">
        <v>104</v>
      </c>
      <c r="D48" s="362" t="s">
        <v>103</v>
      </c>
      <c r="E48" s="14" t="s">
        <v>104</v>
      </c>
      <c r="F48" s="362" t="s">
        <v>103</v>
      </c>
      <c r="G48" s="14" t="s">
        <v>104</v>
      </c>
      <c r="H48" s="11"/>
      <c r="I48" s="594"/>
      <c r="J48" s="14" t="s">
        <v>103</v>
      </c>
      <c r="K48" s="14" t="s">
        <v>104</v>
      </c>
      <c r="L48" s="10" t="s">
        <v>103</v>
      </c>
      <c r="M48" s="14" t="s">
        <v>104</v>
      </c>
      <c r="N48" s="10" t="s">
        <v>103</v>
      </c>
      <c r="O48" s="14" t="s">
        <v>104</v>
      </c>
    </row>
    <row r="49" spans="1:15">
      <c r="A49" s="49" t="s">
        <v>184</v>
      </c>
      <c r="B49" s="14">
        <f>GETPIVOTDATA("Répondant",Croisements!$H$102,"Question 7",1,"L'âge regrouper",1)</f>
        <v>2</v>
      </c>
      <c r="C49" s="16">
        <f>B49/$B$54</f>
        <v>0.22222222222222221</v>
      </c>
      <c r="D49" s="14">
        <f>GETPIVOTDATA("Répondant",Croisements!$H$102,"Question 7",1,"L'âge regrouper",2)</f>
        <v>0</v>
      </c>
      <c r="E49" s="16">
        <f>D49/$D$54</f>
        <v>0</v>
      </c>
      <c r="F49" s="14">
        <f>GETPIVOTDATA("Répondant",Croisements!$H$102,"Question 7",1,"L'âge regrouper",3)</f>
        <v>0</v>
      </c>
      <c r="G49" s="16">
        <f>F49/$F$54</f>
        <v>0</v>
      </c>
      <c r="H49" s="11"/>
      <c r="I49" s="49" t="s">
        <v>77</v>
      </c>
      <c r="J49" s="14">
        <f>GETPIVOTDATA("Répondant",Croisements!$H$113,"Question 8.1",1,"L'âge regrouper",1)+GETPIVOTDATA("Répondant",Croisements!$H$113,"Question 8.1",2,"L'âge regrouper",1)</f>
        <v>7</v>
      </c>
      <c r="K49" s="16">
        <f>J49/J51</f>
        <v>0.77777777777777779</v>
      </c>
      <c r="L49" s="14">
        <f>GETPIVOTDATA("Répondant",Croisements!$H$113,"Question 8.1",1,"L'âge regrouper",2)+GETPIVOTDATA("Répondant",Croisements!$H$113,"Question 8.1",2,"L'âge regrouper",2)</f>
        <v>1</v>
      </c>
      <c r="M49" s="16">
        <f>L49/L51</f>
        <v>0.25</v>
      </c>
      <c r="N49" s="14">
        <f>GETPIVOTDATA("Répondant",Croisements!$H$113,"Question 8.1",1,"L'âge regrouper",3)+GETPIVOTDATA("Répondant",Croisements!$H$113,"Question 8.1",2,"L'âge regrouper",3)</f>
        <v>2</v>
      </c>
      <c r="O49" s="16">
        <f>N49/N51</f>
        <v>1</v>
      </c>
    </row>
    <row r="50" spans="1:15">
      <c r="A50" s="28" t="s">
        <v>185</v>
      </c>
      <c r="B50" s="14">
        <f>GETPIVOTDATA("Répondant",Croisements!$H$102,"Question 7",2,"L'âge regrouper",1)</f>
        <v>2</v>
      </c>
      <c r="C50" s="16">
        <f t="shared" ref="C50:C53" si="12">B50/$B$54</f>
        <v>0.22222222222222221</v>
      </c>
      <c r="D50" s="14">
        <f>GETPIVOTDATA("Répondant",Croisements!$H$102,"Question 7",2,"L'âge regrouper",2)</f>
        <v>2</v>
      </c>
      <c r="E50" s="16">
        <f t="shared" ref="E50:E53" si="13">D50/$D$54</f>
        <v>0.5</v>
      </c>
      <c r="F50" s="14">
        <f>GETPIVOTDATA("Répondant",Croisements!$H$102,"Question 7",2,"L'âge regrouper",3)</f>
        <v>1</v>
      </c>
      <c r="G50" s="16">
        <f t="shared" ref="G50:G53" si="14">F50/$F$54</f>
        <v>0.5</v>
      </c>
      <c r="H50" s="11"/>
      <c r="I50" s="49" t="s">
        <v>78</v>
      </c>
      <c r="J50" s="14">
        <f>GETPIVOTDATA("Répondant",Croisements!$H$113,"Question 8.1",3,"L'âge regrouper",1)+GETPIVOTDATA("Répondant",Croisements!$H$113,"Question 8.1",4,"L'âge regrouper",1)</f>
        <v>2</v>
      </c>
      <c r="K50" s="16">
        <f>J50/J51</f>
        <v>0.22222222222222221</v>
      </c>
      <c r="L50" s="14">
        <f>GETPIVOTDATA("Répondant",Croisements!$H$113,"Question 8.1",3,"L'âge regrouper",2)+GETPIVOTDATA("Répondant",Croisements!$H$113,"Question 8.1",4,"L'âge regrouper",2)</f>
        <v>3</v>
      </c>
      <c r="M50" s="16">
        <f>L50/L51</f>
        <v>0.75</v>
      </c>
      <c r="N50" s="14">
        <f>GETPIVOTDATA("Répondant",Croisements!$H$113,"Question 8.1",3,"L'âge regrouper",3)+GETPIVOTDATA("Répondant",Croisements!$H$113,"Question 8.1",4,"L'âge regrouper",3)</f>
        <v>0</v>
      </c>
      <c r="O50" s="16">
        <f>N50/N51</f>
        <v>0</v>
      </c>
    </row>
    <row r="51" spans="1:15">
      <c r="A51" s="49" t="s">
        <v>186</v>
      </c>
      <c r="B51" s="14">
        <f>GETPIVOTDATA("Répondant",Croisements!$H$102,"Question 7",3,"L'âge regrouper",1)</f>
        <v>1</v>
      </c>
      <c r="C51" s="16">
        <f t="shared" si="12"/>
        <v>0.1111111111111111</v>
      </c>
      <c r="D51" s="14">
        <f>GETPIVOTDATA("Répondant",Croisements!$H$102,"Question 7",3,"L'âge regrouper",2)</f>
        <v>1</v>
      </c>
      <c r="E51" s="16">
        <f t="shared" si="13"/>
        <v>0.25</v>
      </c>
      <c r="F51" s="14">
        <f>GETPIVOTDATA("Répondant",Croisements!$H$102,"Question 7",3,"L'âge regrouper",3)</f>
        <v>0</v>
      </c>
      <c r="G51" s="16">
        <f t="shared" si="14"/>
        <v>0</v>
      </c>
      <c r="H51" s="11"/>
      <c r="I51" s="484" t="s">
        <v>345</v>
      </c>
      <c r="J51" s="47">
        <f t="shared" ref="J51:O51" si="15">J49+J50</f>
        <v>9</v>
      </c>
      <c r="K51" s="449">
        <f t="shared" si="15"/>
        <v>1</v>
      </c>
      <c r="L51" s="47">
        <f t="shared" si="15"/>
        <v>4</v>
      </c>
      <c r="M51" s="449">
        <f t="shared" si="15"/>
        <v>1</v>
      </c>
      <c r="N51" s="47">
        <f t="shared" si="15"/>
        <v>2</v>
      </c>
      <c r="O51" s="449">
        <f t="shared" si="15"/>
        <v>1</v>
      </c>
    </row>
    <row r="52" spans="1:15">
      <c r="A52" s="49" t="s">
        <v>187</v>
      </c>
      <c r="B52" s="14">
        <f>GETPIVOTDATA("Répondant",Croisements!$H$102,"Question 7",4,"L'âge regrouper",1)</f>
        <v>2</v>
      </c>
      <c r="C52" s="16">
        <f t="shared" si="12"/>
        <v>0.22222222222222221</v>
      </c>
      <c r="D52" s="14">
        <f>GETPIVOTDATA("Répondant",Croisements!$H$102,"Question 7",4,"L'âge regrouper",2)</f>
        <v>0</v>
      </c>
      <c r="E52" s="16">
        <f t="shared" si="13"/>
        <v>0</v>
      </c>
      <c r="F52" s="14">
        <f>GETPIVOTDATA("Répondant",Croisements!$H$102,"Question 7",4,"L'âge regrouper",3)</f>
        <v>0</v>
      </c>
      <c r="G52" s="16">
        <f t="shared" si="14"/>
        <v>0</v>
      </c>
      <c r="H52" s="11"/>
      <c r="I52" s="52" t="s">
        <v>349</v>
      </c>
      <c r="J52" s="34">
        <f>'Khi2'!R555</f>
        <v>0.03</v>
      </c>
      <c r="K52" s="35"/>
      <c r="L52" s="34"/>
      <c r="M52" s="35"/>
      <c r="N52" s="34"/>
      <c r="O52" s="35"/>
    </row>
    <row r="53" spans="1:15">
      <c r="A53" s="49" t="s">
        <v>15</v>
      </c>
      <c r="B53" s="14">
        <f>GETPIVOTDATA("Répondant",Croisements!$H$102,"Question 7",5,"L'âge regrouper",1)</f>
        <v>2</v>
      </c>
      <c r="C53" s="16">
        <f t="shared" si="12"/>
        <v>0.22222222222222221</v>
      </c>
      <c r="D53" s="14">
        <f>GETPIVOTDATA("Répondant",Croisements!$H$102,"Question 7",5,"L'âge regrouper",2)</f>
        <v>1</v>
      </c>
      <c r="E53" s="16">
        <f t="shared" si="13"/>
        <v>0.25</v>
      </c>
      <c r="F53" s="14">
        <f>GETPIVOTDATA("Répondant",Croisements!$H$102,"Question 7",5,"L'âge regrouper",3)</f>
        <v>1</v>
      </c>
      <c r="G53" s="16">
        <f t="shared" si="14"/>
        <v>0.5</v>
      </c>
      <c r="H53" s="11"/>
      <c r="I53" s="52"/>
      <c r="J53" s="455"/>
      <c r="K53" s="35"/>
      <c r="L53" s="455"/>
      <c r="M53" s="35"/>
      <c r="N53" s="455"/>
      <c r="O53" s="35"/>
    </row>
    <row r="54" spans="1:15">
      <c r="A54" s="49" t="s">
        <v>345</v>
      </c>
      <c r="B54" s="14">
        <f t="shared" ref="B54:G54" si="16">SUM(B49:B53)</f>
        <v>9</v>
      </c>
      <c r="C54" s="16">
        <f t="shared" si="16"/>
        <v>1</v>
      </c>
      <c r="D54" s="14">
        <f t="shared" si="16"/>
        <v>4</v>
      </c>
      <c r="E54" s="16">
        <f t="shared" si="16"/>
        <v>1</v>
      </c>
      <c r="F54" s="14">
        <f t="shared" si="16"/>
        <v>2</v>
      </c>
      <c r="G54" s="16">
        <f t="shared" si="16"/>
        <v>1</v>
      </c>
      <c r="H54" s="11"/>
      <c r="I54" s="52"/>
      <c r="J54" s="455"/>
      <c r="K54" s="35"/>
      <c r="L54" s="455"/>
      <c r="M54" s="35"/>
      <c r="N54" s="455"/>
      <c r="O54" s="35"/>
    </row>
    <row r="55" spans="1:15">
      <c r="A55" s="52" t="s">
        <v>349</v>
      </c>
      <c r="B55" s="368">
        <f>'Khi2'!R544</f>
        <v>0.03</v>
      </c>
      <c r="C55" s="35"/>
      <c r="D55" s="364"/>
      <c r="E55" s="35"/>
      <c r="F55" s="455"/>
      <c r="G55" s="35"/>
      <c r="H55" s="11"/>
      <c r="I55" s="52"/>
      <c r="J55" s="455"/>
      <c r="K55" s="35"/>
      <c r="L55" s="455"/>
      <c r="M55" s="35"/>
      <c r="N55" s="455"/>
      <c r="O55" s="35"/>
    </row>
    <row r="56" spans="1:15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</row>
    <row r="57" spans="1:15">
      <c r="A57" s="590" t="s">
        <v>813</v>
      </c>
      <c r="B57" s="605"/>
      <c r="C57" s="605"/>
      <c r="D57" s="605"/>
      <c r="E57" s="605"/>
      <c r="F57" s="605"/>
      <c r="G57" s="605"/>
      <c r="H57" s="33"/>
      <c r="I57" s="590" t="s">
        <v>814</v>
      </c>
      <c r="J57" s="605"/>
      <c r="K57" s="605"/>
      <c r="L57" s="605"/>
      <c r="M57" s="605"/>
      <c r="N57" s="605"/>
      <c r="O57" s="605"/>
    </row>
    <row r="58" spans="1:15">
      <c r="A58" s="615" t="s">
        <v>88</v>
      </c>
      <c r="B58" s="615"/>
      <c r="C58" s="615"/>
      <c r="D58" s="615"/>
      <c r="E58" s="615"/>
      <c r="F58" s="615"/>
      <c r="G58" s="615"/>
      <c r="H58" s="11"/>
      <c r="I58" s="618" t="s">
        <v>320</v>
      </c>
      <c r="J58" s="615"/>
      <c r="K58" s="615"/>
      <c r="L58" s="615"/>
      <c r="M58" s="615"/>
      <c r="N58" s="615"/>
      <c r="O58" s="615"/>
    </row>
    <row r="59" spans="1:15">
      <c r="A59" s="352" t="s">
        <v>637</v>
      </c>
      <c r="B59" s="20"/>
      <c r="C59" s="20"/>
      <c r="D59" s="20"/>
      <c r="E59" s="20"/>
      <c r="F59" s="21"/>
      <c r="G59" s="21"/>
      <c r="H59" s="11"/>
      <c r="I59" s="609" t="s">
        <v>637</v>
      </c>
      <c r="J59" s="610"/>
      <c r="K59" s="610"/>
      <c r="L59" s="610"/>
      <c r="M59" s="610"/>
      <c r="N59" s="610"/>
      <c r="O59" s="610"/>
    </row>
    <row r="60" spans="1:15">
      <c r="A60" s="598"/>
      <c r="B60" s="599" t="s">
        <v>86</v>
      </c>
      <c r="C60" s="600"/>
      <c r="D60" s="599" t="s">
        <v>87</v>
      </c>
      <c r="E60" s="600"/>
      <c r="F60" s="595" t="s">
        <v>90</v>
      </c>
      <c r="G60" s="596"/>
      <c r="H60" s="11"/>
      <c r="I60" s="593"/>
      <c r="J60" s="599" t="s">
        <v>86</v>
      </c>
      <c r="K60" s="600"/>
      <c r="L60" s="599" t="s">
        <v>87</v>
      </c>
      <c r="M60" s="600"/>
      <c r="N60" s="595" t="s">
        <v>90</v>
      </c>
      <c r="O60" s="596"/>
    </row>
    <row r="61" spans="1:15">
      <c r="A61" s="594"/>
      <c r="B61" s="14" t="s">
        <v>103</v>
      </c>
      <c r="C61" s="14" t="s">
        <v>104</v>
      </c>
      <c r="D61" s="10" t="s">
        <v>103</v>
      </c>
      <c r="E61" s="14" t="s">
        <v>104</v>
      </c>
      <c r="F61" s="10" t="s">
        <v>103</v>
      </c>
      <c r="G61" s="14" t="s">
        <v>104</v>
      </c>
      <c r="H61" s="11"/>
      <c r="I61" s="594"/>
      <c r="J61" s="14" t="s">
        <v>103</v>
      </c>
      <c r="K61" s="14" t="s">
        <v>104</v>
      </c>
      <c r="L61" s="10" t="s">
        <v>103</v>
      </c>
      <c r="M61" s="14" t="s">
        <v>104</v>
      </c>
      <c r="N61" s="10" t="s">
        <v>103</v>
      </c>
      <c r="O61" s="14" t="s">
        <v>104</v>
      </c>
    </row>
    <row r="62" spans="1:15">
      <c r="A62" s="15" t="s">
        <v>77</v>
      </c>
      <c r="B62" s="14">
        <f>GETPIVOTDATA("Répondant",Croisements!$H$124,"Question 8.2",1,"L'âge regrouper",1)+GETPIVOTDATA("Répondant",Croisements!$H$124,"Question 8.2",2,"L'âge regrouper",1)</f>
        <v>6</v>
      </c>
      <c r="C62" s="16">
        <f>B62/B64</f>
        <v>0.66666666666666663</v>
      </c>
      <c r="D62" s="14">
        <f>GETPIVOTDATA("Répondant",Croisements!$H$124,"Question 8.2",1,"L'âge regrouper",2)+GETPIVOTDATA("Répondant",Croisements!$H$124,"Question 8.2",2,"L'âge regrouper",2)</f>
        <v>2</v>
      </c>
      <c r="E62" s="16">
        <f>D62/D64</f>
        <v>0.5</v>
      </c>
      <c r="F62" s="14">
        <f>GETPIVOTDATA("Répondant",Croisements!$H$124,"Question 8.2",1,"L'âge regrouper",3)+GETPIVOTDATA("Répondant",Croisements!$H$124,"Question 8.2",2,"L'âge regrouper",3)</f>
        <v>2</v>
      </c>
      <c r="G62" s="16">
        <f>F62/F64</f>
        <v>1</v>
      </c>
      <c r="H62" s="11"/>
      <c r="I62" s="15" t="s">
        <v>77</v>
      </c>
      <c r="J62" s="14">
        <f>GETPIVOTDATA("Répondant",Croisements!$H$135,"Question 8.3",1,"L'âge regrouper",1)+GETPIVOTDATA("Répondant",Croisements!$H$135,"Question 8.3",2,"L'âge regrouper",1)</f>
        <v>5</v>
      </c>
      <c r="K62" s="16">
        <f>J62/J64</f>
        <v>0.55555555555555558</v>
      </c>
      <c r="L62" s="14">
        <f>GETPIVOTDATA("Répondant",Croisements!$H$135,"Question 8.3",1,"L'âge regrouper",2)+GETPIVOTDATA("Répondant",Croisements!$H$135,"Question 8.3",2,"L'âge regrouper",2)</f>
        <v>2</v>
      </c>
      <c r="M62" s="16">
        <f>L62/L64</f>
        <v>0.5</v>
      </c>
      <c r="N62" s="14">
        <f>GETPIVOTDATA("Répondant",Croisements!$H$135,"Question 8.3",1,"L'âge regrouper",3)+GETPIVOTDATA("Répondant",Croisements!$H$135,"Question 8.3",2,"L'âge regrouper",3)</f>
        <v>1</v>
      </c>
      <c r="O62" s="16">
        <f>N62/N64</f>
        <v>0.5</v>
      </c>
    </row>
    <row r="63" spans="1:15">
      <c r="A63" s="15" t="s">
        <v>78</v>
      </c>
      <c r="B63" s="14">
        <f>GETPIVOTDATA("Répondant",Croisements!$H$124,"Question 8.2",3,"L'âge regrouper",1)+GETPIVOTDATA("Répondant",Croisements!$H$124,"Question 8.2",4,"L'âge regrouper",1)</f>
        <v>3</v>
      </c>
      <c r="C63" s="16">
        <f>B63/B64</f>
        <v>0.33333333333333331</v>
      </c>
      <c r="D63" s="14">
        <f>GETPIVOTDATA("Répondant",Croisements!$H$124,"Question 8.2",3,"L'âge regrouper",2)+GETPIVOTDATA("Répondant",Croisements!$H$124,"Question 8.2",4,"L'âge regrouper",2)</f>
        <v>2</v>
      </c>
      <c r="E63" s="16">
        <f>D63/D64</f>
        <v>0.5</v>
      </c>
      <c r="F63" s="14">
        <f>GETPIVOTDATA("Répondant",Croisements!$H$124,"Question 8.2",3,"L'âge regrouper",3)+GETPIVOTDATA("Répondant",Croisements!$H$124,"Question 8.2",4,"L'âge regrouper",3)</f>
        <v>0</v>
      </c>
      <c r="G63" s="16">
        <f>F63/F64</f>
        <v>0</v>
      </c>
      <c r="H63" s="11"/>
      <c r="I63" s="15" t="s">
        <v>78</v>
      </c>
      <c r="J63" s="14">
        <f>GETPIVOTDATA("Répondant",Croisements!$H$135,"Question 8.3",3,"L'âge regrouper",1)+GETPIVOTDATA("Répondant",Croisements!$H$135,"Question 8.3",4,"L'âge regrouper",1)</f>
        <v>4</v>
      </c>
      <c r="K63" s="16">
        <f>J63/J64</f>
        <v>0.44444444444444442</v>
      </c>
      <c r="L63" s="14">
        <f>GETPIVOTDATA("Répondant",Croisements!$H$135,"Question 8.3",3,"L'âge regrouper",2)+GETPIVOTDATA("Répondant",Croisements!$H$135,"Question 8.3",4,"L'âge regrouper",2)</f>
        <v>2</v>
      </c>
      <c r="M63" s="16">
        <f>L63/L64</f>
        <v>0.5</v>
      </c>
      <c r="N63" s="14">
        <f>GETPIVOTDATA("Répondant",Croisements!$H$135,"Question 8.3",3,"L'âge regrouper",3)+GETPIVOTDATA("Répondant",Croisements!$H$135,"Question 8.3",4,"L'âge regrouper",3)</f>
        <v>1</v>
      </c>
      <c r="O63" s="16">
        <f>N63/N64</f>
        <v>0.5</v>
      </c>
    </row>
    <row r="64" spans="1:15">
      <c r="A64" s="46" t="s">
        <v>345</v>
      </c>
      <c r="B64" s="47">
        <f t="shared" ref="B64:G64" si="17">B62+B63</f>
        <v>9</v>
      </c>
      <c r="C64" s="449">
        <f t="shared" si="17"/>
        <v>1</v>
      </c>
      <c r="D64" s="47">
        <f t="shared" si="17"/>
        <v>4</v>
      </c>
      <c r="E64" s="449">
        <f t="shared" si="17"/>
        <v>1</v>
      </c>
      <c r="F64" s="47">
        <f t="shared" si="17"/>
        <v>2</v>
      </c>
      <c r="G64" s="449">
        <f t="shared" si="17"/>
        <v>1</v>
      </c>
      <c r="H64" s="11"/>
      <c r="I64" s="46" t="s">
        <v>345</v>
      </c>
      <c r="J64" s="47">
        <f t="shared" ref="J64:O64" si="18">J62+J63</f>
        <v>9</v>
      </c>
      <c r="K64" s="449">
        <f t="shared" si="18"/>
        <v>1</v>
      </c>
      <c r="L64" s="47">
        <f t="shared" si="18"/>
        <v>4</v>
      </c>
      <c r="M64" s="449">
        <f t="shared" si="18"/>
        <v>1</v>
      </c>
      <c r="N64" s="47">
        <f t="shared" si="18"/>
        <v>2</v>
      </c>
      <c r="O64" s="449">
        <f t="shared" si="18"/>
        <v>1</v>
      </c>
    </row>
    <row r="65" spans="1:15">
      <c r="A65" s="52" t="s">
        <v>349</v>
      </c>
      <c r="B65" s="92" t="str">
        <f>'Khi2'!R563</f>
        <v>0.22*</v>
      </c>
      <c r="C65" s="35"/>
      <c r="D65" s="92"/>
      <c r="E65" s="35"/>
      <c r="F65" s="92"/>
      <c r="G65" s="35"/>
      <c r="H65" s="11"/>
      <c r="I65" s="52" t="s">
        <v>349</v>
      </c>
      <c r="J65" s="92" t="str">
        <f>'Khi2'!R571</f>
        <v>0.83*</v>
      </c>
      <c r="K65" s="35"/>
      <c r="L65" s="92"/>
      <c r="M65" s="35"/>
      <c r="N65" s="92"/>
      <c r="O65" s="35"/>
    </row>
    <row r="66" spans="1:15">
      <c r="A66" s="45"/>
      <c r="B66" s="45"/>
      <c r="C66" s="45"/>
      <c r="D66" s="45"/>
      <c r="E66" s="45"/>
      <c r="F66" s="45"/>
      <c r="G66" s="45"/>
      <c r="H66" s="45"/>
      <c r="I66" s="33"/>
      <c r="J66" s="33"/>
      <c r="K66" s="33"/>
      <c r="L66" s="33"/>
      <c r="M66" s="33"/>
      <c r="N66" s="33"/>
      <c r="O66" s="33"/>
    </row>
    <row r="67" spans="1:15">
      <c r="A67" s="590" t="s">
        <v>815</v>
      </c>
      <c r="B67" s="605"/>
      <c r="C67" s="605"/>
      <c r="D67" s="605"/>
      <c r="E67" s="605"/>
      <c r="F67" s="605"/>
      <c r="G67" s="605"/>
      <c r="H67" s="33"/>
      <c r="I67" s="590" t="s">
        <v>829</v>
      </c>
      <c r="J67" s="605"/>
      <c r="K67" s="605"/>
      <c r="L67" s="605"/>
      <c r="M67" s="605"/>
      <c r="N67" s="605"/>
      <c r="O67" s="605"/>
    </row>
    <row r="68" spans="1:15">
      <c r="A68" s="618"/>
      <c r="B68" s="615"/>
      <c r="C68" s="615"/>
      <c r="D68" s="615"/>
      <c r="E68" s="615"/>
      <c r="F68" s="615"/>
      <c r="G68" s="615"/>
      <c r="H68" s="11"/>
      <c r="I68" s="620" t="s">
        <v>88</v>
      </c>
      <c r="J68" s="620"/>
      <c r="K68" s="620"/>
      <c r="L68" s="620"/>
      <c r="M68" s="620"/>
      <c r="N68" s="620"/>
      <c r="O68" s="620"/>
    </row>
    <row r="69" spans="1:15">
      <c r="A69" s="610" t="s">
        <v>517</v>
      </c>
      <c r="B69" s="610"/>
      <c r="C69" s="610"/>
      <c r="D69" s="610"/>
      <c r="E69" s="610"/>
      <c r="F69" s="610"/>
      <c r="G69" s="610"/>
      <c r="H69" s="11"/>
      <c r="I69" s="609" t="s">
        <v>637</v>
      </c>
      <c r="J69" s="610"/>
      <c r="K69" s="610"/>
      <c r="L69" s="610"/>
      <c r="M69" s="610"/>
      <c r="N69" s="610"/>
      <c r="O69" s="610"/>
    </row>
    <row r="70" spans="1:15">
      <c r="A70" s="598"/>
      <c r="B70" s="599" t="s">
        <v>86</v>
      </c>
      <c r="C70" s="600"/>
      <c r="D70" s="599" t="s">
        <v>87</v>
      </c>
      <c r="E70" s="600"/>
      <c r="F70" s="595" t="s">
        <v>90</v>
      </c>
      <c r="G70" s="596"/>
      <c r="H70" s="11"/>
      <c r="I70" s="593"/>
      <c r="J70" s="599" t="s">
        <v>86</v>
      </c>
      <c r="K70" s="600"/>
      <c r="L70" s="599" t="s">
        <v>87</v>
      </c>
      <c r="M70" s="600"/>
      <c r="N70" s="595" t="s">
        <v>90</v>
      </c>
      <c r="O70" s="596"/>
    </row>
    <row r="71" spans="1:15">
      <c r="A71" s="594"/>
      <c r="B71" s="14" t="s">
        <v>103</v>
      </c>
      <c r="C71" s="14" t="s">
        <v>104</v>
      </c>
      <c r="D71" s="10" t="s">
        <v>103</v>
      </c>
      <c r="E71" s="14" t="s">
        <v>104</v>
      </c>
      <c r="F71" s="10" t="s">
        <v>103</v>
      </c>
      <c r="G71" s="14" t="s">
        <v>104</v>
      </c>
      <c r="I71" s="594"/>
      <c r="J71" s="14" t="s">
        <v>103</v>
      </c>
      <c r="K71" s="14" t="s">
        <v>104</v>
      </c>
      <c r="L71" s="10" t="s">
        <v>103</v>
      </c>
      <c r="M71" s="14" t="s">
        <v>104</v>
      </c>
      <c r="N71" s="10" t="s">
        <v>103</v>
      </c>
      <c r="O71" s="14" t="s">
        <v>104</v>
      </c>
    </row>
    <row r="72" spans="1:15">
      <c r="A72" s="15" t="s">
        <v>77</v>
      </c>
      <c r="B72" s="14">
        <f>GETPIVOTDATA("Répondant",Croisements!$H$146,"Question 8.4",1,"L'âge regrouper",1)+GETPIVOTDATA("Répondant",Croisements!$H$146,"Question 8.4",2,"L'âge regrouper",1)</f>
        <v>7</v>
      </c>
      <c r="C72" s="16">
        <f>B72/B74</f>
        <v>0.77777777777777779</v>
      </c>
      <c r="D72" s="14">
        <f>GETPIVOTDATA("Répondant",Croisements!$H$146,"Question 8.4",1,"L'âge regrouper",2)+GETPIVOTDATA("Répondant",Croisements!$H$146,"Question 8.4",2,"L'âge regrouper",2)</f>
        <v>4</v>
      </c>
      <c r="E72" s="16">
        <f>D72/D74</f>
        <v>1</v>
      </c>
      <c r="F72" s="14">
        <f>GETPIVOTDATA("Répondant",Croisements!$H$146,"Question 8.4",1,"L'âge regrouper",3)+GETPIVOTDATA("Répondant",Croisements!$H$146,"Question 8.4",2,"L'âge regrouper",3)</f>
        <v>1</v>
      </c>
      <c r="G72" s="16">
        <f>F72/F74</f>
        <v>0.5</v>
      </c>
      <c r="H72" s="11"/>
      <c r="I72" s="15" t="s">
        <v>77</v>
      </c>
      <c r="J72" s="14">
        <f>GETPIVOTDATA("Répondant",Croisements!$H$157,"Question 8.5",1,"L'âge regrouper",1)+GETPIVOTDATA("Répondant",Croisements!$H$157,"Question 8.5",2,"L'âge regrouper",1)</f>
        <v>6</v>
      </c>
      <c r="K72" s="16">
        <f>J72/J74</f>
        <v>0.66666666666666663</v>
      </c>
      <c r="L72" s="14">
        <f>GETPIVOTDATA("Répondant",Croisements!$H$157,"Question 8.5",1,"L'âge regrouper",2)+GETPIVOTDATA("Répondant",Croisements!$H$157,"Question 8.5",2,"L'âge regrouper",2)</f>
        <v>3</v>
      </c>
      <c r="M72" s="16">
        <f>L72/L74</f>
        <v>0.75</v>
      </c>
      <c r="N72" s="14">
        <f>GETPIVOTDATA("Répondant",Croisements!$H$157,"Question 8.5",1,"L'âge regrouper",3)+GETPIVOTDATA("Répondant",Croisements!$H$157,"Question 8.5",2,"L'âge regrouper",3)</f>
        <v>0</v>
      </c>
      <c r="O72" s="16">
        <f>N72/N74</f>
        <v>0</v>
      </c>
    </row>
    <row r="73" spans="1:15">
      <c r="A73" s="15" t="s">
        <v>78</v>
      </c>
      <c r="B73" s="14">
        <f>GETPIVOTDATA("Répondant",Croisements!$H$146,"Question 8.4",3,"L'âge regrouper",1)+GETPIVOTDATA("Répondant",Croisements!$H$146,"Question 8.4",4,"L'âge regrouper",1)</f>
        <v>2</v>
      </c>
      <c r="C73" s="16">
        <f>B73/B74</f>
        <v>0.22222222222222221</v>
      </c>
      <c r="D73" s="14">
        <f>GETPIVOTDATA("Répondant",Croisements!$H$146,"Question 8.4",3,"L'âge regrouper",2)+GETPIVOTDATA("Répondant",Croisements!$H$146,"Question 8.4",4,"L'âge regrouper",2)</f>
        <v>0</v>
      </c>
      <c r="E73" s="16">
        <f>D73/D74</f>
        <v>0</v>
      </c>
      <c r="F73" s="14">
        <f>GETPIVOTDATA("Répondant",Croisements!$H$146,"Question 8.4",3,"L'âge regrouper",3)+GETPIVOTDATA("Répondant",Croisements!$H$146,"Question 8.4",4,"L'âge regrouper",3)</f>
        <v>1</v>
      </c>
      <c r="G73" s="16">
        <f>F73/F74</f>
        <v>0.5</v>
      </c>
      <c r="H73" s="11"/>
      <c r="I73" s="15" t="s">
        <v>78</v>
      </c>
      <c r="J73" s="14">
        <f>GETPIVOTDATA("Répondant",Croisements!$H$157,"Question 8.5",3,"L'âge regrouper",1)+GETPIVOTDATA("Répondant",Croisements!$H$157,"Question 8.5",4,"L'âge regrouper",1)</f>
        <v>3</v>
      </c>
      <c r="K73" s="16">
        <f>J73/J74</f>
        <v>0.33333333333333331</v>
      </c>
      <c r="L73" s="14">
        <f>GETPIVOTDATA("Répondant",Croisements!$H$157,"Question 8.5",3,"L'âge regrouper",2)+GETPIVOTDATA("Répondant",Croisements!$H$157,"Question 8.5",4,"L'âge regrouper",2)</f>
        <v>1</v>
      </c>
      <c r="M73" s="16">
        <f>L73/L74</f>
        <v>0.25</v>
      </c>
      <c r="N73" s="14">
        <f>GETPIVOTDATA("Répondant",Croisements!$H$157,"Question 8.5",3,"L'âge regrouper",3)+GETPIVOTDATA("Répondant",Croisements!$H$157,"Question 8.5",4,"L'âge regrouper",3)</f>
        <v>2</v>
      </c>
      <c r="O73" s="16">
        <f>N73/N74</f>
        <v>1</v>
      </c>
    </row>
    <row r="74" spans="1:15">
      <c r="A74" s="46" t="s">
        <v>345</v>
      </c>
      <c r="B74" s="47">
        <f t="shared" ref="B74:G74" si="19">B72+B73</f>
        <v>9</v>
      </c>
      <c r="C74" s="449">
        <f t="shared" si="19"/>
        <v>1</v>
      </c>
      <c r="D74" s="47">
        <f t="shared" si="19"/>
        <v>4</v>
      </c>
      <c r="E74" s="449">
        <f t="shared" si="19"/>
        <v>1</v>
      </c>
      <c r="F74" s="47">
        <f t="shared" si="19"/>
        <v>2</v>
      </c>
      <c r="G74" s="449">
        <f t="shared" si="19"/>
        <v>1</v>
      </c>
      <c r="H74" s="11"/>
      <c r="I74" s="46" t="s">
        <v>345</v>
      </c>
      <c r="J74" s="47">
        <f t="shared" ref="J74:O74" si="20">J72+J73</f>
        <v>9</v>
      </c>
      <c r="K74" s="449">
        <f t="shared" si="20"/>
        <v>1</v>
      </c>
      <c r="L74" s="47">
        <f t="shared" si="20"/>
        <v>4</v>
      </c>
      <c r="M74" s="449">
        <f t="shared" si="20"/>
        <v>1</v>
      </c>
      <c r="N74" s="47">
        <f t="shared" si="20"/>
        <v>2</v>
      </c>
      <c r="O74" s="449">
        <f t="shared" si="20"/>
        <v>1</v>
      </c>
    </row>
    <row r="75" spans="1:15">
      <c r="A75" s="52" t="s">
        <v>349</v>
      </c>
      <c r="B75" s="92" t="str">
        <f>'Khi2'!R579</f>
        <v>0.14*</v>
      </c>
      <c r="C75" s="35"/>
      <c r="D75" s="92"/>
      <c r="E75" s="35"/>
      <c r="F75" s="92"/>
      <c r="G75" s="35"/>
      <c r="H75" s="11"/>
      <c r="I75" s="52" t="s">
        <v>349</v>
      </c>
      <c r="J75" s="92" t="str">
        <f>'Khi2'!R587</f>
        <v>0.06*</v>
      </c>
      <c r="K75" s="35"/>
      <c r="L75" s="92"/>
      <c r="M75" s="35"/>
      <c r="N75" s="92"/>
      <c r="O75" s="35"/>
    </row>
    <row r="76" spans="1:15">
      <c r="A76" s="45"/>
      <c r="B76" s="45"/>
      <c r="C76" s="45"/>
      <c r="D76" s="45"/>
      <c r="E76" s="45"/>
      <c r="F76" s="45"/>
      <c r="G76" s="45"/>
      <c r="H76" s="11"/>
      <c r="I76" s="45"/>
      <c r="J76" s="45"/>
      <c r="K76" s="45"/>
      <c r="L76" s="45"/>
      <c r="M76" s="45"/>
      <c r="N76" s="45"/>
      <c r="O76" s="45"/>
    </row>
    <row r="77" spans="1:15">
      <c r="A77" s="590" t="s">
        <v>820</v>
      </c>
      <c r="B77" s="605"/>
      <c r="C77" s="605"/>
      <c r="D77" s="605"/>
      <c r="E77" s="605"/>
      <c r="F77" s="605"/>
      <c r="G77" s="605"/>
      <c r="H77" s="11"/>
      <c r="I77" s="590" t="s">
        <v>830</v>
      </c>
      <c r="J77" s="605"/>
      <c r="K77" s="605"/>
      <c r="L77" s="605"/>
      <c r="M77" s="605"/>
      <c r="N77" s="605"/>
      <c r="O77" s="605"/>
    </row>
    <row r="78" spans="1:15">
      <c r="A78" s="620"/>
      <c r="B78" s="620"/>
      <c r="C78" s="620"/>
      <c r="D78" s="620"/>
      <c r="E78" s="620"/>
      <c r="F78" s="620"/>
      <c r="G78" s="620"/>
      <c r="H78" s="45"/>
      <c r="I78" s="601" t="s">
        <v>321</v>
      </c>
      <c r="J78" s="607"/>
      <c r="K78" s="607"/>
      <c r="L78" s="607"/>
      <c r="M78" s="607"/>
      <c r="N78" s="607"/>
      <c r="O78" s="607"/>
    </row>
    <row r="79" spans="1:15">
      <c r="A79" s="609" t="s">
        <v>637</v>
      </c>
      <c r="B79" s="610"/>
      <c r="C79" s="610"/>
      <c r="D79" s="610"/>
      <c r="E79" s="610"/>
      <c r="F79" s="610"/>
      <c r="G79" s="610"/>
      <c r="H79" s="33"/>
      <c r="I79" s="609" t="s">
        <v>637</v>
      </c>
      <c r="J79" s="610"/>
      <c r="K79" s="610"/>
      <c r="L79" s="610"/>
      <c r="M79" s="610"/>
      <c r="N79" s="610"/>
      <c r="O79" s="610"/>
    </row>
    <row r="80" spans="1:15">
      <c r="A80" s="598"/>
      <c r="B80" s="599" t="s">
        <v>86</v>
      </c>
      <c r="C80" s="600"/>
      <c r="D80" s="599" t="s">
        <v>87</v>
      </c>
      <c r="E80" s="600"/>
      <c r="F80" s="595" t="s">
        <v>90</v>
      </c>
      <c r="G80" s="596"/>
      <c r="H80" s="11"/>
      <c r="I80" s="593"/>
      <c r="J80" s="599" t="s">
        <v>86</v>
      </c>
      <c r="K80" s="600"/>
      <c r="L80" s="599" t="s">
        <v>87</v>
      </c>
      <c r="M80" s="600"/>
      <c r="N80" s="595" t="s">
        <v>90</v>
      </c>
      <c r="O80" s="596"/>
    </row>
    <row r="81" spans="1:15">
      <c r="A81" s="594"/>
      <c r="B81" s="14" t="s">
        <v>103</v>
      </c>
      <c r="C81" s="14" t="s">
        <v>104</v>
      </c>
      <c r="D81" s="10" t="s">
        <v>103</v>
      </c>
      <c r="E81" s="14" t="s">
        <v>104</v>
      </c>
      <c r="F81" s="10" t="s">
        <v>103</v>
      </c>
      <c r="G81" s="14" t="s">
        <v>104</v>
      </c>
      <c r="I81" s="594"/>
      <c r="J81" s="14" t="s">
        <v>103</v>
      </c>
      <c r="K81" s="14" t="s">
        <v>104</v>
      </c>
      <c r="L81" s="10" t="s">
        <v>103</v>
      </c>
      <c r="M81" s="14" t="s">
        <v>104</v>
      </c>
      <c r="N81" s="10" t="s">
        <v>103</v>
      </c>
      <c r="O81" s="14" t="s">
        <v>104</v>
      </c>
    </row>
    <row r="82" spans="1:15">
      <c r="A82" s="15" t="s">
        <v>77</v>
      </c>
      <c r="B82" s="14">
        <f>GETPIVOTDATA("Répondant",Croisements!$H$168,"Question 8.6",1,"L'âge regrouper",1)+GETPIVOTDATA("Répondant",Croisements!$H$168,"Question 8.6",2,"L'âge regrouper",1)</f>
        <v>6</v>
      </c>
      <c r="C82" s="16">
        <f>B82/B84</f>
        <v>0.66666666666666663</v>
      </c>
      <c r="D82" s="14">
        <f>GETPIVOTDATA("Répondant",Croisements!$H$168,"Question 8.6",1,"L'âge regrouper",2)+GETPIVOTDATA("Répondant",Croisements!$H$168,"Question 8.6",2,"L'âge regrouper",2)</f>
        <v>4</v>
      </c>
      <c r="E82" s="16">
        <f>D82/D84</f>
        <v>1</v>
      </c>
      <c r="F82" s="14">
        <f>GETPIVOTDATA("Répondant",Croisements!$H$168,"Question 8.6",1,"L'âge regrouper",3)+GETPIVOTDATA("Répondant",Croisements!$H$168,"Question 8.6",2,"L'âge regrouper",3)</f>
        <v>1</v>
      </c>
      <c r="G82" s="16">
        <f>F82/F84</f>
        <v>0.5</v>
      </c>
      <c r="H82" s="11"/>
      <c r="I82" s="15" t="s">
        <v>77</v>
      </c>
      <c r="J82" s="14">
        <f>GETPIVOTDATA("Répondant",Croisements!$H$181,"Question 8.7",1,"L'âge regrouper",1)+GETPIVOTDATA("Répondant",Croisements!$H$181,"Question 8.7",2,"L'âge regrouper",1)</f>
        <v>7</v>
      </c>
      <c r="K82" s="16">
        <f>J82/J84</f>
        <v>0.77777777777777779</v>
      </c>
      <c r="L82" s="14">
        <f>GETPIVOTDATA("Répondant",Croisements!$H$181,"Question 8.7",1,"L'âge regrouper",2)+GETPIVOTDATA("Répondant",Croisements!$H$181,"Question 8.7",2,"L'âge regrouper",2)</f>
        <v>3</v>
      </c>
      <c r="M82" s="16">
        <f>L82/L84</f>
        <v>0.75</v>
      </c>
      <c r="N82" s="14">
        <f>GETPIVOTDATA("Répondant",Croisements!$H$181,"Question 8.7",1,"L'âge regrouper",3)+GETPIVOTDATA("Répondant",Croisements!$H$181,"Question 8.7",2,"L'âge regrouper",3)</f>
        <v>1</v>
      </c>
      <c r="O82" s="16">
        <f>N82/N84</f>
        <v>0.5</v>
      </c>
    </row>
    <row r="83" spans="1:15">
      <c r="A83" s="15" t="s">
        <v>78</v>
      </c>
      <c r="B83" s="14">
        <f>GETPIVOTDATA("Répondant",Croisements!$H$168,"Question 8.6",3,"L'âge regrouper",1)+GETPIVOTDATA("Répondant",Croisements!$H$168,"Question 8.6",4,"L'âge regrouper",1)</f>
        <v>3</v>
      </c>
      <c r="C83" s="16">
        <f>B83/B84</f>
        <v>0.33333333333333331</v>
      </c>
      <c r="D83" s="14">
        <f>GETPIVOTDATA("Répondant",Croisements!$H$168,"Question 8.6",3,"L'âge regrouper",2)+GETPIVOTDATA("Répondant",Croisements!$H$168,"Question 8.6",4,"L'âge regrouper",2)</f>
        <v>0</v>
      </c>
      <c r="E83" s="16">
        <f>D83/D84</f>
        <v>0</v>
      </c>
      <c r="F83" s="14">
        <f>GETPIVOTDATA("Répondant",Croisements!$H$168,"Question 8.6",3,"L'âge regrouper",3)+GETPIVOTDATA("Répondant",Croisements!$H$168,"Question 8.6",4,"L'âge regrouper",3)</f>
        <v>1</v>
      </c>
      <c r="G83" s="16">
        <f>F83/F84</f>
        <v>0.5</v>
      </c>
      <c r="I83" s="15" t="s">
        <v>78</v>
      </c>
      <c r="J83" s="14">
        <f>GETPIVOTDATA("Répondant",Croisements!$H$181,"Question 8.7",3,"L'âge regrouper",1)+GETPIVOTDATA("Répondant",Croisements!$H$181,"Question 8.7",4,"L'âge regrouper",1)</f>
        <v>2</v>
      </c>
      <c r="K83" s="16">
        <f>J83/J84</f>
        <v>0.22222222222222221</v>
      </c>
      <c r="L83" s="14">
        <f>GETPIVOTDATA("Répondant",Croisements!$H$181,"Question 8.7",3,"L'âge regrouper",2)+GETPIVOTDATA("Répondant",Croisements!$H$181,"Question 8.7",4,"L'âge regrouper",2)</f>
        <v>1</v>
      </c>
      <c r="M83" s="16">
        <f>L83/L84</f>
        <v>0.25</v>
      </c>
      <c r="N83" s="14">
        <f>GETPIVOTDATA("Répondant",Croisements!$H$181,"Question 8.7",3,"L'âge regrouper",3)+GETPIVOTDATA("Répondant",Croisements!$H$181,"Question 8.7",4,"L'âge regrouper",3)</f>
        <v>1</v>
      </c>
      <c r="O83" s="16">
        <f>N83/N84</f>
        <v>0.5</v>
      </c>
    </row>
    <row r="84" spans="1:15">
      <c r="A84" s="46" t="s">
        <v>345</v>
      </c>
      <c r="B84" s="47">
        <f t="shared" ref="B84:G84" si="21">B82+B83</f>
        <v>9</v>
      </c>
      <c r="C84" s="449">
        <f t="shared" si="21"/>
        <v>1</v>
      </c>
      <c r="D84" s="47">
        <f t="shared" si="21"/>
        <v>4</v>
      </c>
      <c r="E84" s="449">
        <f t="shared" si="21"/>
        <v>1</v>
      </c>
      <c r="F84" s="47">
        <f t="shared" si="21"/>
        <v>2</v>
      </c>
      <c r="G84" s="449">
        <f t="shared" si="21"/>
        <v>1</v>
      </c>
      <c r="H84" s="11"/>
      <c r="I84" s="46" t="s">
        <v>345</v>
      </c>
      <c r="J84" s="47">
        <f t="shared" ref="J84:O84" si="22">J82+J83</f>
        <v>9</v>
      </c>
      <c r="K84" s="449">
        <f t="shared" si="22"/>
        <v>1</v>
      </c>
      <c r="L84" s="47">
        <f t="shared" si="22"/>
        <v>4</v>
      </c>
      <c r="M84" s="449">
        <f t="shared" si="22"/>
        <v>1</v>
      </c>
      <c r="N84" s="47">
        <f t="shared" si="22"/>
        <v>2</v>
      </c>
      <c r="O84" s="449">
        <f t="shared" si="22"/>
        <v>1</v>
      </c>
    </row>
    <row r="85" spans="1:15">
      <c r="A85" s="52" t="s">
        <v>349</v>
      </c>
      <c r="B85" s="92" t="str">
        <f>'Khi2'!R595</f>
        <v>0.14*</v>
      </c>
      <c r="C85" s="35"/>
      <c r="D85" s="92"/>
      <c r="E85" s="35"/>
      <c r="F85" s="92"/>
      <c r="G85" s="35"/>
      <c r="H85" s="11"/>
      <c r="I85" s="52" t="s">
        <v>349</v>
      </c>
      <c r="J85" s="92" t="str">
        <f>'Khi2'!R603</f>
        <v>0.42*</v>
      </c>
      <c r="K85" s="35"/>
      <c r="L85" s="92"/>
      <c r="M85" s="35"/>
      <c r="N85" s="92"/>
      <c r="O85" s="35"/>
    </row>
    <row r="86" spans="1:15">
      <c r="A86" s="45"/>
      <c r="B86" s="45"/>
      <c r="C86" s="45"/>
      <c r="D86" s="45"/>
      <c r="E86" s="45"/>
      <c r="F86" s="45"/>
      <c r="G86" s="45"/>
      <c r="I86" s="45"/>
      <c r="J86" s="45"/>
      <c r="K86" s="45"/>
      <c r="L86" s="45"/>
      <c r="M86" s="45"/>
      <c r="N86" s="45"/>
      <c r="O86" s="45"/>
    </row>
    <row r="87" spans="1:15">
      <c r="A87" s="590" t="s">
        <v>831</v>
      </c>
      <c r="B87" s="605"/>
      <c r="C87" s="605"/>
      <c r="D87" s="605"/>
      <c r="E87" s="605"/>
      <c r="F87" s="605"/>
      <c r="G87" s="605"/>
      <c r="H87" s="11"/>
      <c r="I87" s="640" t="s">
        <v>823</v>
      </c>
      <c r="J87" s="642"/>
      <c r="K87" s="642"/>
      <c r="L87" s="642"/>
      <c r="M87" s="642"/>
      <c r="N87" s="642"/>
      <c r="O87" s="642"/>
    </row>
    <row r="88" spans="1:15">
      <c r="A88" s="614" t="s">
        <v>190</v>
      </c>
      <c r="B88" s="632"/>
      <c r="C88" s="632"/>
      <c r="D88" s="632"/>
      <c r="E88" s="632"/>
      <c r="F88" s="632"/>
      <c r="G88" s="632"/>
      <c r="H88" s="45"/>
      <c r="I88" s="614"/>
      <c r="J88" s="632"/>
      <c r="K88" s="632"/>
      <c r="L88" s="632"/>
      <c r="M88" s="632"/>
      <c r="N88" s="632"/>
      <c r="O88" s="632"/>
    </row>
    <row r="89" spans="1:15">
      <c r="A89" s="609" t="s">
        <v>637</v>
      </c>
      <c r="B89" s="610"/>
      <c r="C89" s="610"/>
      <c r="D89" s="610"/>
      <c r="E89" s="610"/>
      <c r="F89" s="610"/>
      <c r="G89" s="610"/>
      <c r="H89" s="33"/>
      <c r="I89" s="609" t="s">
        <v>637</v>
      </c>
      <c r="J89" s="610"/>
      <c r="K89" s="610"/>
      <c r="L89" s="610"/>
      <c r="M89" s="610"/>
      <c r="N89" s="610"/>
      <c r="O89" s="610"/>
    </row>
    <row r="90" spans="1:15">
      <c r="A90" s="598"/>
      <c r="B90" s="599" t="s">
        <v>86</v>
      </c>
      <c r="C90" s="600"/>
      <c r="D90" s="599" t="s">
        <v>87</v>
      </c>
      <c r="E90" s="600"/>
      <c r="F90" s="595" t="s">
        <v>90</v>
      </c>
      <c r="G90" s="596"/>
      <c r="H90" s="11"/>
      <c r="I90" s="593"/>
      <c r="J90" s="599" t="s">
        <v>86</v>
      </c>
      <c r="K90" s="600"/>
      <c r="L90" s="599" t="s">
        <v>87</v>
      </c>
      <c r="M90" s="600"/>
      <c r="N90" s="595" t="s">
        <v>90</v>
      </c>
      <c r="O90" s="596"/>
    </row>
    <row r="91" spans="1:15">
      <c r="A91" s="594"/>
      <c r="B91" s="14" t="s">
        <v>103</v>
      </c>
      <c r="C91" s="14" t="s">
        <v>104</v>
      </c>
      <c r="D91" s="10" t="s">
        <v>103</v>
      </c>
      <c r="E91" s="14" t="s">
        <v>104</v>
      </c>
      <c r="F91" s="10" t="s">
        <v>103</v>
      </c>
      <c r="G91" s="14" t="s">
        <v>104</v>
      </c>
      <c r="H91" s="11"/>
      <c r="I91" s="594"/>
      <c r="J91" s="14" t="s">
        <v>103</v>
      </c>
      <c r="K91" s="14" t="s">
        <v>104</v>
      </c>
      <c r="L91" s="10" t="s">
        <v>103</v>
      </c>
      <c r="M91" s="14" t="s">
        <v>104</v>
      </c>
      <c r="N91" s="10" t="s">
        <v>103</v>
      </c>
      <c r="O91" s="14" t="s">
        <v>104</v>
      </c>
    </row>
    <row r="92" spans="1:15">
      <c r="A92" s="15" t="s">
        <v>77</v>
      </c>
      <c r="B92" s="14">
        <f>GETPIVOTDATA("Répondant",Croisements!$H$192,"Question 8.8",1,"L'âge regrouper",1)+GETPIVOTDATA("Répondant",Croisements!$H$192,"Question 8.8",2,"L'âge regrouper",1)</f>
        <v>5</v>
      </c>
      <c r="C92" s="16">
        <f>B92/B94</f>
        <v>0.55555555555555558</v>
      </c>
      <c r="D92" s="14">
        <f>GETPIVOTDATA("Répondant",Croisements!$H$192,"Question 8.8",1,"L'âge regrouper",2)+GETPIVOTDATA("Répondant",Croisements!$H$192,"Question 8.8",2,"L'âge regrouper",2)</f>
        <v>4</v>
      </c>
      <c r="E92" s="16">
        <f>D92/D94</f>
        <v>1</v>
      </c>
      <c r="F92" s="14">
        <f>GETPIVOTDATA("Répondant",Croisements!$H$192,"Question 8.8",1,"L'âge regrouper",3)+GETPIVOTDATA("Répondant",Croisements!$H$192,"Question 8.8",2,"L'âge regrouper",3)</f>
        <v>2</v>
      </c>
      <c r="G92" s="16">
        <f>F92/F94</f>
        <v>1</v>
      </c>
      <c r="H92" s="11"/>
      <c r="I92" s="32" t="s">
        <v>323</v>
      </c>
      <c r="J92" s="14">
        <f>GETPIVOTDATA("Répondant",Croisements!$H$203,"Question 9.1",1,"L'âge regrouper",1)+GETPIVOTDATA("Répondant",Croisements!$H$203,"Question 9.1",2,"L'âge regrouper",1)</f>
        <v>5</v>
      </c>
      <c r="K92" s="16">
        <f>J92/J94</f>
        <v>0.55555555555555558</v>
      </c>
      <c r="L92" s="14">
        <f>GETPIVOTDATA("Répondant",Croisements!$H$203,"Question 9.1",1,"L'âge regrouper",2)+GETPIVOTDATA("Répondant",Croisements!$H$203,"Question 9.1",2,"L'âge regrouper",2)</f>
        <v>2</v>
      </c>
      <c r="M92" s="16">
        <f>L92/L94</f>
        <v>0.5</v>
      </c>
      <c r="N92" s="14">
        <f>GETPIVOTDATA("Répondant",Croisements!$H$203,"Question 9.1",1,"L'âge regrouper",3)+GETPIVOTDATA("Répondant",Croisements!$H$203,"Question 9.1",2,"L'âge regrouper",3)</f>
        <v>1</v>
      </c>
      <c r="O92" s="16">
        <f>N92/N94</f>
        <v>0.5</v>
      </c>
    </row>
    <row r="93" spans="1:15">
      <c r="A93" s="15" t="s">
        <v>78</v>
      </c>
      <c r="B93" s="14">
        <f>GETPIVOTDATA("Répondant",Croisements!$H$192,"Question 8.8",3,"L'âge regrouper",1)+GETPIVOTDATA("Répondant",Croisements!$H$192,"Question 8.8",4,"L'âge regrouper",1)</f>
        <v>4</v>
      </c>
      <c r="C93" s="16">
        <f>B93/B94</f>
        <v>0.44444444444444442</v>
      </c>
      <c r="D93" s="14">
        <f>GETPIVOTDATA("Répondant",Croisements!$H$192,"Question 8.8",3,"L'âge regrouper",2)+GETPIVOTDATA("Répondant",Croisements!$H$192,"Question 8.8",4,"L'âge regrouper",2)</f>
        <v>0</v>
      </c>
      <c r="E93" s="16">
        <f>D93/D94</f>
        <v>0</v>
      </c>
      <c r="F93" s="14">
        <f>GETPIVOTDATA("Répondant",Croisements!$H$192,"Question 8.8",3,"L'âge regrouper",3)+GETPIVOTDATA("Répondant",Croisements!$H$192,"Question 8.8",4,"L'âge regrouper",3)</f>
        <v>0</v>
      </c>
      <c r="G93" s="480">
        <f>F93/F94</f>
        <v>0</v>
      </c>
      <c r="I93" s="32" t="s">
        <v>324</v>
      </c>
      <c r="J93" s="14">
        <f>GETPIVOTDATA("Répondant",Croisements!$H$203,"Question 9.1",3,"L'âge regrouper",1)+GETPIVOTDATA("Répondant",Croisements!$H$203,"Question 9.1",4,"L'âge regrouper",1)</f>
        <v>4</v>
      </c>
      <c r="K93" s="16">
        <f>J93/J94</f>
        <v>0.44444444444444442</v>
      </c>
      <c r="L93" s="14">
        <f>GETPIVOTDATA("Répondant",Croisements!$H$203,"Question 9.1",3,"L'âge regrouper",2)+GETPIVOTDATA("Répondant",Croisements!$H$203,"Question 9.1",4,"L'âge regrouper",2)</f>
        <v>2</v>
      </c>
      <c r="M93" s="16">
        <f>L93/L94</f>
        <v>0.5</v>
      </c>
      <c r="N93" s="14">
        <f>GETPIVOTDATA("Répondant",Croisements!$H$203,"Question 9.1",3,"L'âge regrouper",3)+GETPIVOTDATA("Répondant",Croisements!$H$203,"Question 9.1",4,"L'âge regrouper",3)</f>
        <v>1</v>
      </c>
      <c r="O93" s="16">
        <f>N93/N94</f>
        <v>0.5</v>
      </c>
    </row>
    <row r="94" spans="1:15">
      <c r="A94" s="46" t="s">
        <v>345</v>
      </c>
      <c r="B94" s="47">
        <f t="shared" ref="B94:G94" si="23">B92+B93</f>
        <v>9</v>
      </c>
      <c r="C94" s="449">
        <f t="shared" si="23"/>
        <v>1</v>
      </c>
      <c r="D94" s="47">
        <f t="shared" si="23"/>
        <v>4</v>
      </c>
      <c r="E94" s="449">
        <f t="shared" si="23"/>
        <v>1</v>
      </c>
      <c r="F94" s="47">
        <f t="shared" si="23"/>
        <v>2</v>
      </c>
      <c r="G94" s="449">
        <f t="shared" si="23"/>
        <v>1</v>
      </c>
      <c r="H94" s="11"/>
      <c r="I94" s="46" t="s">
        <v>345</v>
      </c>
      <c r="J94" s="47">
        <f t="shared" ref="J94:O94" si="24">J92+J93</f>
        <v>9</v>
      </c>
      <c r="K94" s="449">
        <f t="shared" si="24"/>
        <v>1</v>
      </c>
      <c r="L94" s="47">
        <f t="shared" si="24"/>
        <v>4</v>
      </c>
      <c r="M94" s="449">
        <f t="shared" si="24"/>
        <v>1</v>
      </c>
      <c r="N94" s="47">
        <f t="shared" si="24"/>
        <v>2</v>
      </c>
      <c r="O94" s="449">
        <f t="shared" si="24"/>
        <v>1</v>
      </c>
    </row>
    <row r="95" spans="1:15">
      <c r="A95" s="52" t="s">
        <v>349</v>
      </c>
      <c r="B95" s="92" t="str">
        <f>'Khi2'!R611</f>
        <v>0.06*</v>
      </c>
      <c r="C95" s="35"/>
      <c r="D95" s="92"/>
      <c r="E95" s="35"/>
      <c r="F95" s="92"/>
      <c r="G95" s="35"/>
      <c r="H95" s="11"/>
      <c r="I95" s="52" t="s">
        <v>349</v>
      </c>
      <c r="J95" s="92" t="str">
        <f>'Khi2'!R619</f>
        <v>0.83*</v>
      </c>
      <c r="K95" s="35"/>
      <c r="L95" s="92"/>
      <c r="M95" s="35"/>
      <c r="N95" s="92"/>
      <c r="O95" s="35"/>
    </row>
    <row r="96" spans="1:15">
      <c r="A96" s="45"/>
      <c r="B96" s="45"/>
      <c r="C96" s="45"/>
      <c r="D96" s="45"/>
      <c r="E96" s="45"/>
      <c r="F96" s="45"/>
      <c r="G96" s="45"/>
      <c r="H96" s="11"/>
      <c r="I96" s="45"/>
      <c r="J96" s="45"/>
      <c r="K96" s="45"/>
      <c r="L96" s="45"/>
      <c r="M96" s="45"/>
      <c r="N96" s="45"/>
      <c r="O96" s="45"/>
    </row>
    <row r="97" spans="1:15">
      <c r="A97" s="590" t="s">
        <v>832</v>
      </c>
      <c r="B97" s="605"/>
      <c r="C97" s="605"/>
      <c r="D97" s="605"/>
      <c r="E97" s="605"/>
      <c r="F97" s="605"/>
      <c r="G97" s="605"/>
      <c r="H97" s="11"/>
      <c r="I97" s="590" t="s">
        <v>825</v>
      </c>
      <c r="J97" s="605"/>
      <c r="K97" s="605"/>
      <c r="L97" s="605"/>
      <c r="M97" s="605"/>
      <c r="N97" s="605"/>
      <c r="O97" s="605"/>
    </row>
    <row r="98" spans="1:15">
      <c r="A98" s="618" t="s">
        <v>322</v>
      </c>
      <c r="B98" s="615"/>
      <c r="C98" s="615"/>
      <c r="D98" s="615"/>
      <c r="E98" s="615"/>
      <c r="F98" s="615"/>
      <c r="G98" s="615"/>
      <c r="H98" s="45"/>
      <c r="I98" s="618"/>
      <c r="J98" s="615"/>
      <c r="K98" s="615"/>
      <c r="L98" s="615"/>
      <c r="M98" s="615"/>
      <c r="N98" s="615"/>
      <c r="O98" s="615"/>
    </row>
    <row r="99" spans="1:15">
      <c r="A99" s="609" t="s">
        <v>637</v>
      </c>
      <c r="B99" s="610"/>
      <c r="C99" s="610"/>
      <c r="D99" s="610"/>
      <c r="E99" s="610"/>
      <c r="F99" s="610"/>
      <c r="G99" s="610"/>
      <c r="H99" s="33"/>
      <c r="I99" s="609" t="s">
        <v>637</v>
      </c>
      <c r="J99" s="610"/>
      <c r="K99" s="610"/>
      <c r="L99" s="610"/>
      <c r="M99" s="610"/>
      <c r="N99" s="610"/>
      <c r="O99" s="610"/>
    </row>
    <row r="100" spans="1:15">
      <c r="A100" s="598"/>
      <c r="B100" s="599" t="s">
        <v>86</v>
      </c>
      <c r="C100" s="600"/>
      <c r="D100" s="599" t="s">
        <v>87</v>
      </c>
      <c r="E100" s="600"/>
      <c r="F100" s="595" t="s">
        <v>90</v>
      </c>
      <c r="G100" s="596"/>
      <c r="H100" s="45"/>
      <c r="I100" s="593"/>
      <c r="J100" s="599" t="s">
        <v>86</v>
      </c>
      <c r="K100" s="600"/>
      <c r="L100" s="599" t="s">
        <v>87</v>
      </c>
      <c r="M100" s="600"/>
      <c r="N100" s="595" t="s">
        <v>90</v>
      </c>
      <c r="O100" s="596"/>
    </row>
    <row r="101" spans="1:15">
      <c r="A101" s="594"/>
      <c r="B101" s="14" t="s">
        <v>103</v>
      </c>
      <c r="C101" s="14" t="s">
        <v>104</v>
      </c>
      <c r="D101" s="10" t="s">
        <v>103</v>
      </c>
      <c r="E101" s="14" t="s">
        <v>104</v>
      </c>
      <c r="F101" s="10" t="s">
        <v>103</v>
      </c>
      <c r="G101" s="14" t="s">
        <v>104</v>
      </c>
      <c r="H101" s="45"/>
      <c r="I101" s="594"/>
      <c r="J101" s="14" t="s">
        <v>103</v>
      </c>
      <c r="K101" s="14" t="s">
        <v>104</v>
      </c>
      <c r="L101" s="10" t="s">
        <v>103</v>
      </c>
      <c r="M101" s="14" t="s">
        <v>104</v>
      </c>
      <c r="N101" s="10" t="s">
        <v>103</v>
      </c>
      <c r="O101" s="14" t="s">
        <v>104</v>
      </c>
    </row>
    <row r="102" spans="1:15">
      <c r="A102" s="32" t="s">
        <v>323</v>
      </c>
      <c r="B102" s="14">
        <f>GETPIVOTDATA("Répondant",Croisements!$H$214,"Question 9.2",1,"L'âge regrouper",1)+GETPIVOTDATA("Répondant",Croisements!$H$214,"Question 9.2",2,"L'âge regrouper",1)</f>
        <v>3</v>
      </c>
      <c r="C102" s="16">
        <f>B102/B104</f>
        <v>0.33333333333333331</v>
      </c>
      <c r="D102" s="14">
        <f>GETPIVOTDATA("Répondant",Croisements!$H$214,"Question 9.2",1,"L'âge regrouper",2)+GETPIVOTDATA("Répondant",Croisements!$H$214,"Question 9.2",2,"L'âge regrouper",2)</f>
        <v>3</v>
      </c>
      <c r="E102" s="16">
        <f>D102/D104</f>
        <v>0.75</v>
      </c>
      <c r="F102" s="14">
        <f>GETPIVOTDATA("Répondant",Croisements!$H$214,"Question 9.2",1,"L'âge regrouper",3)+GETPIVOTDATA("Répondant",Croisements!$H$214,"Question 9.2",2,"L'âge regrouper",3)</f>
        <v>2</v>
      </c>
      <c r="G102" s="16">
        <f>F102/F104</f>
        <v>1</v>
      </c>
      <c r="H102" s="45"/>
      <c r="I102" s="32" t="s">
        <v>79</v>
      </c>
      <c r="J102" s="14">
        <f>GETPIVOTDATA("Répondant",Croisements!$H$225,"Question 10.1",1,"L'âge regrouper",1)+GETPIVOTDATA("Répondant",Croisements!$H$225,"Question 10.1",2,"L'âge regrouper",1)</f>
        <v>4</v>
      </c>
      <c r="K102" s="16">
        <f>J102/J104</f>
        <v>0.44444444444444442</v>
      </c>
      <c r="L102" s="14">
        <f>GETPIVOTDATA("Répondant",Croisements!$H$225,"Question 10.1",1,"L'âge regrouper",2)+GETPIVOTDATA("Répondant",Croisements!$H$225,"Question 10.1",2,"L'âge regrouper",2)</f>
        <v>4</v>
      </c>
      <c r="M102" s="16">
        <f>L102/L104</f>
        <v>1</v>
      </c>
      <c r="N102" s="14">
        <f>GETPIVOTDATA("Répondant",Croisements!$H$225,"Question 10.1",1,"L'âge regrouper",3)+GETPIVOTDATA("Répondant",Croisements!$H$225,"Question 10.1",2,"L'âge regrouper",3)</f>
        <v>1</v>
      </c>
      <c r="O102" s="16">
        <f>N102/N104</f>
        <v>0.5</v>
      </c>
    </row>
    <row r="103" spans="1:15">
      <c r="A103" s="32" t="s">
        <v>324</v>
      </c>
      <c r="B103" s="14">
        <f>GETPIVOTDATA("Répondant",Croisements!$H$214,"Question 9.2",3,"L'âge regrouper",1)+GETPIVOTDATA("Répondant",Croisements!$H$214,"Question 9.2",4,"L'âge regrouper",1)</f>
        <v>6</v>
      </c>
      <c r="C103" s="16">
        <f>B103/B104</f>
        <v>0.66666666666666663</v>
      </c>
      <c r="D103" s="14">
        <f>GETPIVOTDATA("Répondant",Croisements!$H$214,"Question 9.2",3,"L'âge regrouper",2)+GETPIVOTDATA("Répondant",Croisements!$H$214,"Question 9.2",4,"L'âge regrouper",2)</f>
        <v>1</v>
      </c>
      <c r="E103" s="16">
        <f>D103/D104</f>
        <v>0.25</v>
      </c>
      <c r="F103" s="14">
        <f>GETPIVOTDATA("Répondant",Croisements!$H$214,"Question 9.2",3,"L'âge regrouper",3)+GETPIVOTDATA("Répondant",Croisements!$H$214,"Question 9.2",4,"L'âge regrouper",3)</f>
        <v>0</v>
      </c>
      <c r="G103" s="16">
        <f>F103/F104</f>
        <v>0</v>
      </c>
      <c r="H103" s="45"/>
      <c r="I103" s="32" t="s">
        <v>80</v>
      </c>
      <c r="J103" s="14">
        <f>GETPIVOTDATA("Répondant",Croisements!$H$225,"Question 10.1",3,"L'âge regrouper",1)+GETPIVOTDATA("Répondant",Croisements!$H$225,"Question 10.1",4,"L'âge regrouper",1)</f>
        <v>5</v>
      </c>
      <c r="K103" s="16">
        <f>J103/J104</f>
        <v>0.55555555555555558</v>
      </c>
      <c r="L103" s="14">
        <f>GETPIVOTDATA("Répondant",Croisements!$H$225,"Question 10.1",3,"L'âge regrouper",2)+GETPIVOTDATA("Répondant",Croisements!$H$225,"Question 10.1",4,"L'âge regrouper",2)</f>
        <v>0</v>
      </c>
      <c r="M103" s="16">
        <f>L103/L104</f>
        <v>0</v>
      </c>
      <c r="N103" s="14">
        <f>GETPIVOTDATA("Répondant",Croisements!$H$225,"Question 10.1",3,"L'âge regrouper",3)+GETPIVOTDATA("Répondant",Croisements!$H$225,"Question 10.1",4,"L'âge regrouper",3)</f>
        <v>1</v>
      </c>
      <c r="O103" s="16">
        <f>N103/N104</f>
        <v>0.5</v>
      </c>
    </row>
    <row r="104" spans="1:15">
      <c r="A104" s="46" t="s">
        <v>345</v>
      </c>
      <c r="B104" s="47">
        <f t="shared" ref="B104:G104" si="25">B102+B103</f>
        <v>9</v>
      </c>
      <c r="C104" s="449">
        <f t="shared" si="25"/>
        <v>1</v>
      </c>
      <c r="D104" s="47">
        <f t="shared" si="25"/>
        <v>4</v>
      </c>
      <c r="E104" s="449">
        <f t="shared" si="25"/>
        <v>1</v>
      </c>
      <c r="F104" s="47">
        <f t="shared" si="25"/>
        <v>2</v>
      </c>
      <c r="G104" s="449">
        <f t="shared" si="25"/>
        <v>1</v>
      </c>
      <c r="H104" s="45"/>
      <c r="I104" s="46" t="s">
        <v>345</v>
      </c>
      <c r="J104" s="47">
        <f t="shared" ref="J104:O104" si="26">J102+J103</f>
        <v>9</v>
      </c>
      <c r="K104" s="449">
        <f t="shared" si="26"/>
        <v>1</v>
      </c>
      <c r="L104" s="47">
        <f t="shared" si="26"/>
        <v>4</v>
      </c>
      <c r="M104" s="449">
        <f t="shared" si="26"/>
        <v>1</v>
      </c>
      <c r="N104" s="47">
        <f t="shared" si="26"/>
        <v>2</v>
      </c>
      <c r="O104" s="449">
        <f t="shared" si="26"/>
        <v>1</v>
      </c>
    </row>
    <row r="105" spans="1:15">
      <c r="A105" s="52" t="s">
        <v>349</v>
      </c>
      <c r="B105" s="92">
        <f>'Khi2'!R627</f>
        <v>0.05</v>
      </c>
      <c r="C105" s="35"/>
      <c r="D105" s="92"/>
      <c r="E105" s="35"/>
      <c r="F105" s="92"/>
      <c r="G105" s="35"/>
      <c r="H105" s="45"/>
      <c r="I105" s="52" t="s">
        <v>349</v>
      </c>
      <c r="J105" s="92" t="str">
        <f>'Khi2'!R635</f>
        <v>0.06*</v>
      </c>
      <c r="K105" s="35"/>
      <c r="L105" s="92"/>
      <c r="M105" s="35"/>
      <c r="N105" s="92"/>
      <c r="O105" s="35"/>
    </row>
    <row r="106" spans="1:15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</row>
    <row r="107" spans="1:15">
      <c r="A107" s="590" t="s">
        <v>833</v>
      </c>
      <c r="B107" s="605"/>
      <c r="C107" s="605"/>
      <c r="D107" s="605"/>
      <c r="E107" s="605"/>
      <c r="F107" s="605"/>
      <c r="G107" s="605"/>
      <c r="H107" s="45"/>
      <c r="I107" s="590" t="s">
        <v>834</v>
      </c>
      <c r="J107" s="605"/>
      <c r="K107" s="605"/>
      <c r="L107" s="605"/>
      <c r="M107" s="605"/>
      <c r="N107" s="605"/>
      <c r="O107" s="605"/>
    </row>
    <row r="108" spans="1:15">
      <c r="A108" s="601" t="s">
        <v>325</v>
      </c>
      <c r="B108" s="607"/>
      <c r="C108" s="607"/>
      <c r="D108" s="607"/>
      <c r="E108" s="607"/>
      <c r="F108" s="607"/>
      <c r="G108" s="607"/>
      <c r="H108" s="45"/>
      <c r="I108" s="615" t="s">
        <v>89</v>
      </c>
      <c r="J108" s="615"/>
      <c r="K108" s="615"/>
      <c r="L108" s="615"/>
      <c r="M108" s="615"/>
      <c r="N108" s="615"/>
      <c r="O108" s="615"/>
    </row>
    <row r="109" spans="1:15">
      <c r="A109" s="609" t="s">
        <v>637</v>
      </c>
      <c r="B109" s="610"/>
      <c r="C109" s="610"/>
      <c r="D109" s="610"/>
      <c r="E109" s="610"/>
      <c r="F109" s="610"/>
      <c r="G109" s="610"/>
      <c r="H109" s="33"/>
      <c r="I109" s="609" t="s">
        <v>637</v>
      </c>
      <c r="J109" s="610"/>
      <c r="K109" s="610"/>
      <c r="L109" s="610"/>
      <c r="M109" s="610"/>
      <c r="N109" s="610"/>
      <c r="O109" s="610"/>
    </row>
    <row r="110" spans="1:15">
      <c r="A110" s="598"/>
      <c r="B110" s="599" t="s">
        <v>86</v>
      </c>
      <c r="C110" s="600"/>
      <c r="D110" s="599" t="s">
        <v>87</v>
      </c>
      <c r="E110" s="600"/>
      <c r="F110" s="595" t="s">
        <v>90</v>
      </c>
      <c r="G110" s="596"/>
      <c r="H110" s="11"/>
      <c r="I110" s="593"/>
      <c r="J110" s="599" t="s">
        <v>86</v>
      </c>
      <c r="K110" s="600"/>
      <c r="L110" s="599" t="s">
        <v>87</v>
      </c>
      <c r="M110" s="600"/>
      <c r="N110" s="595" t="s">
        <v>90</v>
      </c>
      <c r="O110" s="596"/>
    </row>
    <row r="111" spans="1:15">
      <c r="A111" s="594"/>
      <c r="B111" s="14" t="s">
        <v>103</v>
      </c>
      <c r="C111" s="14" t="s">
        <v>104</v>
      </c>
      <c r="D111" s="10" t="s">
        <v>103</v>
      </c>
      <c r="E111" s="14" t="s">
        <v>104</v>
      </c>
      <c r="F111" s="10" t="s">
        <v>103</v>
      </c>
      <c r="G111" s="14" t="s">
        <v>104</v>
      </c>
      <c r="I111" s="594"/>
      <c r="J111" s="14" t="s">
        <v>103</v>
      </c>
      <c r="K111" s="14" t="s">
        <v>104</v>
      </c>
      <c r="L111" s="10" t="s">
        <v>103</v>
      </c>
      <c r="M111" s="14" t="s">
        <v>104</v>
      </c>
      <c r="N111" s="10" t="s">
        <v>103</v>
      </c>
      <c r="O111" s="14" t="s">
        <v>104</v>
      </c>
    </row>
    <row r="112" spans="1:15">
      <c r="A112" s="32" t="s">
        <v>79</v>
      </c>
      <c r="B112" s="14">
        <f>GETPIVOTDATA("Répondant",Croisements!$H$236,"Question 10.2",1,"L'âge regrouper",1)+GETPIVOTDATA("Répondant",Croisements!$H$236,"Question 10.2",2,"L'âge regrouper",1)</f>
        <v>6</v>
      </c>
      <c r="C112" s="16">
        <f>B112/B114</f>
        <v>0.66666666666666663</v>
      </c>
      <c r="D112" s="14">
        <f>GETPIVOTDATA("Répondant",Croisements!$H$236,"Question 10.2",1,"L'âge regrouper",2)+GETPIVOTDATA("Répondant",Croisements!$H$236,"Question 10.2",2,"L'âge regrouper",2)</f>
        <v>3</v>
      </c>
      <c r="E112" s="16">
        <f>D112/D114</f>
        <v>0.75</v>
      </c>
      <c r="F112" s="14">
        <f>GETPIVOTDATA("Répondant",Croisements!$H$236,"Question 10.2",1,"L'âge regrouper",3)+GETPIVOTDATA("Répondant",Croisements!$H$236,"Question 10.2",2,"L'âge regrouper",3)</f>
        <v>2</v>
      </c>
      <c r="G112" s="16">
        <f>F112/F114</f>
        <v>1</v>
      </c>
      <c r="H112" s="11"/>
      <c r="I112" s="32" t="s">
        <v>35</v>
      </c>
      <c r="J112" s="14">
        <f>GETPIVOTDATA("Répondant",Croisements!$H$247,"Question 11",1,"L'âge regrouper",1)</f>
        <v>6</v>
      </c>
      <c r="K112" s="16">
        <f>J112/J114</f>
        <v>0.66666666666666663</v>
      </c>
      <c r="L112" s="14">
        <f>GETPIVOTDATA("Répondant",Croisements!$H$247,"Question 11",1,"L'âge regrouper",2)</f>
        <v>2</v>
      </c>
      <c r="M112" s="16">
        <f>L112/L114</f>
        <v>0.5</v>
      </c>
      <c r="N112" s="14">
        <f>GETPIVOTDATA("Répondant",Croisements!$H$247,"Question 11",1,"L'âge regrouper",3)</f>
        <v>0</v>
      </c>
      <c r="O112" s="16">
        <f>N112/N114</f>
        <v>0</v>
      </c>
    </row>
    <row r="113" spans="1:15">
      <c r="A113" s="32" t="s">
        <v>80</v>
      </c>
      <c r="B113" s="14">
        <f>GETPIVOTDATA("Répondant",Croisements!$H$236,"Question 10.2",3,"L'âge regrouper",1)+GETPIVOTDATA("Répondant",Croisements!$H$236,"Question 10.2",4,"L'âge regrouper",1)</f>
        <v>3</v>
      </c>
      <c r="C113" s="16">
        <f>B113/B114</f>
        <v>0.33333333333333331</v>
      </c>
      <c r="D113" s="14">
        <f>GETPIVOTDATA("Répondant",Croisements!$H$236,"Question 10.2",3,"L'âge regrouper",2)+GETPIVOTDATA("Répondant",Croisements!$H$236,"Question 10.2",4,"L'âge regrouper",2)</f>
        <v>1</v>
      </c>
      <c r="E113" s="16">
        <f>D113/D114</f>
        <v>0.25</v>
      </c>
      <c r="F113" s="14">
        <f>GETPIVOTDATA("Répondant",Croisements!$H$236,"Question 10.2",3,"L'âge regrouper",3)+GETPIVOTDATA("Répondant",Croisements!$H$236,"Question 10.2",4,"L'âge regrouper",3)</f>
        <v>0</v>
      </c>
      <c r="G113" s="16">
        <f>F113/F114</f>
        <v>0</v>
      </c>
      <c r="H113" s="11"/>
      <c r="I113" s="32" t="s">
        <v>36</v>
      </c>
      <c r="J113" s="14">
        <f>GETPIVOTDATA("Répondant",Croisements!$H$247,"Question 11",2,"L'âge regrouper",1)</f>
        <v>3</v>
      </c>
      <c r="K113" s="16">
        <f>J113/J114</f>
        <v>0.33333333333333331</v>
      </c>
      <c r="L113" s="14">
        <f>GETPIVOTDATA("Répondant",Croisements!$H$247,"Question 11",2,"L'âge regrouper",2)</f>
        <v>2</v>
      </c>
      <c r="M113" s="16">
        <f>L113/L114</f>
        <v>0.5</v>
      </c>
      <c r="N113" s="14">
        <f>GETPIVOTDATA("Répondant",Croisements!$H$247,"Question 11",2,"L'âge regrouper",3)</f>
        <v>2</v>
      </c>
      <c r="O113" s="16">
        <f>N113/N114</f>
        <v>1</v>
      </c>
    </row>
    <row r="114" spans="1:15">
      <c r="A114" s="46" t="s">
        <v>345</v>
      </c>
      <c r="B114" s="47">
        <f t="shared" ref="B114:G114" si="27">B112+B113</f>
        <v>9</v>
      </c>
      <c r="C114" s="449">
        <f t="shared" si="27"/>
        <v>1</v>
      </c>
      <c r="D114" s="47">
        <f t="shared" si="27"/>
        <v>4</v>
      </c>
      <c r="E114" s="449">
        <f t="shared" si="27"/>
        <v>1</v>
      </c>
      <c r="F114" s="47">
        <f t="shared" si="27"/>
        <v>2</v>
      </c>
      <c r="G114" s="449">
        <f t="shared" si="27"/>
        <v>1</v>
      </c>
      <c r="I114" s="46" t="s">
        <v>345</v>
      </c>
      <c r="J114" s="47">
        <f t="shared" ref="J114:O114" si="28">J112+J113</f>
        <v>9</v>
      </c>
      <c r="K114" s="449">
        <f t="shared" si="28"/>
        <v>1</v>
      </c>
      <c r="L114" s="47">
        <f t="shared" si="28"/>
        <v>4</v>
      </c>
      <c r="M114" s="449">
        <f t="shared" si="28"/>
        <v>1</v>
      </c>
      <c r="N114" s="47">
        <f t="shared" si="28"/>
        <v>2</v>
      </c>
      <c r="O114" s="449">
        <f t="shared" si="28"/>
        <v>1</v>
      </c>
    </row>
    <row r="115" spans="1:15">
      <c r="A115" s="52" t="s">
        <v>349</v>
      </c>
      <c r="B115" s="92" t="str">
        <f>'Khi2'!R643</f>
        <v>0.33*</v>
      </c>
      <c r="C115" s="35"/>
      <c r="D115" s="92"/>
      <c r="E115" s="35"/>
      <c r="F115" s="92"/>
      <c r="G115" s="35"/>
      <c r="H115" s="11"/>
      <c r="I115" s="52" t="s">
        <v>349</v>
      </c>
      <c r="J115" s="92" t="str">
        <f>'Khi2'!R651</f>
        <v>0.09*</v>
      </c>
      <c r="K115" s="35"/>
      <c r="L115" s="92"/>
      <c r="M115" s="35"/>
      <c r="N115" s="92"/>
      <c r="O115" s="35"/>
    </row>
    <row r="116" spans="1:15">
      <c r="A116" s="45"/>
      <c r="B116" s="45"/>
      <c r="C116" s="45"/>
      <c r="D116" s="45"/>
      <c r="E116" s="45"/>
      <c r="F116" s="45"/>
      <c r="G116" s="45"/>
      <c r="H116" s="11"/>
      <c r="I116" s="45"/>
      <c r="J116" s="45"/>
      <c r="K116" s="45"/>
      <c r="L116" s="45"/>
      <c r="M116" s="45"/>
      <c r="N116" s="45"/>
      <c r="O116" s="45"/>
    </row>
    <row r="117" spans="1:15">
      <c r="A117" s="590" t="s">
        <v>835</v>
      </c>
      <c r="B117" s="605"/>
      <c r="C117" s="605"/>
      <c r="D117" s="605"/>
      <c r="E117" s="605"/>
      <c r="F117" s="605"/>
      <c r="G117" s="605"/>
      <c r="H117" s="11"/>
      <c r="I117" s="590" t="s">
        <v>836</v>
      </c>
      <c r="J117" s="605"/>
      <c r="K117" s="605"/>
      <c r="L117" s="605"/>
      <c r="M117" s="605"/>
      <c r="N117" s="605"/>
      <c r="O117" s="605"/>
    </row>
    <row r="118" spans="1:15">
      <c r="A118" s="618" t="s">
        <v>326</v>
      </c>
      <c r="B118" s="615"/>
      <c r="C118" s="615"/>
      <c r="D118" s="615"/>
      <c r="E118" s="615"/>
      <c r="F118" s="615"/>
      <c r="G118" s="615"/>
      <c r="H118" s="45"/>
      <c r="I118" s="601" t="s">
        <v>202</v>
      </c>
      <c r="J118" s="607"/>
      <c r="K118" s="607"/>
      <c r="L118" s="607"/>
      <c r="M118" s="607"/>
      <c r="N118" s="607"/>
      <c r="O118" s="607"/>
    </row>
    <row r="119" spans="1:15">
      <c r="A119" s="609" t="s">
        <v>637</v>
      </c>
      <c r="B119" s="610"/>
      <c r="C119" s="610"/>
      <c r="D119" s="610"/>
      <c r="E119" s="610"/>
      <c r="F119" s="610"/>
      <c r="G119" s="610"/>
      <c r="H119" s="33"/>
      <c r="I119" s="633" t="s">
        <v>637</v>
      </c>
      <c r="J119" s="655"/>
      <c r="K119" s="655"/>
      <c r="L119" s="655"/>
      <c r="M119" s="655"/>
      <c r="N119" s="655"/>
      <c r="O119" s="655"/>
    </row>
    <row r="120" spans="1:15">
      <c r="A120" s="598"/>
      <c r="B120" s="599" t="s">
        <v>86</v>
      </c>
      <c r="C120" s="600"/>
      <c r="D120" s="599" t="s">
        <v>87</v>
      </c>
      <c r="E120" s="600"/>
      <c r="F120" s="595" t="s">
        <v>90</v>
      </c>
      <c r="G120" s="596"/>
      <c r="H120" s="11"/>
      <c r="I120" s="593"/>
      <c r="J120" s="599" t="s">
        <v>86</v>
      </c>
      <c r="K120" s="600"/>
      <c r="L120" s="599" t="s">
        <v>87</v>
      </c>
      <c r="M120" s="600"/>
      <c r="N120" s="595" t="s">
        <v>90</v>
      </c>
      <c r="O120" s="596"/>
    </row>
    <row r="121" spans="1:15">
      <c r="A121" s="594"/>
      <c r="B121" s="14" t="s">
        <v>103</v>
      </c>
      <c r="C121" s="14" t="s">
        <v>104</v>
      </c>
      <c r="D121" s="10" t="s">
        <v>103</v>
      </c>
      <c r="E121" s="14" t="s">
        <v>104</v>
      </c>
      <c r="F121" s="10" t="s">
        <v>103</v>
      </c>
      <c r="G121" s="14" t="s">
        <v>104</v>
      </c>
      <c r="H121" s="11"/>
      <c r="I121" s="594"/>
      <c r="J121" s="14" t="s">
        <v>103</v>
      </c>
      <c r="K121" s="14" t="s">
        <v>104</v>
      </c>
      <c r="L121" s="10" t="s">
        <v>103</v>
      </c>
      <c r="M121" s="14" t="s">
        <v>104</v>
      </c>
      <c r="N121" s="10" t="s">
        <v>103</v>
      </c>
      <c r="O121" s="14" t="s">
        <v>104</v>
      </c>
    </row>
    <row r="122" spans="1:15">
      <c r="A122" s="15" t="s">
        <v>35</v>
      </c>
      <c r="B122" s="14">
        <f>GETPIVOTDATA("Répondant",Croisements!$H$256,"Question 12",1,"L'âge regrouper",1)</f>
        <v>4</v>
      </c>
      <c r="C122" s="16">
        <f>B122/B124</f>
        <v>0.44444444444444442</v>
      </c>
      <c r="D122" s="14">
        <f>GETPIVOTDATA("Répondant",Croisements!$H$256,"Question 12",1,"L'âge regrouper",2)</f>
        <v>3</v>
      </c>
      <c r="E122" s="16">
        <f>D122/D124</f>
        <v>0.75</v>
      </c>
      <c r="F122" s="14">
        <f>GETPIVOTDATA("Répondant",Croisements!$H$256,"Question 12",1,"L'âge regrouper",3)</f>
        <v>1</v>
      </c>
      <c r="G122" s="16">
        <f>F122/F124</f>
        <v>0.5</v>
      </c>
      <c r="H122" s="11"/>
      <c r="I122" s="15" t="s">
        <v>35</v>
      </c>
      <c r="J122" s="14">
        <f>GETPIVOTDATA("Répondant",Croisements!$H$265,"Question 13",1,"L'âge regrouper",1)</f>
        <v>4</v>
      </c>
      <c r="K122" s="16">
        <f>J122/J124</f>
        <v>0.44444444444444442</v>
      </c>
      <c r="L122" s="14">
        <f>GETPIVOTDATA("Répondant",Croisements!$H$265,"Question 13",1,"L'âge regrouper",2)</f>
        <v>1</v>
      </c>
      <c r="M122" s="16">
        <f>L122/L124</f>
        <v>0.25</v>
      </c>
      <c r="N122" s="14">
        <f>GETPIVOTDATA("Répondant",Croisements!$H$265,"Question 13",1,"L'âge regrouper",3)</f>
        <v>2</v>
      </c>
      <c r="O122" s="16">
        <f>N122/N124</f>
        <v>1</v>
      </c>
    </row>
    <row r="123" spans="1:15">
      <c r="A123" s="15" t="s">
        <v>36</v>
      </c>
      <c r="B123" s="14">
        <f>GETPIVOTDATA("Répondant",Croisements!$H$256,"Question 12",2,"L'âge regrouper",1)</f>
        <v>5</v>
      </c>
      <c r="C123" s="16">
        <f>B123/B124</f>
        <v>0.55555555555555558</v>
      </c>
      <c r="D123" s="14">
        <f>GETPIVOTDATA("Répondant",Croisements!$H$256,"Question 12",2,"L'âge regrouper",2)</f>
        <v>1</v>
      </c>
      <c r="E123" s="16">
        <f>D123/D124</f>
        <v>0.25</v>
      </c>
      <c r="F123" s="14">
        <f>GETPIVOTDATA("Répondant",Croisements!$H$256,"Question 12",2,"L'âge regrouper",3)</f>
        <v>1</v>
      </c>
      <c r="G123" s="16">
        <f>F123/F124</f>
        <v>0.5</v>
      </c>
      <c r="H123" s="11"/>
      <c r="I123" s="15" t="s">
        <v>36</v>
      </c>
      <c r="J123" s="14">
        <f>GETPIVOTDATA("Répondant",Croisements!$H$265,"Question 13",2,"L'âge regrouper",1)</f>
        <v>5</v>
      </c>
      <c r="K123" s="16">
        <f>J123/J124</f>
        <v>0.55555555555555558</v>
      </c>
      <c r="L123" s="14">
        <f>GETPIVOTDATA("Répondant",Croisements!$H$265,"Question 13",2,"L'âge regrouper",2)</f>
        <v>3</v>
      </c>
      <c r="M123" s="16">
        <f>L123/L124</f>
        <v>0.75</v>
      </c>
      <c r="N123" s="14">
        <f>GETPIVOTDATA("Répondant",Croisements!$H$265,"Question 13",2,"L'âge regrouper",3)</f>
        <v>0</v>
      </c>
      <c r="O123" s="16">
        <f>N123/N124</f>
        <v>0</v>
      </c>
    </row>
    <row r="124" spans="1:15">
      <c r="A124" s="46" t="s">
        <v>345</v>
      </c>
      <c r="B124" s="47">
        <f t="shared" ref="B124:G124" si="29">B122+B123</f>
        <v>9</v>
      </c>
      <c r="C124" s="449">
        <f t="shared" si="29"/>
        <v>1</v>
      </c>
      <c r="D124" s="47">
        <f t="shared" si="29"/>
        <v>4</v>
      </c>
      <c r="E124" s="449">
        <f t="shared" si="29"/>
        <v>1</v>
      </c>
      <c r="F124" s="47">
        <f t="shared" si="29"/>
        <v>2</v>
      </c>
      <c r="G124" s="449">
        <f t="shared" si="29"/>
        <v>1</v>
      </c>
      <c r="I124" s="46" t="s">
        <v>345</v>
      </c>
      <c r="J124" s="47">
        <f t="shared" ref="J124:O124" si="30">J122+J123</f>
        <v>9</v>
      </c>
      <c r="K124" s="449">
        <f t="shared" si="30"/>
        <v>1</v>
      </c>
      <c r="L124" s="47">
        <f t="shared" si="30"/>
        <v>4</v>
      </c>
      <c r="M124" s="449">
        <f t="shared" si="30"/>
        <v>1</v>
      </c>
      <c r="N124" s="47">
        <f t="shared" si="30"/>
        <v>2</v>
      </c>
      <c r="O124" s="449">
        <f t="shared" si="30"/>
        <v>1</v>
      </c>
    </row>
    <row r="125" spans="1:15">
      <c r="A125" s="52" t="s">
        <v>349</v>
      </c>
      <c r="B125" s="92" t="str">
        <f>'Khi2'!R659</f>
        <v>0.31*</v>
      </c>
      <c r="C125" s="35"/>
      <c r="D125" s="92"/>
      <c r="E125" s="35"/>
      <c r="F125" s="92"/>
      <c r="G125" s="35"/>
      <c r="H125" s="11"/>
      <c r="I125" s="52" t="s">
        <v>349</v>
      </c>
      <c r="J125" s="92" t="str">
        <f>'Khi2'!R667</f>
        <v>0.08*</v>
      </c>
      <c r="K125" s="35"/>
      <c r="L125" s="92"/>
      <c r="M125" s="35"/>
      <c r="N125" s="92"/>
      <c r="O125" s="35"/>
    </row>
    <row r="126" spans="1:15">
      <c r="A126" s="45"/>
      <c r="B126" s="45"/>
      <c r="C126" s="45"/>
      <c r="D126" s="45"/>
      <c r="E126" s="45"/>
      <c r="F126" s="45"/>
      <c r="G126" s="45"/>
      <c r="H126" s="11"/>
      <c r="I126" s="45"/>
      <c r="J126" s="45"/>
      <c r="K126" s="45"/>
      <c r="L126" s="45"/>
      <c r="M126" s="45"/>
      <c r="N126" s="45"/>
      <c r="O126" s="45"/>
    </row>
    <row r="127" spans="1:15">
      <c r="A127" s="590" t="s">
        <v>837</v>
      </c>
      <c r="B127" s="605"/>
      <c r="C127" s="605"/>
      <c r="D127" s="605"/>
      <c r="E127" s="605"/>
      <c r="F127" s="605"/>
      <c r="G127" s="605"/>
      <c r="H127" s="11"/>
      <c r="I127" s="590" t="s">
        <v>838</v>
      </c>
      <c r="J127" s="605"/>
      <c r="K127" s="605"/>
      <c r="L127" s="605"/>
      <c r="M127" s="605"/>
      <c r="N127" s="605"/>
      <c r="O127" s="605"/>
    </row>
    <row r="128" spans="1:15">
      <c r="A128" s="601" t="s">
        <v>327</v>
      </c>
      <c r="B128" s="607"/>
      <c r="C128" s="607"/>
      <c r="D128" s="607"/>
      <c r="E128" s="607"/>
      <c r="F128" s="607"/>
      <c r="G128" s="607"/>
      <c r="H128" s="45"/>
      <c r="I128" s="601" t="s">
        <v>486</v>
      </c>
      <c r="J128" s="607"/>
      <c r="K128" s="607"/>
      <c r="L128" s="607"/>
      <c r="M128" s="607"/>
      <c r="N128" s="607"/>
      <c r="O128" s="607"/>
    </row>
    <row r="129" spans="1:15">
      <c r="A129" s="609" t="s">
        <v>637</v>
      </c>
      <c r="B129" s="610"/>
      <c r="C129" s="610"/>
      <c r="D129" s="610"/>
      <c r="E129" s="610"/>
      <c r="F129" s="610"/>
      <c r="G129" s="610"/>
      <c r="H129" s="33"/>
      <c r="I129" s="609" t="s">
        <v>637</v>
      </c>
      <c r="J129" s="610"/>
      <c r="K129" s="610"/>
      <c r="L129" s="610"/>
      <c r="M129" s="610"/>
      <c r="N129" s="610"/>
      <c r="O129" s="610"/>
    </row>
    <row r="130" spans="1:15">
      <c r="A130" s="598"/>
      <c r="B130" s="599" t="s">
        <v>86</v>
      </c>
      <c r="C130" s="600"/>
      <c r="D130" s="599" t="s">
        <v>87</v>
      </c>
      <c r="E130" s="600"/>
      <c r="F130" s="595" t="s">
        <v>90</v>
      </c>
      <c r="G130" s="596"/>
      <c r="H130" s="11"/>
      <c r="I130" s="593"/>
      <c r="J130" s="599" t="s">
        <v>86</v>
      </c>
      <c r="K130" s="600"/>
      <c r="L130" s="599" t="s">
        <v>87</v>
      </c>
      <c r="M130" s="600"/>
      <c r="N130" s="595" t="s">
        <v>90</v>
      </c>
      <c r="O130" s="596"/>
    </row>
    <row r="131" spans="1:15">
      <c r="A131" s="594"/>
      <c r="B131" s="14" t="s">
        <v>103</v>
      </c>
      <c r="C131" s="14" t="s">
        <v>104</v>
      </c>
      <c r="D131" s="10" t="s">
        <v>103</v>
      </c>
      <c r="E131" s="14" t="s">
        <v>104</v>
      </c>
      <c r="F131" s="10" t="s">
        <v>103</v>
      </c>
      <c r="G131" s="14" t="s">
        <v>104</v>
      </c>
      <c r="H131" s="11"/>
      <c r="I131" s="594"/>
      <c r="J131" s="14" t="s">
        <v>103</v>
      </c>
      <c r="K131" s="14" t="s">
        <v>104</v>
      </c>
      <c r="L131" s="10" t="s">
        <v>103</v>
      </c>
      <c r="M131" s="14" t="s">
        <v>104</v>
      </c>
      <c r="N131" s="10" t="s">
        <v>103</v>
      </c>
      <c r="O131" s="14" t="s">
        <v>104</v>
      </c>
    </row>
    <row r="132" spans="1:15">
      <c r="A132" s="15" t="s">
        <v>35</v>
      </c>
      <c r="B132" s="14">
        <f>GETPIVOTDATA("Répondant",Croisements!$H$274,"Question 14.1",1,"L'âge regrouper",1)</f>
        <v>3</v>
      </c>
      <c r="C132" s="16">
        <f>B132/B134</f>
        <v>0.33333333333333331</v>
      </c>
      <c r="D132" s="14">
        <f>GETPIVOTDATA("Répondant",Croisements!$H$274,"Question 14.1",1,"L'âge regrouper",2)</f>
        <v>3</v>
      </c>
      <c r="E132" s="16">
        <f>D132/D134</f>
        <v>0.75</v>
      </c>
      <c r="F132" s="14">
        <f>GETPIVOTDATA("Répondant",Croisements!$H$274,"Question 14.1",1,"L'âge regrouper",3)</f>
        <v>2</v>
      </c>
      <c r="G132" s="16">
        <f>F132/F134</f>
        <v>1</v>
      </c>
      <c r="H132" s="11"/>
      <c r="I132" s="15" t="s">
        <v>35</v>
      </c>
      <c r="J132" s="14">
        <f>GETPIVOTDATA("Répondant",Croisements!$H$283,"Question 14.2",1,"L'âge regrouper",1)</f>
        <v>3</v>
      </c>
      <c r="K132" s="16">
        <f>J132/J134</f>
        <v>0.33333333333333331</v>
      </c>
      <c r="L132" s="14">
        <f>GETPIVOTDATA("Répondant",Croisements!$H$283,"Question 14.2",1,"L'âge regrouper",2)</f>
        <v>3</v>
      </c>
      <c r="M132" s="16">
        <f>L132/L134</f>
        <v>0.75</v>
      </c>
      <c r="N132" s="14">
        <f>GETPIVOTDATA("Répondant",Croisements!$H$283,"Question 14.2",1,"L'âge regrouper",3)</f>
        <v>0</v>
      </c>
      <c r="O132" s="16">
        <f>N132/N134</f>
        <v>0</v>
      </c>
    </row>
    <row r="133" spans="1:15">
      <c r="A133" s="15" t="s">
        <v>36</v>
      </c>
      <c r="B133" s="14">
        <f>GETPIVOTDATA("Répondant",Croisements!$H$274,"Question 14.1",2,"L'âge regrouper",1)</f>
        <v>6</v>
      </c>
      <c r="C133" s="16">
        <f>B133/B134</f>
        <v>0.66666666666666663</v>
      </c>
      <c r="D133" s="14">
        <f>GETPIVOTDATA("Répondant",Croisements!$H$274,"Question 14.1",2,"L'âge regrouper",2)</f>
        <v>1</v>
      </c>
      <c r="E133" s="16">
        <f>D133/D134</f>
        <v>0.25</v>
      </c>
      <c r="F133" s="14">
        <f>GETPIVOTDATA("Répondant",Croisements!$H$274,"Question 14.1",2,"L'âge regrouper",3)</f>
        <v>0</v>
      </c>
      <c r="G133" s="16">
        <f>F133/F134</f>
        <v>0</v>
      </c>
      <c r="I133" s="15" t="s">
        <v>36</v>
      </c>
      <c r="J133" s="14">
        <f>GETPIVOTDATA("Répondant",Croisements!$H$283,"Question 14.2",2,"L'âge regrouper",1)</f>
        <v>6</v>
      </c>
      <c r="K133" s="16">
        <f>J133/J134</f>
        <v>0.66666666666666663</v>
      </c>
      <c r="L133" s="14">
        <f>GETPIVOTDATA("Répondant",Croisements!$H$283,"Question 14.2",2,"L'âge regrouper",2)</f>
        <v>1</v>
      </c>
      <c r="M133" s="16">
        <f>L133/L134</f>
        <v>0.25</v>
      </c>
      <c r="N133" s="14">
        <f>GETPIVOTDATA("Répondant",Croisements!$H$283,"Question 14.2",2,"L'âge regrouper",3)</f>
        <v>2</v>
      </c>
      <c r="O133" s="16">
        <f>N133/N134</f>
        <v>1</v>
      </c>
    </row>
    <row r="134" spans="1:15">
      <c r="A134" s="46" t="s">
        <v>345</v>
      </c>
      <c r="B134" s="47">
        <f t="shared" ref="B134:G134" si="31">B132+B133</f>
        <v>9</v>
      </c>
      <c r="C134" s="449">
        <f t="shared" si="31"/>
        <v>1</v>
      </c>
      <c r="D134" s="47">
        <f t="shared" si="31"/>
        <v>4</v>
      </c>
      <c r="E134" s="449">
        <f t="shared" si="31"/>
        <v>1</v>
      </c>
      <c r="F134" s="47">
        <f t="shared" si="31"/>
        <v>2</v>
      </c>
      <c r="G134" s="449">
        <f t="shared" si="31"/>
        <v>1</v>
      </c>
      <c r="H134" s="11"/>
      <c r="I134" s="46" t="s">
        <v>345</v>
      </c>
      <c r="J134" s="47">
        <f t="shared" ref="J134:O134" si="32">J132+J133</f>
        <v>9</v>
      </c>
      <c r="K134" s="449">
        <f t="shared" si="32"/>
        <v>1</v>
      </c>
      <c r="L134" s="47">
        <f t="shared" si="32"/>
        <v>4</v>
      </c>
      <c r="M134" s="449">
        <f t="shared" si="32"/>
        <v>1</v>
      </c>
      <c r="N134" s="47">
        <f t="shared" si="32"/>
        <v>2</v>
      </c>
      <c r="O134" s="449">
        <f t="shared" si="32"/>
        <v>1</v>
      </c>
    </row>
    <row r="135" spans="1:15">
      <c r="A135" s="52" t="s">
        <v>349</v>
      </c>
      <c r="B135" s="92">
        <f>'Khi2'!R675</f>
        <v>0.05</v>
      </c>
      <c r="C135" s="35"/>
      <c r="D135" s="92"/>
      <c r="E135" s="35"/>
      <c r="F135" s="92"/>
      <c r="G135" s="35"/>
      <c r="H135" s="11"/>
      <c r="I135" s="52" t="s">
        <v>349</v>
      </c>
      <c r="J135" s="92" t="str">
        <f>'Khi2'!R683</f>
        <v>0.06*</v>
      </c>
      <c r="K135" s="35"/>
      <c r="L135" s="92"/>
      <c r="M135" s="35"/>
      <c r="N135" s="92"/>
      <c r="O135" s="35"/>
    </row>
    <row r="136" spans="1:15">
      <c r="A136" s="45"/>
      <c r="B136" s="45"/>
      <c r="C136" s="45"/>
      <c r="D136" s="45"/>
      <c r="E136" s="45"/>
      <c r="F136" s="45"/>
      <c r="G136" s="45"/>
      <c r="H136" s="11"/>
      <c r="I136" s="45"/>
      <c r="J136" s="45"/>
      <c r="K136" s="45"/>
      <c r="L136" s="45"/>
      <c r="M136" s="45"/>
      <c r="N136" s="45"/>
      <c r="O136" s="45"/>
    </row>
    <row r="137" spans="1:15">
      <c r="A137" s="590" t="s">
        <v>839</v>
      </c>
      <c r="B137" s="605"/>
      <c r="C137" s="605"/>
      <c r="D137" s="605"/>
      <c r="E137" s="605"/>
      <c r="F137" s="605"/>
      <c r="G137" s="605"/>
      <c r="H137" s="11"/>
      <c r="I137" s="590" t="s">
        <v>840</v>
      </c>
      <c r="J137" s="605"/>
      <c r="K137" s="605"/>
      <c r="L137" s="605"/>
      <c r="M137" s="605"/>
      <c r="N137" s="605"/>
      <c r="O137" s="605"/>
    </row>
    <row r="138" spans="1:15">
      <c r="A138" s="601" t="s">
        <v>328</v>
      </c>
      <c r="B138" s="607"/>
      <c r="C138" s="607"/>
      <c r="D138" s="607"/>
      <c r="E138" s="607"/>
      <c r="F138" s="607"/>
      <c r="G138" s="607"/>
      <c r="H138" s="45"/>
      <c r="I138" s="601" t="s">
        <v>329</v>
      </c>
      <c r="J138" s="607"/>
      <c r="K138" s="607"/>
      <c r="L138" s="607"/>
      <c r="M138" s="607"/>
      <c r="N138" s="607"/>
      <c r="O138" s="607"/>
    </row>
    <row r="139" spans="1:15">
      <c r="A139" s="609" t="s">
        <v>637</v>
      </c>
      <c r="B139" s="610"/>
      <c r="C139" s="610"/>
      <c r="D139" s="610"/>
      <c r="E139" s="610"/>
      <c r="F139" s="610"/>
      <c r="G139" s="610"/>
      <c r="H139" s="33"/>
      <c r="I139" s="609" t="s">
        <v>637</v>
      </c>
      <c r="J139" s="610"/>
      <c r="K139" s="610"/>
      <c r="L139" s="610"/>
      <c r="M139" s="610"/>
      <c r="N139" s="610"/>
      <c r="O139" s="610"/>
    </row>
    <row r="140" spans="1:15">
      <c r="A140" s="598"/>
      <c r="B140" s="599" t="s">
        <v>86</v>
      </c>
      <c r="C140" s="600"/>
      <c r="D140" s="599" t="s">
        <v>87</v>
      </c>
      <c r="E140" s="600"/>
      <c r="F140" s="595" t="s">
        <v>90</v>
      </c>
      <c r="G140" s="596"/>
      <c r="H140" s="45"/>
      <c r="I140" s="593"/>
      <c r="J140" s="599" t="s">
        <v>86</v>
      </c>
      <c r="K140" s="600"/>
      <c r="L140" s="599" t="s">
        <v>87</v>
      </c>
      <c r="M140" s="600"/>
      <c r="N140" s="595" t="s">
        <v>90</v>
      </c>
      <c r="O140" s="596"/>
    </row>
    <row r="141" spans="1:15">
      <c r="A141" s="594"/>
      <c r="B141" s="14" t="s">
        <v>103</v>
      </c>
      <c r="C141" s="14" t="s">
        <v>104</v>
      </c>
      <c r="D141" s="10" t="s">
        <v>103</v>
      </c>
      <c r="E141" s="14" t="s">
        <v>104</v>
      </c>
      <c r="F141" s="10" t="s">
        <v>103</v>
      </c>
      <c r="G141" s="14" t="s">
        <v>104</v>
      </c>
      <c r="H141" s="45"/>
      <c r="I141" s="594"/>
      <c r="J141" s="14" t="s">
        <v>103</v>
      </c>
      <c r="K141" s="14" t="s">
        <v>104</v>
      </c>
      <c r="L141" s="10" t="s">
        <v>103</v>
      </c>
      <c r="M141" s="14" t="s">
        <v>104</v>
      </c>
      <c r="N141" s="10" t="s">
        <v>103</v>
      </c>
      <c r="O141" s="14" t="s">
        <v>104</v>
      </c>
    </row>
    <row r="142" spans="1:15">
      <c r="A142" s="15" t="s">
        <v>35</v>
      </c>
      <c r="B142" s="14">
        <f>GETPIVOTDATA("Répondant",Croisements!$H$292,"Question 14.3",1,"L'âge regrouper",1)</f>
        <v>6</v>
      </c>
      <c r="C142" s="16">
        <f>B142/B144</f>
        <v>0.66666666666666663</v>
      </c>
      <c r="D142" s="14">
        <f>GETPIVOTDATA("Répondant",Croisements!$H$292,"Question 14.3",1,"L'âge regrouper",2)</f>
        <v>2</v>
      </c>
      <c r="E142" s="16">
        <f>D142/D144</f>
        <v>0.5</v>
      </c>
      <c r="F142" s="14">
        <f>GETPIVOTDATA("Répondant",Croisements!$H$292,"Question 14.3",1,"L'âge regrouper",3)</f>
        <v>1</v>
      </c>
      <c r="G142" s="16">
        <f>F142/F144</f>
        <v>0.5</v>
      </c>
      <c r="H142" s="45"/>
      <c r="I142" s="15" t="s">
        <v>35</v>
      </c>
      <c r="J142" s="14">
        <f>GETPIVOTDATA("Répondant",Croisements!$H$301,"Question 14.4",1,"L'âge regrouper",1)</f>
        <v>4</v>
      </c>
      <c r="K142" s="16">
        <f>J142/J144</f>
        <v>0.44444444444444442</v>
      </c>
      <c r="L142" s="14">
        <f>GETPIVOTDATA("Répondant",Croisements!$H$301,"Question 14.4",1,"L'âge regrouper",2)</f>
        <v>2</v>
      </c>
      <c r="M142" s="16">
        <f>L142/L144</f>
        <v>0.5</v>
      </c>
      <c r="N142" s="14">
        <f>GETPIVOTDATA("Répondant",Croisements!$H$301,"Question 14.4",1,"L'âge regrouper",3)</f>
        <v>1</v>
      </c>
      <c r="O142" s="16">
        <f>N142/N144</f>
        <v>0.5</v>
      </c>
    </row>
    <row r="143" spans="1:15">
      <c r="A143" s="15" t="s">
        <v>36</v>
      </c>
      <c r="B143" s="14">
        <f>GETPIVOTDATA("Répondant",Croisements!$H$292,"Question 14.3",2,"L'âge regrouper",1)</f>
        <v>3</v>
      </c>
      <c r="C143" s="16">
        <f>B143/B144</f>
        <v>0.33333333333333331</v>
      </c>
      <c r="D143" s="14">
        <f>GETPIVOTDATA("Répondant",Croisements!$H$292,"Question 14.3",2,"L'âge regrouper",2)</f>
        <v>2</v>
      </c>
      <c r="E143" s="16">
        <f>D143/D144</f>
        <v>0.5</v>
      </c>
      <c r="F143" s="14">
        <f>GETPIVOTDATA("Répondant",Croisements!$H$292,"Question 14.3",2,"L'âge regrouper",3)</f>
        <v>1</v>
      </c>
      <c r="G143" s="16">
        <f>F143/F144</f>
        <v>0.5</v>
      </c>
      <c r="H143" s="45"/>
      <c r="I143" s="15" t="s">
        <v>36</v>
      </c>
      <c r="J143" s="14">
        <f>GETPIVOTDATA("Répondant",Croisements!$H$301,"Question 14.4",2,"L'âge regrouper",1)</f>
        <v>5</v>
      </c>
      <c r="K143" s="16">
        <f>J143/J144</f>
        <v>0.55555555555555558</v>
      </c>
      <c r="L143" s="14">
        <f>GETPIVOTDATA("Répondant",Croisements!$H$301,"Question 14.4",2,"L'âge regrouper",2)</f>
        <v>2</v>
      </c>
      <c r="M143" s="16">
        <f>L143/L144</f>
        <v>0.5</v>
      </c>
      <c r="N143" s="14">
        <f>GETPIVOTDATA("Répondant",Croisements!$H$301,"Question 14.4",2,"L'âge regrouper",3)</f>
        <v>1</v>
      </c>
      <c r="O143" s="16">
        <f>N143/N144</f>
        <v>0.5</v>
      </c>
    </row>
    <row r="144" spans="1:15">
      <c r="A144" s="46" t="s">
        <v>345</v>
      </c>
      <c r="B144" s="47">
        <f t="shared" ref="B144:G144" si="33">B142+B143</f>
        <v>9</v>
      </c>
      <c r="C144" s="449">
        <f t="shared" si="33"/>
        <v>1</v>
      </c>
      <c r="D144" s="47">
        <f t="shared" si="33"/>
        <v>4</v>
      </c>
      <c r="E144" s="449">
        <f t="shared" si="33"/>
        <v>1</v>
      </c>
      <c r="F144" s="47">
        <f t="shared" si="33"/>
        <v>2</v>
      </c>
      <c r="G144" s="449">
        <f t="shared" si="33"/>
        <v>1</v>
      </c>
      <c r="H144" s="45"/>
      <c r="I144" s="46" t="s">
        <v>345</v>
      </c>
      <c r="J144" s="47">
        <f t="shared" ref="J144:O144" si="34">J142+J143</f>
        <v>9</v>
      </c>
      <c r="K144" s="449">
        <f t="shared" si="34"/>
        <v>1</v>
      </c>
      <c r="L144" s="47">
        <f t="shared" si="34"/>
        <v>4</v>
      </c>
      <c r="M144" s="449">
        <f t="shared" si="34"/>
        <v>1</v>
      </c>
      <c r="N144" s="47">
        <f t="shared" si="34"/>
        <v>2</v>
      </c>
      <c r="O144" s="449">
        <f t="shared" si="34"/>
        <v>1</v>
      </c>
    </row>
    <row r="145" spans="1:15">
      <c r="A145" s="52" t="s">
        <v>349</v>
      </c>
      <c r="B145" s="92" t="str">
        <f>'Khi2'!R691</f>
        <v>0.52*</v>
      </c>
      <c r="C145" s="35"/>
      <c r="D145" s="92"/>
      <c r="E145" s="35"/>
      <c r="F145" s="92"/>
      <c r="G145" s="35"/>
      <c r="H145" s="45"/>
      <c r="I145" s="52" t="s">
        <v>349</v>
      </c>
      <c r="J145" s="92" t="str">
        <f>'Khi2'!R699</f>
        <v>0.83*</v>
      </c>
      <c r="K145" s="35"/>
      <c r="L145" s="92"/>
      <c r="M145" s="35"/>
      <c r="N145" s="92"/>
      <c r="O145" s="35"/>
    </row>
    <row r="146" spans="1:15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</row>
    <row r="147" spans="1:15">
      <c r="A147" s="590" t="s">
        <v>849</v>
      </c>
      <c r="B147" s="605"/>
      <c r="C147" s="605"/>
      <c r="D147" s="605"/>
      <c r="E147" s="605"/>
      <c r="F147" s="605"/>
      <c r="G147" s="605"/>
      <c r="H147" s="45"/>
      <c r="I147" s="590" t="s">
        <v>841</v>
      </c>
      <c r="J147" s="605"/>
      <c r="K147" s="605"/>
      <c r="L147" s="605"/>
      <c r="M147" s="605"/>
      <c r="N147" s="605"/>
      <c r="O147" s="605"/>
    </row>
    <row r="148" spans="1:15">
      <c r="A148" s="601"/>
      <c r="B148" s="607"/>
      <c r="C148" s="607"/>
      <c r="D148" s="607"/>
      <c r="E148" s="607"/>
      <c r="F148" s="607"/>
      <c r="G148" s="607"/>
      <c r="H148" s="45"/>
      <c r="I148" s="601" t="s">
        <v>213</v>
      </c>
      <c r="J148" s="607"/>
      <c r="K148" s="607"/>
      <c r="L148" s="607"/>
      <c r="M148" s="607"/>
      <c r="N148" s="607"/>
      <c r="O148" s="607"/>
    </row>
    <row r="149" spans="1:15">
      <c r="A149" s="609" t="s">
        <v>637</v>
      </c>
      <c r="B149" s="610"/>
      <c r="C149" s="610"/>
      <c r="D149" s="610"/>
      <c r="E149" s="610"/>
      <c r="F149" s="610"/>
      <c r="G149" s="610"/>
      <c r="H149" s="33"/>
      <c r="I149" s="609" t="s">
        <v>637</v>
      </c>
      <c r="J149" s="610"/>
      <c r="K149" s="610"/>
      <c r="L149" s="610"/>
      <c r="M149" s="610"/>
      <c r="N149" s="610"/>
      <c r="O149" s="610"/>
    </row>
    <row r="150" spans="1:15">
      <c r="A150" s="598"/>
      <c r="B150" s="599" t="s">
        <v>86</v>
      </c>
      <c r="C150" s="600"/>
      <c r="D150" s="599" t="s">
        <v>87</v>
      </c>
      <c r="E150" s="600"/>
      <c r="F150" s="595" t="s">
        <v>90</v>
      </c>
      <c r="G150" s="596"/>
      <c r="H150" s="45"/>
      <c r="I150" s="593"/>
      <c r="J150" s="599" t="s">
        <v>86</v>
      </c>
      <c r="K150" s="600"/>
      <c r="L150" s="599" t="s">
        <v>87</v>
      </c>
      <c r="M150" s="600"/>
      <c r="N150" s="595" t="s">
        <v>90</v>
      </c>
      <c r="O150" s="596"/>
    </row>
    <row r="151" spans="1:15">
      <c r="A151" s="594"/>
      <c r="B151" s="14" t="s">
        <v>103</v>
      </c>
      <c r="C151" s="14" t="s">
        <v>104</v>
      </c>
      <c r="D151" s="382" t="s">
        <v>103</v>
      </c>
      <c r="E151" s="14" t="s">
        <v>104</v>
      </c>
      <c r="F151" s="382" t="s">
        <v>103</v>
      </c>
      <c r="G151" s="14" t="s">
        <v>104</v>
      </c>
      <c r="H151" s="45"/>
      <c r="I151" s="594"/>
      <c r="J151" s="14" t="s">
        <v>103</v>
      </c>
      <c r="K151" s="14" t="s">
        <v>104</v>
      </c>
      <c r="L151" s="10" t="s">
        <v>103</v>
      </c>
      <c r="M151" s="14" t="s">
        <v>104</v>
      </c>
      <c r="N151" s="10" t="s">
        <v>103</v>
      </c>
      <c r="O151" s="14" t="s">
        <v>104</v>
      </c>
    </row>
    <row r="152" spans="1:15">
      <c r="A152" s="15" t="s">
        <v>35</v>
      </c>
      <c r="B152" s="14">
        <f>GETPIVOTDATA("Répondant",Croisements!$H$310,"Question 14.5",1,"L'âge regrouper",1)</f>
        <v>5</v>
      </c>
      <c r="C152" s="16">
        <f>B152/$B$154</f>
        <v>0.55555555555555558</v>
      </c>
      <c r="D152" s="14">
        <f>GETPIVOTDATA("Répondant",Croisements!$H$310,"Question 14.5",1,"L'âge regrouper",2)</f>
        <v>1</v>
      </c>
      <c r="E152" s="16">
        <f>D152/D154</f>
        <v>0.25</v>
      </c>
      <c r="F152" s="14">
        <f>GETPIVOTDATA("Répondant",Croisements!$H$310,"Question 14.5",1,"L'âge regrouper",3)</f>
        <v>2</v>
      </c>
      <c r="G152" s="16">
        <f>F152/F154</f>
        <v>1</v>
      </c>
      <c r="H152" s="45"/>
      <c r="I152" s="15" t="s">
        <v>35</v>
      </c>
      <c r="J152" s="14">
        <f>GETPIVOTDATA("Répondant",Croisements!$H$319,"Question 14.6",1,"L'âge regrouper",1)</f>
        <v>4</v>
      </c>
      <c r="K152" s="16">
        <f>J152/J154</f>
        <v>0.44444444444444442</v>
      </c>
      <c r="L152" s="14">
        <f>GETPIVOTDATA("Répondant",Croisements!$H$319,"Question 14.6",1,"L'âge regrouper",2)</f>
        <v>3</v>
      </c>
      <c r="M152" s="16">
        <f>L152/L154</f>
        <v>0.75</v>
      </c>
      <c r="N152" s="14">
        <f>GETPIVOTDATA("Répondant",Croisements!$H$319,"Question 14.6",1,"L'âge regrouper",3)</f>
        <v>1</v>
      </c>
      <c r="O152" s="16">
        <f>N152/N154</f>
        <v>0.5</v>
      </c>
    </row>
    <row r="153" spans="1:15">
      <c r="A153" s="15" t="s">
        <v>36</v>
      </c>
      <c r="B153" s="14">
        <f>GETPIVOTDATA("Répondant",Croisements!$H$310,"Question 14.5",2,"L'âge regrouper",1)</f>
        <v>4</v>
      </c>
      <c r="C153" s="16">
        <f>B153/$B$154</f>
        <v>0.44444444444444442</v>
      </c>
      <c r="D153" s="14">
        <f>GETPIVOTDATA("Répondant",Croisements!$H$310,"Question 14.5",2,"L'âge regrouper",2)</f>
        <v>3</v>
      </c>
      <c r="E153" s="16">
        <f>D153/D154</f>
        <v>0.75</v>
      </c>
      <c r="F153" s="14">
        <f>GETPIVOTDATA("Répondant",Croisements!$H$310,"Question 14.5",2,"L'âge regrouper",3)</f>
        <v>0</v>
      </c>
      <c r="G153" s="16">
        <f>F153/F154</f>
        <v>0</v>
      </c>
      <c r="H153" s="45"/>
      <c r="I153" s="15" t="s">
        <v>36</v>
      </c>
      <c r="J153" s="14">
        <f>GETPIVOTDATA("Répondant",Croisements!$H$319,"Question 14.6",2,"L'âge regrouper",1)</f>
        <v>5</v>
      </c>
      <c r="K153" s="16">
        <f>J153/J154</f>
        <v>0.55555555555555558</v>
      </c>
      <c r="L153" s="14">
        <f>GETPIVOTDATA("Répondant",Croisements!$H$319,"Question 14.6",2,"L'âge regrouper",2)</f>
        <v>1</v>
      </c>
      <c r="M153" s="16">
        <f>L153/L154</f>
        <v>0.25</v>
      </c>
      <c r="N153" s="14">
        <f>GETPIVOTDATA("Répondant",Croisements!$H$319,"Question 14.6",2,"L'âge regrouper",3)</f>
        <v>1</v>
      </c>
      <c r="O153" s="16">
        <f>N153/N154</f>
        <v>0.5</v>
      </c>
    </row>
    <row r="154" spans="1:15">
      <c r="A154" s="46" t="s">
        <v>345</v>
      </c>
      <c r="B154" s="47">
        <f t="shared" ref="B154:G154" si="35">B152+B153</f>
        <v>9</v>
      </c>
      <c r="C154" s="449">
        <f t="shared" si="35"/>
        <v>1</v>
      </c>
      <c r="D154" s="47">
        <f t="shared" si="35"/>
        <v>4</v>
      </c>
      <c r="E154" s="449">
        <f t="shared" si="35"/>
        <v>1</v>
      </c>
      <c r="F154" s="47">
        <f t="shared" si="35"/>
        <v>2</v>
      </c>
      <c r="G154" s="449">
        <f t="shared" si="35"/>
        <v>1</v>
      </c>
      <c r="H154" s="45"/>
      <c r="I154" s="46" t="s">
        <v>345</v>
      </c>
      <c r="J154" s="47">
        <f t="shared" ref="J154:O154" si="36">J152+J153</f>
        <v>9</v>
      </c>
      <c r="K154" s="449">
        <f t="shared" si="36"/>
        <v>1</v>
      </c>
      <c r="L154" s="47">
        <f t="shared" si="36"/>
        <v>4</v>
      </c>
      <c r="M154" s="449">
        <f t="shared" si="36"/>
        <v>1</v>
      </c>
      <c r="N154" s="47">
        <f t="shared" si="36"/>
        <v>2</v>
      </c>
      <c r="O154" s="449">
        <f t="shared" si="36"/>
        <v>1</v>
      </c>
    </row>
    <row r="155" spans="1:15">
      <c r="A155" s="52" t="s">
        <v>349</v>
      </c>
      <c r="B155" s="385">
        <f>'Khi2'!Z695</f>
        <v>0</v>
      </c>
      <c r="C155" s="35"/>
      <c r="D155" s="385"/>
      <c r="E155" s="35"/>
      <c r="F155" s="385"/>
      <c r="G155" s="35"/>
      <c r="H155" s="45"/>
      <c r="I155" s="52" t="s">
        <v>349</v>
      </c>
      <c r="J155" s="92" t="str">
        <f>'Khi2'!R715</f>
        <v>0.31*</v>
      </c>
      <c r="K155" s="35"/>
      <c r="L155" s="92"/>
      <c r="M155" s="35"/>
      <c r="N155" s="92"/>
      <c r="O155" s="35"/>
    </row>
    <row r="156" spans="1:15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</row>
    <row r="157" spans="1:15">
      <c r="A157" s="590" t="s">
        <v>848</v>
      </c>
      <c r="B157" s="605"/>
      <c r="C157" s="605"/>
      <c r="D157" s="605"/>
      <c r="E157" s="605"/>
      <c r="F157" s="605"/>
      <c r="G157" s="605"/>
      <c r="H157" s="45"/>
      <c r="I157" s="590" t="s">
        <v>842</v>
      </c>
      <c r="J157" s="605"/>
      <c r="K157" s="605"/>
      <c r="L157" s="605"/>
      <c r="M157" s="605"/>
      <c r="N157" s="605"/>
      <c r="O157" s="605"/>
    </row>
    <row r="158" spans="1:15">
      <c r="A158" s="601"/>
      <c r="B158" s="607"/>
      <c r="C158" s="607"/>
      <c r="D158" s="607"/>
      <c r="E158" s="607"/>
      <c r="F158" s="607"/>
      <c r="G158" s="607"/>
      <c r="H158" s="45"/>
      <c r="I158" s="601" t="s">
        <v>44</v>
      </c>
      <c r="J158" s="607"/>
      <c r="K158" s="607"/>
      <c r="L158" s="607"/>
      <c r="M158" s="607"/>
      <c r="N158" s="607"/>
      <c r="O158" s="607"/>
    </row>
    <row r="159" spans="1:15">
      <c r="A159" s="609" t="s">
        <v>637</v>
      </c>
      <c r="B159" s="610"/>
      <c r="C159" s="610"/>
      <c r="D159" s="610"/>
      <c r="E159" s="610"/>
      <c r="F159" s="610"/>
      <c r="G159" s="610"/>
      <c r="H159" s="33"/>
      <c r="I159" s="609" t="s">
        <v>637</v>
      </c>
      <c r="J159" s="610"/>
      <c r="K159" s="610"/>
      <c r="L159" s="610"/>
      <c r="M159" s="610"/>
      <c r="N159" s="610"/>
      <c r="O159" s="610"/>
    </row>
    <row r="160" spans="1:15">
      <c r="A160" s="598"/>
      <c r="B160" s="599" t="s">
        <v>86</v>
      </c>
      <c r="C160" s="600"/>
      <c r="D160" s="599" t="s">
        <v>87</v>
      </c>
      <c r="E160" s="600"/>
      <c r="F160" s="595" t="s">
        <v>90</v>
      </c>
      <c r="G160" s="596"/>
      <c r="H160" s="45"/>
      <c r="I160" s="593"/>
      <c r="J160" s="599" t="s">
        <v>86</v>
      </c>
      <c r="K160" s="600"/>
      <c r="L160" s="599" t="s">
        <v>87</v>
      </c>
      <c r="M160" s="600"/>
      <c r="N160" s="595" t="s">
        <v>90</v>
      </c>
      <c r="O160" s="596"/>
    </row>
    <row r="161" spans="1:15">
      <c r="A161" s="594"/>
      <c r="B161" s="14" t="s">
        <v>103</v>
      </c>
      <c r="C161" s="14" t="s">
        <v>104</v>
      </c>
      <c r="D161" s="10" t="s">
        <v>103</v>
      </c>
      <c r="E161" s="14" t="s">
        <v>104</v>
      </c>
      <c r="F161" s="10" t="s">
        <v>103</v>
      </c>
      <c r="G161" s="14" t="s">
        <v>104</v>
      </c>
      <c r="H161" s="45"/>
      <c r="I161" s="594"/>
      <c r="J161" s="14" t="s">
        <v>103</v>
      </c>
      <c r="K161" s="14" t="s">
        <v>104</v>
      </c>
      <c r="L161" s="10" t="s">
        <v>103</v>
      </c>
      <c r="M161" s="14" t="s">
        <v>104</v>
      </c>
      <c r="N161" s="10" t="s">
        <v>103</v>
      </c>
      <c r="O161" s="14" t="s">
        <v>104</v>
      </c>
    </row>
    <row r="162" spans="1:15">
      <c r="A162" s="15" t="s">
        <v>35</v>
      </c>
      <c r="B162" s="14">
        <f>GETPIVOTDATA("Répondant",Croisements!$H$328,"Question 14.7",1,"L'âge regrouper",1)</f>
        <v>3</v>
      </c>
      <c r="C162" s="16">
        <f>B162/B164</f>
        <v>0.33333333333333331</v>
      </c>
      <c r="D162" s="14">
        <f>GETPIVOTDATA("Répondant",Croisements!$H$328,"Question 14.7",1,"L'âge regrouper",2)</f>
        <v>4</v>
      </c>
      <c r="E162" s="16">
        <f>D162/D164</f>
        <v>1</v>
      </c>
      <c r="F162" s="14">
        <f>GETPIVOTDATA("Répondant",Croisements!$H$328,"Question 14.7",1,"L'âge regrouper",3)</f>
        <v>1</v>
      </c>
      <c r="G162" s="16">
        <f>F162/F164</f>
        <v>0.5</v>
      </c>
      <c r="H162" s="45"/>
      <c r="I162" s="15" t="s">
        <v>35</v>
      </c>
      <c r="J162" s="14">
        <f>GETPIVOTDATA("Répondant",Croisements!$H$337,"Question 14.8",1,"L'âge regrouper",1)</f>
        <v>3</v>
      </c>
      <c r="K162" s="16">
        <f>J162/J164</f>
        <v>0.33333333333333331</v>
      </c>
      <c r="L162" s="14">
        <f>GETPIVOTDATA("Répondant",Croisements!$H$337,"Question 14.8",1,"L'âge regrouper",2)</f>
        <v>2</v>
      </c>
      <c r="M162" s="16">
        <f>L162/L164</f>
        <v>0.5</v>
      </c>
      <c r="N162" s="14">
        <f>GETPIVOTDATA("Répondant",Croisements!$H$337,"Question 14.8",1,"L'âge regrouper",3)</f>
        <v>2</v>
      </c>
      <c r="O162" s="16">
        <f>N162/N164</f>
        <v>1</v>
      </c>
    </row>
    <row r="163" spans="1:15">
      <c r="A163" s="15" t="s">
        <v>36</v>
      </c>
      <c r="B163" s="14">
        <f>GETPIVOTDATA("Répondant",Croisements!$H$328,"Question 14.7",2,"L'âge regrouper",1)</f>
        <v>6</v>
      </c>
      <c r="C163" s="16">
        <f>B163/B164</f>
        <v>0.66666666666666663</v>
      </c>
      <c r="D163" s="14">
        <f>GETPIVOTDATA("Répondant",Croisements!$H$328,"Question 14.7",2,"L'âge regrouper",2)</f>
        <v>0</v>
      </c>
      <c r="E163" s="16">
        <f>D163/D164</f>
        <v>0</v>
      </c>
      <c r="F163" s="14">
        <f>GETPIVOTDATA("Répondant",Croisements!$H$328,"Question 14.7",2,"L'âge regrouper",3)</f>
        <v>1</v>
      </c>
      <c r="G163" s="16">
        <f>F163/F164</f>
        <v>0.5</v>
      </c>
      <c r="H163" s="45"/>
      <c r="I163" s="15" t="s">
        <v>36</v>
      </c>
      <c r="J163" s="14">
        <f>GETPIVOTDATA("Répondant",Croisements!$H$337,"Question 14.8",2,"L'âge regrouper",1)</f>
        <v>6</v>
      </c>
      <c r="K163" s="16">
        <f>J163/J164</f>
        <v>0.66666666666666663</v>
      </c>
      <c r="L163" s="14">
        <f>GETPIVOTDATA("Répondant",Croisements!$H$337,"Question 14.8",2,"L'âge regrouper",2)</f>
        <v>2</v>
      </c>
      <c r="M163" s="16">
        <f>L163/L164</f>
        <v>0.5</v>
      </c>
      <c r="N163" s="14">
        <f>GETPIVOTDATA("Répondant",Croisements!$H$337,"Question 14.8",2,"L'âge regrouper",3)</f>
        <v>0</v>
      </c>
      <c r="O163" s="16">
        <f>N163/N164</f>
        <v>0</v>
      </c>
    </row>
    <row r="164" spans="1:15">
      <c r="A164" s="46" t="s">
        <v>345</v>
      </c>
      <c r="B164" s="47">
        <f t="shared" ref="B164:G164" si="37">B162+B163</f>
        <v>9</v>
      </c>
      <c r="C164" s="449">
        <f t="shared" si="37"/>
        <v>1</v>
      </c>
      <c r="D164" s="47">
        <f t="shared" si="37"/>
        <v>4</v>
      </c>
      <c r="E164" s="449">
        <f t="shared" si="37"/>
        <v>1</v>
      </c>
      <c r="F164" s="47">
        <f t="shared" si="37"/>
        <v>2</v>
      </c>
      <c r="G164" s="449">
        <f t="shared" si="37"/>
        <v>1</v>
      </c>
      <c r="H164" s="45"/>
      <c r="I164" s="46" t="s">
        <v>345</v>
      </c>
      <c r="J164" s="47">
        <f t="shared" ref="J164:O164" si="38">J162+J163</f>
        <v>9</v>
      </c>
      <c r="K164" s="449">
        <f t="shared" si="38"/>
        <v>1</v>
      </c>
      <c r="L164" s="47">
        <f t="shared" si="38"/>
        <v>4</v>
      </c>
      <c r="M164" s="449">
        <f t="shared" si="38"/>
        <v>1</v>
      </c>
      <c r="N164" s="47">
        <f t="shared" si="38"/>
        <v>2</v>
      </c>
      <c r="O164" s="449">
        <f t="shared" si="38"/>
        <v>1</v>
      </c>
    </row>
    <row r="165" spans="1:15">
      <c r="A165" s="52" t="s">
        <v>349</v>
      </c>
      <c r="B165" s="92">
        <f>'Khi2'!R723</f>
        <v>0.03</v>
      </c>
      <c r="C165" s="35"/>
      <c r="D165" s="92"/>
      <c r="E165" s="35"/>
      <c r="F165" s="92"/>
      <c r="G165" s="35"/>
      <c r="H165" s="45"/>
      <c r="I165" s="52" t="s">
        <v>349</v>
      </c>
      <c r="J165" s="92" t="str">
        <f>'Khi2'!R731</f>
        <v>0.09*</v>
      </c>
      <c r="K165" s="35"/>
      <c r="L165" s="92"/>
      <c r="M165" s="35"/>
      <c r="N165" s="92"/>
      <c r="O165" s="35"/>
    </row>
    <row r="166" spans="1:15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</row>
    <row r="167" spans="1:15">
      <c r="A167" s="590" t="s">
        <v>960</v>
      </c>
      <c r="B167" s="605"/>
      <c r="C167" s="605"/>
      <c r="D167" s="605"/>
      <c r="E167" s="605"/>
      <c r="F167" s="605"/>
      <c r="G167" s="605"/>
      <c r="H167" s="45"/>
      <c r="I167" s="590" t="s">
        <v>854</v>
      </c>
      <c r="J167" s="605"/>
      <c r="K167" s="605"/>
      <c r="L167" s="605"/>
      <c r="M167" s="605"/>
      <c r="N167" s="605"/>
      <c r="O167" s="605"/>
    </row>
    <row r="168" spans="1:15">
      <c r="A168" s="623" t="s">
        <v>847</v>
      </c>
      <c r="B168" s="623"/>
      <c r="C168" s="623"/>
      <c r="D168" s="623"/>
      <c r="E168" s="623"/>
      <c r="F168" s="623"/>
      <c r="G168" s="623"/>
      <c r="H168" s="45"/>
      <c r="I168" s="601" t="s">
        <v>330</v>
      </c>
      <c r="J168" s="607"/>
      <c r="K168" s="607"/>
      <c r="L168" s="607"/>
      <c r="M168" s="607"/>
      <c r="N168" s="607"/>
      <c r="O168" s="607"/>
    </row>
    <row r="169" spans="1:15">
      <c r="A169" s="609" t="s">
        <v>637</v>
      </c>
      <c r="B169" s="610"/>
      <c r="C169" s="610"/>
      <c r="D169" s="610"/>
      <c r="E169" s="610"/>
      <c r="F169" s="610"/>
      <c r="G169" s="610"/>
      <c r="H169" s="33"/>
      <c r="I169" s="609" t="s">
        <v>637</v>
      </c>
      <c r="J169" s="610"/>
      <c r="K169" s="610"/>
      <c r="L169" s="610"/>
      <c r="M169" s="610"/>
      <c r="N169" s="610"/>
      <c r="O169" s="610"/>
    </row>
    <row r="170" spans="1:15">
      <c r="A170" s="598"/>
      <c r="B170" s="599" t="s">
        <v>86</v>
      </c>
      <c r="C170" s="600"/>
      <c r="D170" s="599" t="s">
        <v>87</v>
      </c>
      <c r="E170" s="600"/>
      <c r="F170" s="595" t="s">
        <v>90</v>
      </c>
      <c r="G170" s="596"/>
      <c r="H170" s="45"/>
      <c r="I170" s="593"/>
      <c r="J170" s="599" t="s">
        <v>86</v>
      </c>
      <c r="K170" s="600"/>
      <c r="L170" s="599" t="s">
        <v>87</v>
      </c>
      <c r="M170" s="600"/>
      <c r="N170" s="595" t="s">
        <v>90</v>
      </c>
      <c r="O170" s="596"/>
    </row>
    <row r="171" spans="1:15">
      <c r="A171" s="594"/>
      <c r="B171" s="14" t="s">
        <v>103</v>
      </c>
      <c r="C171" s="14" t="s">
        <v>104</v>
      </c>
      <c r="D171" s="10" t="s">
        <v>103</v>
      </c>
      <c r="E171" s="14" t="s">
        <v>104</v>
      </c>
      <c r="F171" s="10" t="s">
        <v>103</v>
      </c>
      <c r="G171" s="14" t="s">
        <v>104</v>
      </c>
      <c r="H171" s="45"/>
      <c r="I171" s="594"/>
      <c r="J171" s="14" t="s">
        <v>103</v>
      </c>
      <c r="K171" s="14" t="s">
        <v>104</v>
      </c>
      <c r="L171" s="10" t="s">
        <v>103</v>
      </c>
      <c r="M171" s="14" t="s">
        <v>104</v>
      </c>
      <c r="N171" s="10" t="s">
        <v>103</v>
      </c>
      <c r="O171" s="14" t="s">
        <v>104</v>
      </c>
    </row>
    <row r="172" spans="1:15">
      <c r="A172" s="15" t="s">
        <v>35</v>
      </c>
      <c r="B172" s="14">
        <f>GETPIVOTDATA("Répondant",Croisements!$H$346,"Question 15",1,"L'âge regrouper",1)</f>
        <v>4</v>
      </c>
      <c r="C172" s="16">
        <f>B172/B174</f>
        <v>0.44444444444444442</v>
      </c>
      <c r="D172" s="14">
        <f>GETPIVOTDATA("Répondant",Croisements!$H$346,"Question 15",1,"L'âge regrouper",2)</f>
        <v>2</v>
      </c>
      <c r="E172" s="16">
        <f>D172/D174</f>
        <v>0.5</v>
      </c>
      <c r="F172" s="14">
        <f>GETPIVOTDATA("Répondant",Croisements!$H$346,"Question 15",1,"L'âge regrouper",3)</f>
        <v>1</v>
      </c>
      <c r="G172" s="16">
        <f>F172/F174</f>
        <v>0.5</v>
      </c>
      <c r="H172" s="45"/>
      <c r="I172" s="15" t="s">
        <v>35</v>
      </c>
      <c r="J172" s="14">
        <f>GETPIVOTDATA("Répondant",Croisements!$H$355,"Question 15A",1,"L'âge regrouper",1)</f>
        <v>2</v>
      </c>
      <c r="K172" s="16">
        <f>J172/J174</f>
        <v>0.5</v>
      </c>
      <c r="L172" s="14">
        <f>GETPIVOTDATA("Répondant",Croisements!$H$355,"Question 15A",1,"L'âge regrouper",2)</f>
        <v>2</v>
      </c>
      <c r="M172" s="16">
        <f>L172/L174</f>
        <v>1</v>
      </c>
      <c r="N172" s="14">
        <f>GETPIVOTDATA("Répondant",Croisements!$H$355,"Question 15A",1,"L'âge regrouper",3)</f>
        <v>0</v>
      </c>
      <c r="O172" s="16">
        <f>N172/N174</f>
        <v>0</v>
      </c>
    </row>
    <row r="173" spans="1:15">
      <c r="A173" s="15" t="s">
        <v>36</v>
      </c>
      <c r="B173" s="14">
        <f>GETPIVOTDATA("Répondant",Croisements!$H$346,"Question 15",2,"L'âge regrouper",1)</f>
        <v>5</v>
      </c>
      <c r="C173" s="16">
        <f>B173/B174</f>
        <v>0.55555555555555558</v>
      </c>
      <c r="D173" s="14">
        <f>GETPIVOTDATA("Répondant",Croisements!$H$346,"Question 15",2,"L'âge regrouper",2)</f>
        <v>2</v>
      </c>
      <c r="E173" s="16">
        <f>D173/D174</f>
        <v>0.5</v>
      </c>
      <c r="F173" s="14">
        <f>GETPIVOTDATA("Répondant",Croisements!$H$346,"Question 15",2,"L'âge regrouper",3)</f>
        <v>1</v>
      </c>
      <c r="G173" s="16">
        <f>F173/F174</f>
        <v>0.5</v>
      </c>
      <c r="H173" s="45"/>
      <c r="I173" s="15" t="s">
        <v>36</v>
      </c>
      <c r="J173" s="14">
        <f>GETPIVOTDATA("Répondant",Croisements!$H$355,"Question 15A",2,"L'âge regrouper",1)</f>
        <v>2</v>
      </c>
      <c r="K173" s="16">
        <f>J173/J174</f>
        <v>0.5</v>
      </c>
      <c r="L173" s="14">
        <f>GETPIVOTDATA("Répondant",Croisements!$H$355,"Question 15A",2,"L'âge regrouper",2)</f>
        <v>0</v>
      </c>
      <c r="M173" s="16">
        <f>L173/L174</f>
        <v>0</v>
      </c>
      <c r="N173" s="14">
        <f>GETPIVOTDATA("Répondant",Croisements!$H$355,"Question 15A",2,"L'âge regrouper",3)</f>
        <v>1</v>
      </c>
      <c r="O173" s="16">
        <f>N173/N174</f>
        <v>1</v>
      </c>
    </row>
    <row r="174" spans="1:15">
      <c r="A174" s="46" t="s">
        <v>345</v>
      </c>
      <c r="B174" s="47">
        <f>B172+B173</f>
        <v>9</v>
      </c>
      <c r="C174" s="449">
        <f>C172+C173</f>
        <v>1</v>
      </c>
      <c r="D174" s="47">
        <f t="shared" ref="D174:G174" si="39">D172+D173</f>
        <v>4</v>
      </c>
      <c r="E174" s="449">
        <f t="shared" si="39"/>
        <v>1</v>
      </c>
      <c r="F174" s="47">
        <f t="shared" si="39"/>
        <v>2</v>
      </c>
      <c r="G174" s="449">
        <f t="shared" si="39"/>
        <v>1</v>
      </c>
      <c r="H174" s="45"/>
      <c r="I174" s="46" t="s">
        <v>345</v>
      </c>
      <c r="J174" s="47">
        <f t="shared" ref="J174:O174" si="40">J172+J173</f>
        <v>4</v>
      </c>
      <c r="K174" s="449">
        <f t="shared" si="40"/>
        <v>1</v>
      </c>
      <c r="L174" s="47">
        <f t="shared" si="40"/>
        <v>2</v>
      </c>
      <c r="M174" s="449">
        <f t="shared" si="40"/>
        <v>1</v>
      </c>
      <c r="N174" s="47">
        <f t="shared" si="40"/>
        <v>1</v>
      </c>
      <c r="O174" s="449">
        <f t="shared" si="40"/>
        <v>1</v>
      </c>
    </row>
    <row r="175" spans="1:15">
      <c r="A175" s="52" t="s">
        <v>349</v>
      </c>
      <c r="B175" s="92" t="str">
        <f>'Khi2'!R739</f>
        <v>0.83*</v>
      </c>
      <c r="C175" s="35"/>
      <c r="D175" s="92"/>
      <c r="E175" s="35"/>
      <c r="F175" s="92"/>
      <c r="G175" s="35"/>
      <c r="H175" s="45"/>
      <c r="I175" s="52" t="s">
        <v>349</v>
      </c>
      <c r="J175" s="92" t="str">
        <f>'Khi2'!R747</f>
        <v>0.09*</v>
      </c>
      <c r="K175" s="35"/>
      <c r="L175" s="92"/>
      <c r="M175" s="35"/>
      <c r="N175" s="92"/>
      <c r="O175" s="35"/>
    </row>
    <row r="176" spans="1:15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</row>
    <row r="177" spans="1:15">
      <c r="A177" s="590" t="s">
        <v>855</v>
      </c>
      <c r="B177" s="605"/>
      <c r="C177" s="605"/>
      <c r="D177" s="605"/>
      <c r="E177" s="605"/>
      <c r="F177" s="605"/>
      <c r="G177" s="605"/>
      <c r="H177" s="45"/>
      <c r="I177" s="590" t="s">
        <v>961</v>
      </c>
      <c r="J177" s="605"/>
      <c r="K177" s="605"/>
      <c r="L177" s="605"/>
      <c r="M177" s="605"/>
      <c r="N177" s="605"/>
      <c r="O177" s="605"/>
    </row>
    <row r="178" spans="1:15">
      <c r="A178" s="601" t="s">
        <v>405</v>
      </c>
      <c r="B178" s="607"/>
      <c r="C178" s="607"/>
      <c r="D178" s="607"/>
      <c r="E178" s="607"/>
      <c r="F178" s="607"/>
      <c r="G178" s="607"/>
      <c r="H178" s="45"/>
      <c r="I178" s="601" t="s">
        <v>405</v>
      </c>
      <c r="J178" s="607"/>
      <c r="K178" s="607"/>
      <c r="L178" s="607"/>
      <c r="M178" s="607"/>
      <c r="N178" s="607"/>
      <c r="O178" s="607"/>
    </row>
    <row r="179" spans="1:15">
      <c r="A179" s="609" t="s">
        <v>637</v>
      </c>
      <c r="B179" s="610"/>
      <c r="C179" s="610"/>
      <c r="D179" s="610"/>
      <c r="E179" s="610"/>
      <c r="F179" s="610"/>
      <c r="G179" s="610"/>
      <c r="H179" s="33"/>
      <c r="I179" s="609" t="s">
        <v>637</v>
      </c>
      <c r="J179" s="610"/>
      <c r="K179" s="610"/>
      <c r="L179" s="610"/>
      <c r="M179" s="610"/>
      <c r="N179" s="610"/>
      <c r="O179" s="610"/>
    </row>
    <row r="180" spans="1:15">
      <c r="A180" s="598"/>
      <c r="B180" s="599" t="s">
        <v>86</v>
      </c>
      <c r="C180" s="600"/>
      <c r="D180" s="599" t="s">
        <v>87</v>
      </c>
      <c r="E180" s="600"/>
      <c r="F180" s="595" t="s">
        <v>90</v>
      </c>
      <c r="G180" s="596"/>
      <c r="H180" s="45"/>
      <c r="I180" s="593"/>
      <c r="J180" s="599" t="s">
        <v>86</v>
      </c>
      <c r="K180" s="600"/>
      <c r="L180" s="599" t="s">
        <v>87</v>
      </c>
      <c r="M180" s="600"/>
      <c r="N180" s="595" t="s">
        <v>90</v>
      </c>
      <c r="O180" s="596"/>
    </row>
    <row r="181" spans="1:15">
      <c r="A181" s="594"/>
      <c r="B181" s="14" t="s">
        <v>103</v>
      </c>
      <c r="C181" s="14" t="s">
        <v>104</v>
      </c>
      <c r="D181" s="10" t="s">
        <v>103</v>
      </c>
      <c r="E181" s="14" t="s">
        <v>104</v>
      </c>
      <c r="F181" s="10" t="s">
        <v>103</v>
      </c>
      <c r="G181" s="14" t="s">
        <v>104</v>
      </c>
      <c r="H181" s="45"/>
      <c r="I181" s="594"/>
      <c r="J181" s="14" t="s">
        <v>103</v>
      </c>
      <c r="K181" s="14" t="s">
        <v>104</v>
      </c>
      <c r="L181" s="10" t="s">
        <v>103</v>
      </c>
      <c r="M181" s="14" t="s">
        <v>104</v>
      </c>
      <c r="N181" s="10" t="s">
        <v>103</v>
      </c>
      <c r="O181" s="14" t="s">
        <v>104</v>
      </c>
    </row>
    <row r="182" spans="1:15">
      <c r="A182" s="32" t="s">
        <v>460</v>
      </c>
      <c r="B182" s="14">
        <f>GETPIVOTDATA("Répondant",Croisements!$H$365,"Question 16.1",1,"L'âge regrouper",1)+GETPIVOTDATA("Répondant",Croisements!$H$365,"Question 16.1",2,"L'âge regrouper",1)</f>
        <v>4</v>
      </c>
      <c r="C182" s="16">
        <f>B182/B184</f>
        <v>0.44444444444444442</v>
      </c>
      <c r="D182" s="14">
        <f>GETPIVOTDATA("Répondant",Croisements!$H$365,"Question 16.1",1,"L'âge regrouper",2)+GETPIVOTDATA("Répondant",Croisements!$H$365,"Question 16.1",2,"L'âge regrouper",2)</f>
        <v>1</v>
      </c>
      <c r="E182" s="16">
        <f>D182/D184</f>
        <v>0.33333333333333331</v>
      </c>
      <c r="F182" s="14">
        <f>GETPIVOTDATA("Répondant",Croisements!$H$365,"Question 16.1",1,"L'âge regrouper",3)+GETPIVOTDATA("Répondant",Croisements!$H$365,"Question 16.1",2,"L'âge regrouper",3)</f>
        <v>2</v>
      </c>
      <c r="G182" s="16">
        <f>F182/F184</f>
        <v>1</v>
      </c>
      <c r="H182" s="45"/>
      <c r="I182" s="32" t="s">
        <v>460</v>
      </c>
      <c r="J182" s="14">
        <f>GETPIVOTDATA("Répondant",Croisements!$H$377,"Question 16.2",1,"L'âge regrouper",1)+GETPIVOTDATA("Répondant",Croisements!$H$377,"Question 16.2",2,"L'âge regrouper",1)</f>
        <v>5</v>
      </c>
      <c r="K182" s="16">
        <f>J182/J184</f>
        <v>0.7142857142857143</v>
      </c>
      <c r="L182" s="14">
        <f>GETPIVOTDATA("Répondant",Croisements!$H$377,"Question 16.2",1,"L'âge regrouper",2)+GETPIVOTDATA("Répondant",Croisements!$H$377,"Question 16.2",2,"L'âge regrouper",2)</f>
        <v>2</v>
      </c>
      <c r="M182" s="16">
        <f>L182/L184</f>
        <v>0.5</v>
      </c>
      <c r="N182" s="14">
        <f>GETPIVOTDATA("Répondant",Croisements!$H$377,"Question 16.2",1,"L'âge regrouper",3)+GETPIVOTDATA("Répondant",Croisements!$H$377,"Question 16.2",2,"L'âge regrouper",3)</f>
        <v>1</v>
      </c>
      <c r="O182" s="16">
        <f>N182/N184</f>
        <v>0.5</v>
      </c>
    </row>
    <row r="183" spans="1:15">
      <c r="A183" s="32" t="s">
        <v>461</v>
      </c>
      <c r="B183" s="14">
        <f>GETPIVOTDATA("Répondant",Croisements!$H$365,"Question 16.1",3,"L'âge regrouper",1)+GETPIVOTDATA("Répondant",Croisements!$H$365,"Question 16.1",4,"L'âge regrouper",1)</f>
        <v>5</v>
      </c>
      <c r="C183" s="16">
        <f>B183/B184</f>
        <v>0.55555555555555558</v>
      </c>
      <c r="D183" s="14">
        <f>GETPIVOTDATA("Répondant",Croisements!$H$365,"Question 16.1",3,"L'âge regrouper",2)+GETPIVOTDATA("Répondant",Croisements!$H$365,"Question 16.1",4,"L'âge regrouper",2)</f>
        <v>2</v>
      </c>
      <c r="E183" s="16">
        <f>D183/D184</f>
        <v>0.66666666666666663</v>
      </c>
      <c r="F183" s="14">
        <f>GETPIVOTDATA("Répondant",Croisements!$H$365,"Question 16.1",3,"L'âge regrouper",3)+GETPIVOTDATA("Répondant",Croisements!$H$365,"Question 16.1",4,"L'âge regrouper",3)</f>
        <v>0</v>
      </c>
      <c r="G183" s="16">
        <f>F183/F184</f>
        <v>0</v>
      </c>
      <c r="H183" s="45"/>
      <c r="I183" s="32" t="s">
        <v>461</v>
      </c>
      <c r="J183" s="14">
        <f>GETPIVOTDATA("Répondant",Croisements!$H$377,"Question 16.2",3,"L'âge regrouper",1)+GETPIVOTDATA("Répondant",Croisements!$H$377,"Question 16.2",4,"L'âge regrouper",1)</f>
        <v>2</v>
      </c>
      <c r="K183" s="16">
        <f>J183/J184</f>
        <v>0.2857142857142857</v>
      </c>
      <c r="L183" s="14">
        <f>GETPIVOTDATA("Répondant",Croisements!$H$377,"Question 16.2",3,"L'âge regrouper",2)+GETPIVOTDATA("Répondant",Croisements!$H$377,"Question 16.2",4,"L'âge regrouper",2)</f>
        <v>2</v>
      </c>
      <c r="M183" s="16">
        <f>L183/L184</f>
        <v>0.5</v>
      </c>
      <c r="N183" s="14">
        <f>GETPIVOTDATA("Répondant",Croisements!$H$377,"Question 16.2",3,"L'âge regrouper",3)+GETPIVOTDATA("Répondant",Croisements!$H$377,"Question 16.2",4,"L'âge regrouper",3)</f>
        <v>1</v>
      </c>
      <c r="O183" s="16">
        <f>N183/N184</f>
        <v>0.5</v>
      </c>
    </row>
    <row r="184" spans="1:15">
      <c r="A184" s="46" t="s">
        <v>345</v>
      </c>
      <c r="B184" s="47">
        <f t="shared" ref="B184:G184" si="41">B182+B183</f>
        <v>9</v>
      </c>
      <c r="C184" s="449">
        <f t="shared" si="41"/>
        <v>1</v>
      </c>
      <c r="D184" s="47">
        <f t="shared" si="41"/>
        <v>3</v>
      </c>
      <c r="E184" s="449">
        <f t="shared" si="41"/>
        <v>1</v>
      </c>
      <c r="F184" s="47">
        <f t="shared" si="41"/>
        <v>2</v>
      </c>
      <c r="G184" s="449">
        <f t="shared" si="41"/>
        <v>1</v>
      </c>
      <c r="H184" s="45"/>
      <c r="I184" s="46" t="s">
        <v>345</v>
      </c>
      <c r="J184" s="47">
        <f t="shared" ref="J184:O184" si="42">J182+J183</f>
        <v>7</v>
      </c>
      <c r="K184" s="449">
        <f t="shared" si="42"/>
        <v>1</v>
      </c>
      <c r="L184" s="47">
        <f t="shared" si="42"/>
        <v>4</v>
      </c>
      <c r="M184" s="449">
        <f t="shared" si="42"/>
        <v>1</v>
      </c>
      <c r="N184" s="47">
        <f t="shared" si="42"/>
        <v>2</v>
      </c>
      <c r="O184" s="449">
        <f t="shared" si="42"/>
        <v>1</v>
      </c>
    </row>
    <row r="185" spans="1:15">
      <c r="A185" s="52" t="s">
        <v>349</v>
      </c>
      <c r="B185" s="92" t="str">
        <f>'Khi2'!R755</f>
        <v>0.12*</v>
      </c>
      <c r="C185" s="35"/>
      <c r="D185" s="92"/>
      <c r="E185" s="35"/>
      <c r="F185" s="92"/>
      <c r="G185" s="35"/>
      <c r="H185" s="45"/>
      <c r="I185" s="52" t="s">
        <v>349</v>
      </c>
      <c r="J185" s="92" t="str">
        <f>'Khi2'!R763</f>
        <v>0.43*</v>
      </c>
      <c r="K185" s="35"/>
      <c r="L185" s="92"/>
      <c r="M185" s="35"/>
      <c r="N185" s="92"/>
      <c r="O185" s="35"/>
    </row>
    <row r="186" spans="1:15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</row>
    <row r="187" spans="1:15">
      <c r="A187" s="590" t="s">
        <v>967</v>
      </c>
      <c r="B187" s="605"/>
      <c r="C187" s="605"/>
      <c r="D187" s="605"/>
      <c r="E187" s="605"/>
      <c r="F187" s="605"/>
      <c r="G187" s="605"/>
      <c r="H187" s="45"/>
      <c r="I187" s="645" t="s">
        <v>856</v>
      </c>
      <c r="J187" s="645"/>
      <c r="K187" s="645"/>
      <c r="L187" s="645"/>
      <c r="M187" s="645"/>
      <c r="N187" s="645"/>
      <c r="O187" s="645"/>
    </row>
    <row r="188" spans="1:15">
      <c r="A188" s="601" t="s">
        <v>487</v>
      </c>
      <c r="B188" s="607"/>
      <c r="C188" s="607"/>
      <c r="D188" s="607"/>
      <c r="E188" s="607"/>
      <c r="F188" s="607"/>
      <c r="G188" s="607"/>
      <c r="H188" s="45"/>
      <c r="I188" s="589" t="s">
        <v>857</v>
      </c>
      <c r="J188" s="636"/>
      <c r="K188" s="636"/>
      <c r="L188" s="636"/>
      <c r="M188" s="636"/>
      <c r="N188" s="636"/>
      <c r="O188" s="636"/>
    </row>
    <row r="189" spans="1:15">
      <c r="A189" s="609" t="s">
        <v>637</v>
      </c>
      <c r="B189" s="610"/>
      <c r="C189" s="610"/>
      <c r="D189" s="610"/>
      <c r="E189" s="610"/>
      <c r="F189" s="610"/>
      <c r="G189" s="610"/>
      <c r="H189" s="33"/>
      <c r="I189" s="386" t="s">
        <v>637</v>
      </c>
      <c r="J189" s="45"/>
      <c r="K189" s="45"/>
      <c r="L189" s="45"/>
      <c r="M189" s="45"/>
      <c r="N189" s="45"/>
      <c r="O189" s="45"/>
    </row>
    <row r="190" spans="1:15">
      <c r="A190" s="598"/>
      <c r="B190" s="599" t="s">
        <v>86</v>
      </c>
      <c r="C190" s="600"/>
      <c r="D190" s="599" t="s">
        <v>87</v>
      </c>
      <c r="E190" s="600"/>
      <c r="F190" s="595" t="s">
        <v>90</v>
      </c>
      <c r="G190" s="596"/>
      <c r="H190" s="11"/>
      <c r="I190" s="359"/>
      <c r="J190" s="595" t="s">
        <v>86</v>
      </c>
      <c r="K190" s="596"/>
      <c r="L190" s="595" t="s">
        <v>87</v>
      </c>
      <c r="M190" s="596"/>
      <c r="N190" s="595" t="s">
        <v>90</v>
      </c>
      <c r="O190" s="596"/>
    </row>
    <row r="191" spans="1:15">
      <c r="A191" s="594"/>
      <c r="B191" s="14" t="s">
        <v>103</v>
      </c>
      <c r="C191" s="14" t="s">
        <v>104</v>
      </c>
      <c r="D191" s="10" t="s">
        <v>103</v>
      </c>
      <c r="E191" s="14" t="s">
        <v>104</v>
      </c>
      <c r="F191" s="10" t="s">
        <v>103</v>
      </c>
      <c r="G191" s="14" t="s">
        <v>104</v>
      </c>
      <c r="I191" s="358"/>
      <c r="J191" s="14" t="s">
        <v>103</v>
      </c>
      <c r="K191" s="14" t="s">
        <v>104</v>
      </c>
      <c r="L191" s="382" t="s">
        <v>103</v>
      </c>
      <c r="M191" s="14" t="s">
        <v>104</v>
      </c>
      <c r="N191" s="382" t="s">
        <v>103</v>
      </c>
      <c r="O191" s="14" t="s">
        <v>104</v>
      </c>
    </row>
    <row r="192" spans="1:15">
      <c r="A192" s="32" t="s">
        <v>460</v>
      </c>
      <c r="B192" s="14">
        <f>GETPIVOTDATA("Répondant",Croisements!$H$389,"Question 16.3",1,"L'âge regrouper",1)+GETPIVOTDATA("Répondant",Croisements!$H$389,"Question 16.3",2,"L'âge regrouper",1)</f>
        <v>5</v>
      </c>
      <c r="C192" s="16">
        <f>B192/B194</f>
        <v>0.55555555555555558</v>
      </c>
      <c r="D192" s="14">
        <f>GETPIVOTDATA("Répondant",Croisements!$H$389,"Question 16.3",1,"L'âge regrouper",2)+GETPIVOTDATA("Répondant",Croisements!$H$389,"Question 16.3",2,"L'âge regrouper",2)</f>
        <v>3</v>
      </c>
      <c r="E192" s="16">
        <f>D192/D194</f>
        <v>0.75</v>
      </c>
      <c r="F192" s="14">
        <f>GETPIVOTDATA("Répondant",Croisements!$H$389,"Question 16.3",1,"L'âge regrouper",3)+GETPIVOTDATA("Répondant",Croisements!$H$389,"Question 16.3",2,"L'âge regrouper",3)</f>
        <v>0</v>
      </c>
      <c r="G192" s="16">
        <f>F192/F194</f>
        <v>0</v>
      </c>
      <c r="H192" s="11"/>
      <c r="I192" s="32" t="s">
        <v>611</v>
      </c>
      <c r="J192" s="372">
        <f>GETPIVOTDATA("Répondant",Croisements!$H$400,"Question 17",1,"L'âge regrouper",1)</f>
        <v>3</v>
      </c>
      <c r="K192" s="373">
        <f>J192/$J$195</f>
        <v>0.375</v>
      </c>
      <c r="L192" s="372">
        <f>GETPIVOTDATA("Répondant",Croisements!$H$400,"Question 17",1,"L'âge regrouper",2)</f>
        <v>2</v>
      </c>
      <c r="M192" s="373">
        <f>L192/L195</f>
        <v>0.5</v>
      </c>
      <c r="N192" s="372">
        <f>GETPIVOTDATA("Répondant",Croisements!$H$400,"Question 17",1,"L'âge regrouper",3)</f>
        <v>0</v>
      </c>
      <c r="O192" s="373">
        <f>N192/N195</f>
        <v>0</v>
      </c>
    </row>
    <row r="193" spans="1:15">
      <c r="A193" s="32" t="s">
        <v>461</v>
      </c>
      <c r="B193" s="14">
        <f>GETPIVOTDATA("Répondant",Croisements!$H$389,"Question 16.3",3,"L'âge regrouper",1)+GETPIVOTDATA("Répondant",Croisements!$H$389,"Question 16.3",4,"L'âge regrouper",1)</f>
        <v>4</v>
      </c>
      <c r="C193" s="16">
        <f>B193/B194</f>
        <v>0.44444444444444442</v>
      </c>
      <c r="D193" s="14">
        <f>GETPIVOTDATA("Répondant",Croisements!$H$389,"Question 16.3",3,"L'âge regrouper",2)+GETPIVOTDATA("Répondant",Croisements!$H$389,"Question 16.3",4,"L'âge regrouper",2)</f>
        <v>1</v>
      </c>
      <c r="E193" s="16">
        <f>D193/D194</f>
        <v>0.25</v>
      </c>
      <c r="F193" s="14">
        <f>GETPIVOTDATA("Répondant",Croisements!$H$389,"Question 16.3",3,"L'âge regrouper",3)+GETPIVOTDATA("Répondant",Croisements!$H$389,"Question 16.3",4,"L'âge regrouper",3)</f>
        <v>1</v>
      </c>
      <c r="G193" s="16">
        <f>F193/F194</f>
        <v>1</v>
      </c>
      <c r="H193" s="11"/>
      <c r="I193" s="32" t="s">
        <v>612</v>
      </c>
      <c r="J193" s="372">
        <f>GETPIVOTDATA("Répondant",Croisements!$H$400,"Question 17",2,"L'âge regrouper",1)</f>
        <v>3</v>
      </c>
      <c r="K193" s="373">
        <f t="shared" ref="K193:K194" si="43">J193/$J$195</f>
        <v>0.375</v>
      </c>
      <c r="L193" s="372">
        <f>GETPIVOTDATA("Répondant",Croisements!$H$400,"Question 17",2,"L'âge regrouper",2)</f>
        <v>2</v>
      </c>
      <c r="M193" s="373">
        <f>L193/L195</f>
        <v>0.5</v>
      </c>
      <c r="N193" s="372">
        <f>GETPIVOTDATA("Répondant",Croisements!$H$400,"Question 17",2,"L'âge regrouper",3)</f>
        <v>0</v>
      </c>
      <c r="O193" s="373">
        <f>N193/N195</f>
        <v>0</v>
      </c>
    </row>
    <row r="194" spans="1:15">
      <c r="A194" s="46" t="s">
        <v>345</v>
      </c>
      <c r="B194" s="47">
        <f t="shared" ref="B194:G194" si="44">B192+B193</f>
        <v>9</v>
      </c>
      <c r="C194" s="449">
        <f t="shared" si="44"/>
        <v>1</v>
      </c>
      <c r="D194" s="47">
        <f t="shared" si="44"/>
        <v>4</v>
      </c>
      <c r="E194" s="449">
        <f t="shared" si="44"/>
        <v>1</v>
      </c>
      <c r="F194" s="47">
        <f t="shared" si="44"/>
        <v>1</v>
      </c>
      <c r="G194" s="449">
        <f t="shared" si="44"/>
        <v>1</v>
      </c>
      <c r="H194" s="11"/>
      <c r="I194" s="32" t="s">
        <v>613</v>
      </c>
      <c r="J194" s="372">
        <f>GETPIVOTDATA("Répondant",Croisements!$H$400,"Question 17",3,"L'âge regrouper",1)</f>
        <v>2</v>
      </c>
      <c r="K194" s="373">
        <f t="shared" si="43"/>
        <v>0.25</v>
      </c>
      <c r="L194" s="372">
        <f>GETPIVOTDATA("Répondant",Croisements!$H$400,"Question 17",3,"L'âge regrouper",2)</f>
        <v>0</v>
      </c>
      <c r="M194" s="373">
        <f>L194/L195</f>
        <v>0</v>
      </c>
      <c r="N194" s="372">
        <f>GETPIVOTDATA("Répondant",Croisements!$H$400,"Question 17",3,"L'âge regrouper",3)</f>
        <v>2</v>
      </c>
      <c r="O194" s="373">
        <f>N194/N195</f>
        <v>1</v>
      </c>
    </row>
    <row r="195" spans="1:15">
      <c r="A195" s="52" t="s">
        <v>349</v>
      </c>
      <c r="B195" s="92" t="str">
        <f>'Khi2'!R771</f>
        <v>0.17*</v>
      </c>
      <c r="C195" s="35"/>
      <c r="D195" s="481"/>
      <c r="E195" s="35"/>
      <c r="F195" s="481"/>
      <c r="G195" s="35"/>
      <c r="I195" s="46" t="s">
        <v>345</v>
      </c>
      <c r="J195" s="47">
        <f>SUM(J192:J194)</f>
        <v>8</v>
      </c>
      <c r="K195" s="449">
        <f>K192+K193+K194</f>
        <v>1</v>
      </c>
      <c r="L195" s="47">
        <f>SUM(L192:L194)</f>
        <v>4</v>
      </c>
      <c r="M195" s="449">
        <f>M192+M193+M194</f>
        <v>1</v>
      </c>
      <c r="N195" s="47">
        <f>SUM(N192:N194)</f>
        <v>2</v>
      </c>
      <c r="O195" s="449">
        <f>O192+O193+O194</f>
        <v>1</v>
      </c>
    </row>
    <row r="196" spans="1:15">
      <c r="A196" s="45"/>
      <c r="B196" s="45"/>
      <c r="C196" s="35"/>
      <c r="D196" s="92"/>
      <c r="E196" s="35"/>
      <c r="F196" s="92"/>
      <c r="G196" s="35"/>
      <c r="H196" s="11"/>
      <c r="I196" s="52" t="s">
        <v>349</v>
      </c>
      <c r="J196" s="385">
        <f>'Khi2'!R779</f>
        <v>0.01</v>
      </c>
      <c r="K196" s="45"/>
      <c r="L196" s="45"/>
      <c r="M196" s="45"/>
      <c r="N196" s="45"/>
      <c r="O196" s="45"/>
    </row>
    <row r="197" spans="1:15">
      <c r="A197" s="45"/>
      <c r="B197" s="45"/>
      <c r="C197" s="45"/>
      <c r="D197" s="45"/>
      <c r="E197" s="45"/>
      <c r="F197" s="45"/>
      <c r="G197" s="45"/>
      <c r="H197" s="11"/>
      <c r="I197" s="45"/>
      <c r="J197" s="45"/>
      <c r="K197" s="45"/>
      <c r="L197" s="45"/>
      <c r="M197" s="45"/>
      <c r="N197" s="45"/>
      <c r="O197" s="45"/>
    </row>
    <row r="198" spans="1:15">
      <c r="A198" s="383" t="s">
        <v>488</v>
      </c>
      <c r="B198" s="384"/>
      <c r="C198" s="384"/>
      <c r="D198" s="384"/>
      <c r="E198" s="384"/>
      <c r="F198" s="384"/>
      <c r="G198" s="384"/>
      <c r="H198" s="45"/>
      <c r="I198" s="590" t="s">
        <v>489</v>
      </c>
      <c r="J198" s="605"/>
      <c r="K198" s="605"/>
      <c r="L198" s="605"/>
      <c r="M198" s="605"/>
      <c r="N198" s="605"/>
      <c r="O198" s="605"/>
    </row>
    <row r="199" spans="1:15">
      <c r="A199" s="380" t="s">
        <v>408</v>
      </c>
      <c r="B199" s="381"/>
      <c r="C199" s="381"/>
      <c r="D199" s="381"/>
      <c r="E199" s="381"/>
      <c r="F199" s="381"/>
      <c r="G199" s="381"/>
      <c r="H199" s="33"/>
      <c r="I199" s="618" t="s">
        <v>410</v>
      </c>
      <c r="J199" s="615"/>
      <c r="K199" s="615"/>
      <c r="L199" s="615"/>
      <c r="M199" s="615"/>
      <c r="N199" s="615"/>
      <c r="O199" s="615"/>
    </row>
    <row r="200" spans="1:15">
      <c r="A200" s="378" t="s">
        <v>637</v>
      </c>
      <c r="B200" s="379"/>
      <c r="C200" s="379"/>
      <c r="D200" s="379"/>
      <c r="E200" s="379"/>
      <c r="F200" s="379"/>
      <c r="G200" s="379"/>
      <c r="H200" s="45"/>
      <c r="I200" s="609" t="s">
        <v>637</v>
      </c>
      <c r="J200" s="610"/>
      <c r="K200" s="610"/>
      <c r="L200" s="610"/>
      <c r="M200" s="610"/>
      <c r="N200" s="21"/>
      <c r="O200" s="21"/>
    </row>
    <row r="201" spans="1:15">
      <c r="A201" s="359"/>
      <c r="B201" s="595" t="s">
        <v>86</v>
      </c>
      <c r="C201" s="596"/>
      <c r="D201" s="595" t="s">
        <v>87</v>
      </c>
      <c r="E201" s="596"/>
      <c r="F201" s="595" t="s">
        <v>90</v>
      </c>
      <c r="G201" s="596"/>
      <c r="H201" s="45"/>
      <c r="I201" s="598"/>
      <c r="J201" s="599" t="s">
        <v>86</v>
      </c>
      <c r="K201" s="600"/>
      <c r="L201" s="599" t="s">
        <v>87</v>
      </c>
      <c r="M201" s="600"/>
      <c r="N201" s="595" t="s">
        <v>90</v>
      </c>
      <c r="O201" s="596"/>
    </row>
    <row r="202" spans="1:15">
      <c r="A202" s="358"/>
      <c r="B202" s="14" t="s">
        <v>103</v>
      </c>
      <c r="C202" s="14" t="s">
        <v>104</v>
      </c>
      <c r="D202" s="382" t="s">
        <v>103</v>
      </c>
      <c r="E202" s="14" t="s">
        <v>104</v>
      </c>
      <c r="F202" s="382" t="s">
        <v>103</v>
      </c>
      <c r="G202" s="14" t="s">
        <v>104</v>
      </c>
      <c r="H202" s="45"/>
      <c r="I202" s="594"/>
      <c r="J202" s="14" t="s">
        <v>103</v>
      </c>
      <c r="K202" s="14" t="s">
        <v>104</v>
      </c>
      <c r="L202" s="10" t="s">
        <v>103</v>
      </c>
      <c r="M202" s="14" t="s">
        <v>104</v>
      </c>
      <c r="N202" s="10" t="s">
        <v>103</v>
      </c>
      <c r="O202" s="14" t="s">
        <v>104</v>
      </c>
    </row>
    <row r="203" spans="1:15">
      <c r="A203" s="15" t="s">
        <v>81</v>
      </c>
      <c r="B203" s="14">
        <f>GETPIVOTDATA("Répondant",Croisements!$H$411,"Question 18",1,"L'âge regrouper",1)+GETPIVOTDATA("Répondant",Croisements!$H$411,"Question 18",2,"L'âge regrouper",1)</f>
        <v>6</v>
      </c>
      <c r="C203" s="16">
        <f>B203/B205</f>
        <v>0.66666666666666663</v>
      </c>
      <c r="D203" s="14">
        <f>GETPIVOTDATA("Répondant",Croisements!$H$411,"Question 18",1,"L'âge regrouper",2)+GETPIVOTDATA("Répondant",Croisements!$H$411,"Question 18",2,"L'âge regrouper",2)</f>
        <v>1</v>
      </c>
      <c r="E203" s="16">
        <f>D203/D205</f>
        <v>0.25</v>
      </c>
      <c r="F203" s="14">
        <f>GETPIVOTDATA("Répondant",Croisements!$H$411,"Question 18",1,"L'âge regrouper",3)+GETPIVOTDATA("Répondant",Croisements!$H$411,"Question 18",2,"L'âge regrouper",3)</f>
        <v>1</v>
      </c>
      <c r="G203" s="16">
        <f>F203/F205</f>
        <v>0.5</v>
      </c>
      <c r="H203" s="45"/>
      <c r="I203" s="15" t="s">
        <v>81</v>
      </c>
      <c r="J203" s="14">
        <f>GETPIVOTDATA("Répondant",Croisements!$H$421,"Question 19",1,"L'âge regrouper",1)+GETPIVOTDATA("Répondant",Croisements!$H$421,"Question 19",2,"L'âge regrouper",1)</f>
        <v>6</v>
      </c>
      <c r="K203" s="16">
        <f>J203/J205</f>
        <v>0.66666666666666663</v>
      </c>
      <c r="L203" s="14">
        <f>GETPIVOTDATA("Répondant",Croisements!$H$421,"Question 19",1,"L'âge regrouper",2)+GETPIVOTDATA("Répondant",Croisements!$H$421,"Question 19",2,"L'âge regrouper",2)</f>
        <v>1</v>
      </c>
      <c r="M203" s="16">
        <f>L203/L205</f>
        <v>0.33333333333333331</v>
      </c>
      <c r="N203" s="14">
        <f>GETPIVOTDATA("Répondant",Croisements!$H$421,"Question 19",1,"L'âge regrouper",3)+GETPIVOTDATA("Répondant",Croisements!$H$421,"Question 19",2,"L'âge regrouper",3)</f>
        <v>1</v>
      </c>
      <c r="O203" s="16">
        <f>N203/N205</f>
        <v>0.5</v>
      </c>
    </row>
    <row r="204" spans="1:15">
      <c r="A204" s="15" t="s">
        <v>82</v>
      </c>
      <c r="B204" s="14">
        <f>GETPIVOTDATA("Répondant",Croisements!$H$411,"Question 18",3,"L'âge regrouper",1)+GETPIVOTDATA("Répondant",Croisements!$H$411,"Question 18",4,"L'âge regrouper",1)</f>
        <v>3</v>
      </c>
      <c r="C204" s="16">
        <f>B204/B205</f>
        <v>0.33333333333333331</v>
      </c>
      <c r="D204" s="14">
        <f>GETPIVOTDATA("Répondant",Croisements!$H$411,"Question 18",3,"L'âge regrouper",2)+GETPIVOTDATA("Répondant",Croisements!$H$411,"Question 18",4,"L'âge regrouper",2)</f>
        <v>3</v>
      </c>
      <c r="E204" s="16">
        <f>D204/D205</f>
        <v>0.75</v>
      </c>
      <c r="F204" s="14">
        <f>GETPIVOTDATA("Répondant",Croisements!$H$411,"Question 18",3,"L'âge regrouper",3)+GETPIVOTDATA("Répondant",Croisements!$H$411,"Question 18",4,"L'âge regrouper",3)</f>
        <v>1</v>
      </c>
      <c r="G204" s="16">
        <f>F204/F205</f>
        <v>0.5</v>
      </c>
      <c r="H204" s="45"/>
      <c r="I204" s="15" t="s">
        <v>82</v>
      </c>
      <c r="J204" s="14">
        <f>GETPIVOTDATA("Répondant",Croisements!$H$421,"Question 19",3,"L'âge regrouper",1)+GETPIVOTDATA("Répondant",Croisements!$H$421,"Question 19",4,"L'âge regrouper",1)</f>
        <v>3</v>
      </c>
      <c r="K204" s="16">
        <f>J204/J205</f>
        <v>0.33333333333333331</v>
      </c>
      <c r="L204" s="14">
        <f>GETPIVOTDATA("Répondant",Croisements!$H$421,"Question 19",3,"L'âge regrouper",2)+GETPIVOTDATA("Répondant",Croisements!$H$421,"Question 19",4,"L'âge regrouper",2)</f>
        <v>2</v>
      </c>
      <c r="M204" s="16">
        <f>L204/L205</f>
        <v>0.66666666666666663</v>
      </c>
      <c r="N204" s="14">
        <f>GETPIVOTDATA("Répondant",Croisements!$H$421,"Question 19",3,"L'âge regrouper",3)+GETPIVOTDATA("Répondant",Croisements!$H$421,"Question 19",4,"L'âge regrouper",3)</f>
        <v>1</v>
      </c>
      <c r="O204" s="16">
        <f>N204/N205</f>
        <v>0.5</v>
      </c>
    </row>
    <row r="205" spans="1:15">
      <c r="A205" s="46" t="s">
        <v>345</v>
      </c>
      <c r="B205" s="47">
        <f t="shared" ref="B205:G205" si="45">B203+B204</f>
        <v>9</v>
      </c>
      <c r="C205" s="449">
        <f t="shared" si="45"/>
        <v>1</v>
      </c>
      <c r="D205" s="47">
        <f t="shared" si="45"/>
        <v>4</v>
      </c>
      <c r="E205" s="449">
        <f t="shared" si="45"/>
        <v>1</v>
      </c>
      <c r="F205" s="47">
        <f t="shared" si="45"/>
        <v>2</v>
      </c>
      <c r="G205" s="449">
        <f t="shared" si="45"/>
        <v>1</v>
      </c>
      <c r="H205" s="45"/>
      <c r="I205" s="46" t="s">
        <v>345</v>
      </c>
      <c r="J205" s="47">
        <f t="shared" ref="J205:O205" si="46">J203+J204</f>
        <v>9</v>
      </c>
      <c r="K205" s="449">
        <f t="shared" si="46"/>
        <v>1</v>
      </c>
      <c r="L205" s="47">
        <f t="shared" si="46"/>
        <v>3</v>
      </c>
      <c r="M205" s="449">
        <f t="shared" si="46"/>
        <v>1</v>
      </c>
      <c r="N205" s="47">
        <f t="shared" si="46"/>
        <v>2</v>
      </c>
      <c r="O205" s="449">
        <f t="shared" si="46"/>
        <v>1</v>
      </c>
    </row>
    <row r="206" spans="1:15">
      <c r="A206" s="52" t="s">
        <v>349</v>
      </c>
      <c r="B206" s="385" t="str">
        <f>'Khi2'!R788</f>
        <v>0.16*</v>
      </c>
      <c r="C206" s="35"/>
      <c r="D206" s="385"/>
      <c r="E206" s="35"/>
      <c r="F206" s="385"/>
      <c r="G206" s="35"/>
      <c r="H206" s="45"/>
      <c r="I206" s="52" t="s">
        <v>349</v>
      </c>
      <c r="J206" s="92" t="str">
        <f>'Khi2'!R796</f>
        <v>0.3*</v>
      </c>
      <c r="K206" s="35"/>
      <c r="L206" s="92"/>
      <c r="M206" s="35"/>
      <c r="N206" s="92"/>
      <c r="O206" s="35"/>
    </row>
    <row r="207" spans="1:15">
      <c r="A207" s="45"/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</row>
    <row r="208" spans="1:15">
      <c r="A208" s="590" t="s">
        <v>858</v>
      </c>
      <c r="B208" s="605"/>
      <c r="C208" s="605"/>
      <c r="D208" s="605"/>
      <c r="E208" s="605"/>
      <c r="F208" s="605"/>
      <c r="G208" s="605"/>
      <c r="H208" s="45"/>
      <c r="I208" s="590" t="s">
        <v>845</v>
      </c>
      <c r="J208" s="605"/>
      <c r="K208" s="605"/>
      <c r="L208" s="605"/>
      <c r="M208" s="605"/>
      <c r="N208" s="605"/>
      <c r="O208" s="605"/>
    </row>
    <row r="209" spans="1:15">
      <c r="A209" s="609" t="s">
        <v>637</v>
      </c>
      <c r="B209" s="610"/>
      <c r="C209" s="610"/>
      <c r="D209" s="610"/>
      <c r="E209" s="610"/>
      <c r="F209" s="610"/>
      <c r="G209" s="610"/>
      <c r="H209" s="45"/>
      <c r="I209" s="609" t="s">
        <v>637</v>
      </c>
      <c r="J209" s="610"/>
      <c r="K209" s="610"/>
      <c r="L209" s="610"/>
      <c r="M209" s="610"/>
      <c r="N209" s="21"/>
      <c r="O209" s="21"/>
    </row>
    <row r="210" spans="1:15">
      <c r="A210" s="593"/>
      <c r="B210" s="599" t="s">
        <v>86</v>
      </c>
      <c r="C210" s="600"/>
      <c r="D210" s="599" t="s">
        <v>87</v>
      </c>
      <c r="E210" s="600"/>
      <c r="F210" s="595" t="s">
        <v>90</v>
      </c>
      <c r="G210" s="596"/>
      <c r="H210" s="45"/>
      <c r="I210" s="598"/>
      <c r="J210" s="599" t="s">
        <v>86</v>
      </c>
      <c r="K210" s="600"/>
      <c r="L210" s="599" t="s">
        <v>87</v>
      </c>
      <c r="M210" s="600"/>
      <c r="N210" s="595" t="s">
        <v>90</v>
      </c>
      <c r="O210" s="596"/>
    </row>
    <row r="211" spans="1:15">
      <c r="A211" s="594"/>
      <c r="B211" s="14" t="s">
        <v>103</v>
      </c>
      <c r="C211" s="14" t="s">
        <v>104</v>
      </c>
      <c r="D211" s="10" t="s">
        <v>103</v>
      </c>
      <c r="E211" s="14" t="s">
        <v>104</v>
      </c>
      <c r="F211" s="10" t="s">
        <v>103</v>
      </c>
      <c r="G211" s="14" t="s">
        <v>104</v>
      </c>
      <c r="H211" s="45"/>
      <c r="I211" s="594"/>
      <c r="J211" s="14" t="s">
        <v>103</v>
      </c>
      <c r="K211" s="14" t="s">
        <v>104</v>
      </c>
      <c r="L211" s="10" t="s">
        <v>103</v>
      </c>
      <c r="M211" s="14" t="s">
        <v>104</v>
      </c>
      <c r="N211" s="10" t="s">
        <v>103</v>
      </c>
      <c r="O211" s="14" t="s">
        <v>104</v>
      </c>
    </row>
    <row r="212" spans="1:15">
      <c r="A212" s="15" t="s">
        <v>81</v>
      </c>
      <c r="B212" s="14">
        <f>GETPIVOTDATA("Répondant",Croisements!$H$432,"Question 20.1",1,"L'âge regrouper",1)+GETPIVOTDATA("Répondant",Croisements!$H$432,"Question 20.1",2,"L'âge regrouper",1)</f>
        <v>6</v>
      </c>
      <c r="C212" s="16">
        <f>B212/B214</f>
        <v>0.75</v>
      </c>
      <c r="D212" s="14">
        <f>GETPIVOTDATA("Répondant",Croisements!$H$432,"Question 20.1",1,"L'âge regrouper",2)+GETPIVOTDATA("Répondant",Croisements!$H$432,"Question 20.1",2,"L'âge regrouper",2)</f>
        <v>2</v>
      </c>
      <c r="E212" s="16">
        <f>D212/D214</f>
        <v>0.5</v>
      </c>
      <c r="F212" s="14">
        <f>GETPIVOTDATA("Répondant",Croisements!$H$432,"Question 20.1",1,"L'âge regrouper",3)+GETPIVOTDATA("Répondant",Croisements!$H$432,"Question 20.1",2,"L'âge regrouper",3)</f>
        <v>1</v>
      </c>
      <c r="G212" s="16">
        <f>F212/F214</f>
        <v>0.5</v>
      </c>
      <c r="H212" s="45"/>
      <c r="I212" s="15" t="s">
        <v>81</v>
      </c>
      <c r="J212" s="14">
        <f>GETPIVOTDATA("Répondant",Croisements!$H$443,"Question 20.2",1,"L'âge regrouper",1)+GETPIVOTDATA("Répondant",Croisements!$H$443,"Question 20.2",2,"L'âge regrouper",1)</f>
        <v>3</v>
      </c>
      <c r="K212" s="16">
        <f>J212/J214</f>
        <v>0.6</v>
      </c>
      <c r="L212" s="14">
        <f>GETPIVOTDATA("Répondant",Croisements!$H$443,"Question 20.2",1,"L'âge regrouper",2)+GETPIVOTDATA("Répondant",Croisements!$H$443,"Question 20.2",2,"L'âge regrouper",2)</f>
        <v>1</v>
      </c>
      <c r="M212" s="16">
        <f>L212/L214</f>
        <v>0.25</v>
      </c>
      <c r="N212" s="14">
        <f>GETPIVOTDATA("Répondant",Croisements!$H$443,"Question 20.2",1,"L'âge regrouper",3)+GETPIVOTDATA("Répondant",Croisements!$H$443,"Question 20.2",2,"L'âge regrouper",3)</f>
        <v>2</v>
      </c>
      <c r="O212" s="16">
        <f>N212/N214</f>
        <v>1</v>
      </c>
    </row>
    <row r="213" spans="1:15">
      <c r="A213" s="15" t="s">
        <v>82</v>
      </c>
      <c r="B213" s="14">
        <f>GETPIVOTDATA("Répondant",Croisements!$H$432,"Question 20.1",3,"L'âge regrouper",1)+GETPIVOTDATA("Répondant",Croisements!$H$432,"Question 20.1",4,"L'âge regrouper",1)</f>
        <v>2</v>
      </c>
      <c r="C213" s="16">
        <f>B213/B214</f>
        <v>0.25</v>
      </c>
      <c r="D213" s="14">
        <f>GETPIVOTDATA("Répondant",Croisements!$H$432,"Question 20.1",3,"L'âge regrouper",2)+GETPIVOTDATA("Répondant",Croisements!$H$432,"Question 20.1",4,"L'âge regrouper",2)</f>
        <v>2</v>
      </c>
      <c r="E213" s="16">
        <f>D213/D214</f>
        <v>0.5</v>
      </c>
      <c r="F213" s="14">
        <f>GETPIVOTDATA("Répondant",Croisements!$H$432,"Question 20.1",3,"L'âge regrouper",3)+GETPIVOTDATA("Répondant",Croisements!$H$432,"Question 20.1",4,"L'âge regrouper",3)</f>
        <v>1</v>
      </c>
      <c r="G213" s="16">
        <f>F213/F214</f>
        <v>0.5</v>
      </c>
      <c r="H213" s="45"/>
      <c r="I213" s="15" t="s">
        <v>82</v>
      </c>
      <c r="J213" s="14">
        <f>GETPIVOTDATA("Répondant",Croisements!$H$443,"Question 20.2",3,"L'âge regrouper",1)+GETPIVOTDATA("Répondant",Croisements!$H$443,"Question 20.2",4,"L'âge regrouper",1)</f>
        <v>2</v>
      </c>
      <c r="K213" s="16">
        <f>J213/J214</f>
        <v>0.4</v>
      </c>
      <c r="L213" s="14">
        <f>GETPIVOTDATA("Répondant",Croisements!$H$443,"Question 20.2",3,"L'âge regrouper",2)+GETPIVOTDATA("Répondant",Croisements!$H$443,"Question 20.2",4,"L'âge regrouper",2)</f>
        <v>3</v>
      </c>
      <c r="M213" s="16">
        <f>L213/L214</f>
        <v>0.75</v>
      </c>
      <c r="N213" s="14">
        <f>GETPIVOTDATA("Répondant",Croisements!$H$443,"Question 20.2",3,"L'âge regrouper",3)+GETPIVOTDATA("Répondant",Croisements!$H$443,"Question 20.2",4,"L'âge regrouper",3)</f>
        <v>0</v>
      </c>
      <c r="O213" s="16">
        <f>N213/N214</f>
        <v>0</v>
      </c>
    </row>
    <row r="214" spans="1:15">
      <c r="A214" s="46" t="s">
        <v>345</v>
      </c>
      <c r="B214" s="47">
        <f t="shared" ref="B214:G214" si="47">B212+B213</f>
        <v>8</v>
      </c>
      <c r="C214" s="449">
        <f t="shared" si="47"/>
        <v>1</v>
      </c>
      <c r="D214" s="47">
        <f t="shared" si="47"/>
        <v>4</v>
      </c>
      <c r="E214" s="449">
        <f t="shared" si="47"/>
        <v>1</v>
      </c>
      <c r="F214" s="47">
        <f t="shared" si="47"/>
        <v>2</v>
      </c>
      <c r="G214" s="449">
        <f t="shared" si="47"/>
        <v>1</v>
      </c>
      <c r="H214" s="45"/>
      <c r="I214" s="46" t="s">
        <v>345</v>
      </c>
      <c r="J214" s="47">
        <f t="shared" ref="J214:O214" si="48">J212+J213</f>
        <v>5</v>
      </c>
      <c r="K214" s="449">
        <f t="shared" si="48"/>
        <v>1</v>
      </c>
      <c r="L214" s="47">
        <f t="shared" si="48"/>
        <v>4</v>
      </c>
      <c r="M214" s="449">
        <f t="shared" si="48"/>
        <v>1</v>
      </c>
      <c r="N214" s="47">
        <f t="shared" si="48"/>
        <v>2</v>
      </c>
      <c r="O214" s="449">
        <f t="shared" si="48"/>
        <v>1</v>
      </c>
    </row>
    <row r="215" spans="1:15">
      <c r="A215" s="52" t="s">
        <v>349</v>
      </c>
      <c r="B215" s="92" t="str">
        <f>'Khi2'!R804</f>
        <v>0.33*</v>
      </c>
      <c r="C215" s="35"/>
      <c r="D215" s="92"/>
      <c r="E215" s="35"/>
      <c r="F215" s="92"/>
      <c r="G215" s="35"/>
      <c r="H215" s="45"/>
      <c r="I215" s="52" t="s">
        <v>349</v>
      </c>
      <c r="J215" s="92" t="str">
        <f>'Khi2'!R812</f>
        <v>0.08*</v>
      </c>
      <c r="K215" s="35"/>
      <c r="L215" s="92"/>
      <c r="M215" s="35"/>
      <c r="N215" s="92"/>
      <c r="O215" s="35"/>
    </row>
    <row r="216" spans="1:15">
      <c r="A216" s="45"/>
      <c r="B216" s="45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</row>
    <row r="217" spans="1:15">
      <c r="A217" s="590" t="s">
        <v>859</v>
      </c>
      <c r="B217" s="605"/>
      <c r="C217" s="605"/>
      <c r="D217" s="605"/>
      <c r="E217" s="605"/>
      <c r="F217" s="605"/>
      <c r="G217" s="605"/>
      <c r="H217" s="45"/>
      <c r="I217" s="590" t="s">
        <v>490</v>
      </c>
      <c r="J217" s="605"/>
      <c r="K217" s="605"/>
      <c r="L217" s="605"/>
      <c r="M217" s="605"/>
      <c r="N217" s="605"/>
      <c r="O217" s="605"/>
    </row>
    <row r="218" spans="1:15">
      <c r="A218" s="601" t="s">
        <v>416</v>
      </c>
      <c r="B218" s="607"/>
      <c r="C218" s="607"/>
      <c r="D218" s="607"/>
      <c r="E218" s="607"/>
      <c r="F218" s="607"/>
      <c r="G218" s="607"/>
      <c r="H218" s="45"/>
      <c r="I218" s="618" t="s">
        <v>491</v>
      </c>
      <c r="J218" s="615"/>
      <c r="K218" s="615"/>
      <c r="L218" s="615"/>
      <c r="M218" s="615"/>
      <c r="N218" s="615"/>
      <c r="O218" s="615"/>
    </row>
    <row r="219" spans="1:15">
      <c r="A219" s="609" t="s">
        <v>637</v>
      </c>
      <c r="B219" s="610"/>
      <c r="C219" s="610"/>
      <c r="D219" s="610"/>
      <c r="E219" s="610"/>
      <c r="F219" s="610"/>
      <c r="G219" s="610"/>
      <c r="H219" s="45"/>
      <c r="I219" s="633" t="s">
        <v>637</v>
      </c>
      <c r="J219" s="655"/>
      <c r="K219" s="655"/>
      <c r="L219" s="655"/>
      <c r="M219" s="655"/>
      <c r="N219" s="655"/>
      <c r="O219" s="655"/>
    </row>
    <row r="220" spans="1:15">
      <c r="A220" s="593"/>
      <c r="B220" s="599" t="s">
        <v>86</v>
      </c>
      <c r="C220" s="600"/>
      <c r="D220" s="599" t="s">
        <v>87</v>
      </c>
      <c r="E220" s="600"/>
      <c r="F220" s="595" t="s">
        <v>90</v>
      </c>
      <c r="G220" s="596"/>
      <c r="H220" s="45"/>
      <c r="I220" s="593"/>
      <c r="J220" s="599" t="s">
        <v>86</v>
      </c>
      <c r="K220" s="600"/>
      <c r="L220" s="599" t="s">
        <v>87</v>
      </c>
      <c r="M220" s="600"/>
      <c r="N220" s="595" t="s">
        <v>90</v>
      </c>
      <c r="O220" s="596"/>
    </row>
    <row r="221" spans="1:15">
      <c r="A221" s="594"/>
      <c r="B221" s="14" t="s">
        <v>103</v>
      </c>
      <c r="C221" s="14" t="s">
        <v>104</v>
      </c>
      <c r="D221" s="10" t="s">
        <v>103</v>
      </c>
      <c r="E221" s="14" t="s">
        <v>104</v>
      </c>
      <c r="F221" s="10" t="s">
        <v>103</v>
      </c>
      <c r="G221" s="14" t="s">
        <v>104</v>
      </c>
      <c r="H221" s="45"/>
      <c r="I221" s="594"/>
      <c r="J221" s="14" t="s">
        <v>103</v>
      </c>
      <c r="K221" s="14" t="s">
        <v>104</v>
      </c>
      <c r="L221" s="287" t="s">
        <v>103</v>
      </c>
      <c r="M221" s="14" t="s">
        <v>104</v>
      </c>
      <c r="N221" s="287" t="s">
        <v>103</v>
      </c>
      <c r="O221" s="14" t="s">
        <v>104</v>
      </c>
    </row>
    <row r="222" spans="1:15">
      <c r="A222" s="15" t="s">
        <v>81</v>
      </c>
      <c r="B222" s="14">
        <f>GETPIVOTDATA("Répondant",Croisements!$H$454,"Question 20.3",1,"L'âge regrouper",1)+GETPIVOTDATA("Répondant",Croisements!$H$454,"Question 20.3",2,"L'âge regrouper",1)</f>
        <v>4</v>
      </c>
      <c r="C222" s="16">
        <f>B222/B224</f>
        <v>0.5</v>
      </c>
      <c r="D222" s="14">
        <f>GETPIVOTDATA("Répondant",Croisements!$H$454,"Question 20.3",1,"L'âge regrouper",2)+GETPIVOTDATA("Répondant",Croisements!$H$454,"Question 20.3",2,"L'âge regrouper",2)</f>
        <v>2</v>
      </c>
      <c r="E222" s="16">
        <f>D222/D224</f>
        <v>0.66666666666666663</v>
      </c>
      <c r="F222" s="14">
        <f>GETPIVOTDATA("Répondant",Croisements!$H$454,"Question 20.3",1,"L'âge regrouper",3)+GETPIVOTDATA("Répondant",Croisements!$H$454,"Question 20.3",2,"L'âge regrouper",3)</f>
        <v>2</v>
      </c>
      <c r="G222" s="16">
        <f>F222/F224</f>
        <v>1</v>
      </c>
      <c r="H222" s="45"/>
      <c r="I222" s="32" t="s">
        <v>47</v>
      </c>
      <c r="J222" s="14">
        <f>GETPIVOTDATA("Répondant",Croisements!$H$465,"Question 21",1,"L'âge regrouper",1)</f>
        <v>2</v>
      </c>
      <c r="K222" s="16">
        <f>J222/J226</f>
        <v>0.22222222222222221</v>
      </c>
      <c r="L222" s="14">
        <f>GETPIVOTDATA("Répondant",Croisements!$H$465,"Question 21",1,"L'âge regrouper",2)</f>
        <v>2</v>
      </c>
      <c r="M222" s="16">
        <f>L222/$L$226</f>
        <v>0.5</v>
      </c>
      <c r="N222" s="14">
        <f>GETPIVOTDATA("Répondant",Croisements!$H$465,"Question 21",1,"L'âge regrouper",3)</f>
        <v>1</v>
      </c>
      <c r="O222" s="16">
        <f>N222/$N$226</f>
        <v>0.5</v>
      </c>
    </row>
    <row r="223" spans="1:15">
      <c r="A223" s="15" t="s">
        <v>82</v>
      </c>
      <c r="B223" s="14">
        <f>GETPIVOTDATA("Répondant",Croisements!$H$454,"Question 20.3",3,"L'âge regrouper",1)+GETPIVOTDATA("Répondant",Croisements!$H$454,"Question 20.3",4,"L'âge regrouper",1)</f>
        <v>4</v>
      </c>
      <c r="C223" s="16">
        <f>B223/B224</f>
        <v>0.5</v>
      </c>
      <c r="D223" s="14">
        <f>GETPIVOTDATA("Répondant",Croisements!$H$454,"Question 20.3",3,"L'âge regrouper",2)+GETPIVOTDATA("Répondant",Croisements!$H$454,"Question 20.3",4,"L'âge regrouper",2)</f>
        <v>1</v>
      </c>
      <c r="E223" s="16">
        <f>D223/D224</f>
        <v>0.33333333333333331</v>
      </c>
      <c r="F223" s="14">
        <f>GETPIVOTDATA("Répondant",Croisements!$H$454,"Question 20.3",3,"L'âge regrouper",3)+GETPIVOTDATA("Répondant",Croisements!$H$454,"Question 20.3",4,"L'âge regrouper",3)</f>
        <v>0</v>
      </c>
      <c r="G223" s="16">
        <f>F223/F224</f>
        <v>0</v>
      </c>
      <c r="H223" s="45"/>
      <c r="I223" s="32" t="s">
        <v>48</v>
      </c>
      <c r="J223" s="14">
        <f>GETPIVOTDATA("Répondant",Croisements!$H$465,"Question 21",2,"L'âge regrouper",1)</f>
        <v>2</v>
      </c>
      <c r="K223" s="16">
        <f>J223/$J$226</f>
        <v>0.22222222222222221</v>
      </c>
      <c r="L223" s="14">
        <f>GETPIVOTDATA("Répondant",Croisements!$H$465,"Question 21",2,"L'âge regrouper",2)</f>
        <v>2</v>
      </c>
      <c r="M223" s="16">
        <f t="shared" ref="M223:M225" si="49">L223/$L$226</f>
        <v>0.5</v>
      </c>
      <c r="N223" s="14">
        <f>GETPIVOTDATA("Répondant",Croisements!$H$465,"Question 21",2,"L'âge regrouper",3)</f>
        <v>0</v>
      </c>
      <c r="O223" s="16">
        <f t="shared" ref="O223:O225" si="50">N223/$N$226</f>
        <v>0</v>
      </c>
    </row>
    <row r="224" spans="1:15">
      <c r="A224" s="46" t="s">
        <v>345</v>
      </c>
      <c r="B224" s="47">
        <f t="shared" ref="B224:G224" si="51">B222+B223</f>
        <v>8</v>
      </c>
      <c r="C224" s="449">
        <f t="shared" si="51"/>
        <v>1</v>
      </c>
      <c r="D224" s="47">
        <f t="shared" si="51"/>
        <v>3</v>
      </c>
      <c r="E224" s="449">
        <f t="shared" si="51"/>
        <v>1</v>
      </c>
      <c r="F224" s="47">
        <f t="shared" si="51"/>
        <v>2</v>
      </c>
      <c r="G224" s="449">
        <f t="shared" si="51"/>
        <v>1</v>
      </c>
      <c r="H224" s="45"/>
      <c r="I224" s="32" t="s">
        <v>49</v>
      </c>
      <c r="J224" s="14">
        <f>GETPIVOTDATA("Répondant",Croisements!$H$465,"Question 21",3,"L'âge regrouper",1)</f>
        <v>4</v>
      </c>
      <c r="K224" s="16">
        <f t="shared" ref="K224:K225" si="52">J224/$J$226</f>
        <v>0.44444444444444442</v>
      </c>
      <c r="L224" s="14">
        <f>GETPIVOTDATA("Répondant",Croisements!$H$465,"Question 21",3,"L'âge regrouper",2)</f>
        <v>0</v>
      </c>
      <c r="M224" s="16">
        <f t="shared" si="49"/>
        <v>0</v>
      </c>
      <c r="N224" s="14">
        <f>GETPIVOTDATA("Répondant",Croisements!$H$465,"Question 21",3,"L'âge regrouper",3)</f>
        <v>0</v>
      </c>
      <c r="O224" s="16">
        <f t="shared" si="50"/>
        <v>0</v>
      </c>
    </row>
    <row r="225" spans="1:15">
      <c r="A225" s="52" t="s">
        <v>349</v>
      </c>
      <c r="B225" s="92" t="str">
        <f>'Khi2'!R820</f>
        <v>0.19*</v>
      </c>
      <c r="C225" s="35"/>
      <c r="D225" s="92"/>
      <c r="E225" s="35"/>
      <c r="F225" s="92"/>
      <c r="G225" s="35"/>
      <c r="H225" s="45"/>
      <c r="I225" s="32" t="s">
        <v>50</v>
      </c>
      <c r="J225" s="14">
        <f>GETPIVOTDATA("Répondant",Croisements!$H$465,"Question 21",4,"L'âge regrouper",1)</f>
        <v>1</v>
      </c>
      <c r="K225" s="16">
        <f t="shared" si="52"/>
        <v>0.1111111111111111</v>
      </c>
      <c r="L225" s="14">
        <f>GETPIVOTDATA("Répondant",Croisements!$H$465,"Question 21",4,"L'âge regrouper",2)</f>
        <v>0</v>
      </c>
      <c r="M225" s="16">
        <f t="shared" si="49"/>
        <v>0</v>
      </c>
      <c r="N225" s="14">
        <f>GETPIVOTDATA("Répondant",Croisements!$H$465,"Question 21",4,"L'âge regrouper",3)</f>
        <v>1</v>
      </c>
      <c r="O225" s="16">
        <f t="shared" si="50"/>
        <v>0.5</v>
      </c>
    </row>
    <row r="226" spans="1:15">
      <c r="A226" s="45"/>
      <c r="B226" s="45"/>
      <c r="C226" s="45"/>
      <c r="D226" s="45"/>
      <c r="E226" s="45"/>
      <c r="F226" s="45"/>
      <c r="G226" s="45"/>
      <c r="H226" s="33"/>
      <c r="I226" s="46" t="s">
        <v>345</v>
      </c>
      <c r="J226" s="47">
        <f>J222+J223+J224+J225</f>
        <v>9</v>
      </c>
      <c r="K226" s="449">
        <f>SUM(K222:K225)</f>
        <v>1</v>
      </c>
      <c r="L226" s="47">
        <f>SUM(L222:L225)</f>
        <v>4</v>
      </c>
      <c r="M226" s="449">
        <f>SUM(M222:M225)</f>
        <v>1</v>
      </c>
      <c r="N226" s="47">
        <f>SUM(N222:N225)</f>
        <v>2</v>
      </c>
      <c r="O226" s="449">
        <f>SUM(O222:O225)</f>
        <v>1</v>
      </c>
    </row>
    <row r="227" spans="1:15">
      <c r="A227" s="52"/>
      <c r="B227" s="284"/>
      <c r="C227" s="35"/>
      <c r="D227" s="284"/>
      <c r="E227" s="35"/>
      <c r="F227" s="284"/>
      <c r="G227" s="35"/>
      <c r="H227" s="33"/>
      <c r="I227" s="52" t="s">
        <v>349</v>
      </c>
      <c r="J227" s="284">
        <f>'Khi2'!R828</f>
        <v>0.01</v>
      </c>
      <c r="K227" s="35"/>
      <c r="L227" s="284"/>
      <c r="M227" s="35"/>
      <c r="N227" s="284"/>
      <c r="O227" s="35"/>
    </row>
    <row r="228" spans="1:15">
      <c r="A228" s="45"/>
      <c r="B228" s="45"/>
      <c r="C228" s="45"/>
      <c r="D228" s="45"/>
      <c r="E228" s="45"/>
      <c r="F228" s="45"/>
      <c r="G228" s="45"/>
      <c r="H228" s="11"/>
      <c r="I228" s="45"/>
      <c r="J228" s="45"/>
      <c r="K228" s="45"/>
      <c r="L228" s="45"/>
      <c r="M228" s="45"/>
      <c r="N228" s="45"/>
      <c r="O228" s="45"/>
    </row>
    <row r="229" spans="1:15">
      <c r="A229" s="590" t="s">
        <v>492</v>
      </c>
      <c r="B229" s="605"/>
      <c r="C229" s="605"/>
      <c r="D229" s="605"/>
      <c r="E229" s="605"/>
      <c r="F229" s="605"/>
      <c r="G229" s="605"/>
      <c r="H229" s="11"/>
      <c r="I229" s="590" t="s">
        <v>860</v>
      </c>
      <c r="J229" s="605"/>
      <c r="K229" s="605"/>
      <c r="L229" s="605"/>
      <c r="M229" s="605"/>
      <c r="N229" s="605"/>
      <c r="O229" s="605"/>
    </row>
    <row r="230" spans="1:15">
      <c r="A230" s="619" t="s">
        <v>493</v>
      </c>
      <c r="B230" s="620"/>
      <c r="C230" s="620"/>
      <c r="D230" s="620"/>
      <c r="E230" s="620"/>
      <c r="F230" s="620"/>
      <c r="G230" s="620"/>
      <c r="H230" s="11"/>
      <c r="I230" s="601" t="s">
        <v>425</v>
      </c>
      <c r="J230" s="607"/>
      <c r="K230" s="607"/>
      <c r="L230" s="607"/>
      <c r="M230" s="607"/>
      <c r="N230" s="607"/>
      <c r="O230" s="607"/>
    </row>
    <row r="231" spans="1:15">
      <c r="A231" s="633" t="s">
        <v>637</v>
      </c>
      <c r="B231" s="655"/>
      <c r="C231" s="655"/>
      <c r="D231" s="655"/>
      <c r="E231" s="655"/>
      <c r="F231" s="655"/>
      <c r="G231" s="655"/>
      <c r="H231" s="11"/>
      <c r="I231" s="633" t="s">
        <v>637</v>
      </c>
      <c r="J231" s="655"/>
      <c r="K231" s="655"/>
      <c r="L231" s="655"/>
      <c r="M231" s="655"/>
      <c r="N231" s="655"/>
      <c r="O231" s="655"/>
    </row>
    <row r="232" spans="1:15">
      <c r="A232" s="598"/>
      <c r="B232" s="599" t="s">
        <v>86</v>
      </c>
      <c r="C232" s="600"/>
      <c r="D232" s="599" t="s">
        <v>87</v>
      </c>
      <c r="E232" s="600"/>
      <c r="F232" s="595" t="s">
        <v>90</v>
      </c>
      <c r="G232" s="596"/>
      <c r="H232" s="11"/>
      <c r="I232" s="598"/>
      <c r="J232" s="599" t="s">
        <v>86</v>
      </c>
      <c r="K232" s="600"/>
      <c r="L232" s="599" t="s">
        <v>87</v>
      </c>
      <c r="M232" s="600"/>
      <c r="N232" s="595" t="s">
        <v>90</v>
      </c>
      <c r="O232" s="596"/>
    </row>
    <row r="233" spans="1:15">
      <c r="A233" s="594"/>
      <c r="B233" s="14" t="s">
        <v>103</v>
      </c>
      <c r="C233" s="14" t="s">
        <v>104</v>
      </c>
      <c r="D233" s="287" t="s">
        <v>103</v>
      </c>
      <c r="E233" s="14" t="s">
        <v>104</v>
      </c>
      <c r="F233" s="287" t="s">
        <v>103</v>
      </c>
      <c r="G233" s="14" t="s">
        <v>104</v>
      </c>
      <c r="H233" s="11"/>
      <c r="I233" s="594"/>
      <c r="J233" s="14" t="s">
        <v>103</v>
      </c>
      <c r="K233" s="14" t="s">
        <v>104</v>
      </c>
      <c r="L233" s="10" t="s">
        <v>103</v>
      </c>
      <c r="M233" s="14" t="s">
        <v>104</v>
      </c>
      <c r="N233" s="10" t="s">
        <v>103</v>
      </c>
      <c r="O233" s="14" t="s">
        <v>104</v>
      </c>
    </row>
    <row r="234" spans="1:15">
      <c r="A234" s="15" t="s">
        <v>81</v>
      </c>
      <c r="B234" s="14">
        <f>GETPIVOTDATA("Répondant",Croisements!$H$477,"Question 21A",1,"L'âge regrouper",1)+GETPIVOTDATA("Répondant",Croisements!$H$477,"Question 21A",2,"L'âge regrouper",1)</f>
        <v>4</v>
      </c>
      <c r="C234" s="16">
        <f>B234/B236</f>
        <v>0.5714285714285714</v>
      </c>
      <c r="D234" s="14">
        <f>GETPIVOTDATA("Répondant",Croisements!$H$477,"Question 21A",1,"L'âge regrouper",2)+GETPIVOTDATA("Répondant",Croisements!$H$477,"Question 21A",2,"L'âge regrouper",2)</f>
        <v>1</v>
      </c>
      <c r="E234" s="16">
        <f>D234/D236</f>
        <v>0.5</v>
      </c>
      <c r="F234" s="14">
        <f>GETPIVOTDATA("Répondant",Croisements!$H$477,"Question 21A",1,"L'âge regrouper",3)+GETPIVOTDATA("Répondant",Croisements!$H$477,"Question 21A",2,"L'âge regrouper",3)</f>
        <v>0</v>
      </c>
      <c r="G234" s="16">
        <f>F234/F236</f>
        <v>0</v>
      </c>
      <c r="H234" s="11"/>
      <c r="I234" s="15" t="s">
        <v>35</v>
      </c>
      <c r="J234" s="14">
        <f>GETPIVOTDATA("Répondant",Croisements!$H$488,"Question 22.1",1,"L'âge regrouper",1)</f>
        <v>4</v>
      </c>
      <c r="K234" s="16">
        <f>J234/J236</f>
        <v>0.44444444444444442</v>
      </c>
      <c r="L234" s="14">
        <f>GETPIVOTDATA("Répondant",Croisements!$H$488,"Question 22.1",1,"L'âge regrouper",2)</f>
        <v>2</v>
      </c>
      <c r="M234" s="16">
        <f>L234/L236</f>
        <v>0.5</v>
      </c>
      <c r="N234" s="14">
        <f>GETPIVOTDATA("Répondant",Croisements!$H$488,"Question 22.1",1,"L'âge regrouper",3)</f>
        <v>2</v>
      </c>
      <c r="O234" s="16">
        <f>N234/N236</f>
        <v>1</v>
      </c>
    </row>
    <row r="235" spans="1:15">
      <c r="A235" s="15" t="s">
        <v>82</v>
      </c>
      <c r="B235" s="14">
        <f>GETPIVOTDATA("Répondant",Croisements!$H$477,"Question 21A",3,"L'âge regrouper",1)+GETPIVOTDATA("Répondant",Croisements!$H$477,"Question 21A",4,"L'âge regrouper",1)</f>
        <v>3</v>
      </c>
      <c r="C235" s="16">
        <f>B235/B236</f>
        <v>0.42857142857142855</v>
      </c>
      <c r="D235" s="14">
        <f>GETPIVOTDATA("Répondant",Croisements!$H$477,"Question 21A",3,"L'âge regrouper",2)+GETPIVOTDATA("Répondant",Croisements!$H$477,"Question 21A",4,"L'âge regrouper",2)</f>
        <v>1</v>
      </c>
      <c r="E235" s="16">
        <f>D235/D236</f>
        <v>0.5</v>
      </c>
      <c r="F235" s="14">
        <f>GETPIVOTDATA("Répondant",Croisements!$H$477,"Question 21A",3,"L'âge regrouper",3)+GETPIVOTDATA("Répondant",Croisements!$H$477,"Question 21A",4,"L'âge regrouper",3)</f>
        <v>1</v>
      </c>
      <c r="G235" s="16">
        <f>F235/F236</f>
        <v>1</v>
      </c>
      <c r="H235" s="45"/>
      <c r="I235" s="15" t="s">
        <v>36</v>
      </c>
      <c r="J235" s="14">
        <f>GETPIVOTDATA("Répondant",Croisements!$H$488,"Question 22.1",2,"L'âge regrouper",1)</f>
        <v>5</v>
      </c>
      <c r="K235" s="16">
        <f>J235/J236</f>
        <v>0.55555555555555558</v>
      </c>
      <c r="L235" s="14">
        <f>GETPIVOTDATA("Répondant",Croisements!$H$488,"Question 22.1",2,"L'âge regrouper",2)</f>
        <v>2</v>
      </c>
      <c r="M235" s="16">
        <f>L235/L236</f>
        <v>0.5</v>
      </c>
      <c r="N235" s="14">
        <f>GETPIVOTDATA("Répondant",Croisements!$H$488,"Question 22.1",2,"L'âge regrouper",3)</f>
        <v>0</v>
      </c>
      <c r="O235" s="16">
        <f>N235/N236</f>
        <v>0</v>
      </c>
    </row>
    <row r="236" spans="1:15">
      <c r="A236" s="46" t="s">
        <v>345</v>
      </c>
      <c r="B236" s="47">
        <f t="shared" ref="B236:G236" si="53">B234+B235</f>
        <v>7</v>
      </c>
      <c r="C236" s="449">
        <f t="shared" si="53"/>
        <v>1</v>
      </c>
      <c r="D236" s="47">
        <f t="shared" si="53"/>
        <v>2</v>
      </c>
      <c r="E236" s="449">
        <f t="shared" si="53"/>
        <v>1</v>
      </c>
      <c r="F236" s="47">
        <f t="shared" si="53"/>
        <v>1</v>
      </c>
      <c r="G236" s="449">
        <f t="shared" si="53"/>
        <v>1</v>
      </c>
      <c r="H236" s="33"/>
      <c r="I236" s="46" t="s">
        <v>345</v>
      </c>
      <c r="J236" s="47">
        <f t="shared" ref="J236:O236" si="54">J234+J235</f>
        <v>9</v>
      </c>
      <c r="K236" s="449">
        <f t="shared" si="54"/>
        <v>1</v>
      </c>
      <c r="L236" s="47">
        <f t="shared" si="54"/>
        <v>4</v>
      </c>
      <c r="M236" s="449">
        <f t="shared" si="54"/>
        <v>1</v>
      </c>
      <c r="N236" s="47">
        <f t="shared" si="54"/>
        <v>2</v>
      </c>
      <c r="O236" s="449">
        <f t="shared" si="54"/>
        <v>1</v>
      </c>
    </row>
    <row r="237" spans="1:15">
      <c r="A237" s="52" t="s">
        <v>349</v>
      </c>
      <c r="B237" s="284" t="str">
        <f>'Khi2'!R838</f>
        <v>0.29*</v>
      </c>
      <c r="C237" s="35"/>
      <c r="D237" s="284"/>
      <c r="E237" s="35"/>
      <c r="F237" s="284"/>
      <c r="G237" s="35"/>
      <c r="H237" s="11"/>
      <c r="I237" s="52" t="s">
        <v>349</v>
      </c>
      <c r="J237" s="92" t="str">
        <f>'Khi2'!R846</f>
        <v>0.15*</v>
      </c>
      <c r="K237" s="35"/>
      <c r="L237" s="92"/>
      <c r="M237" s="35"/>
      <c r="N237" s="92"/>
      <c r="O237" s="35"/>
    </row>
    <row r="238" spans="1:15">
      <c r="A238" s="45"/>
      <c r="B238" s="45"/>
      <c r="C238" s="45"/>
      <c r="D238" s="45"/>
      <c r="E238" s="45"/>
      <c r="F238" s="45"/>
      <c r="G238" s="45"/>
      <c r="H238" s="11"/>
      <c r="I238" s="45"/>
      <c r="J238" s="45"/>
      <c r="K238" s="45"/>
      <c r="L238" s="45"/>
      <c r="M238" s="45"/>
      <c r="N238" s="45"/>
      <c r="O238" s="45"/>
    </row>
    <row r="239" spans="1:15">
      <c r="A239" s="590" t="s">
        <v>761</v>
      </c>
      <c r="B239" s="605"/>
      <c r="C239" s="605"/>
      <c r="D239" s="605"/>
      <c r="E239" s="605"/>
      <c r="F239" s="605"/>
      <c r="G239" s="605"/>
      <c r="H239" s="11"/>
      <c r="I239" s="590" t="s">
        <v>898</v>
      </c>
      <c r="J239" s="605"/>
      <c r="K239" s="605"/>
      <c r="L239" s="605"/>
      <c r="M239" s="605"/>
      <c r="N239" s="605"/>
      <c r="O239" s="605"/>
    </row>
    <row r="240" spans="1:15">
      <c r="A240" s="633" t="s">
        <v>637</v>
      </c>
      <c r="B240" s="655"/>
      <c r="C240" s="655"/>
      <c r="D240" s="655"/>
      <c r="E240" s="655"/>
      <c r="F240" s="655"/>
      <c r="G240" s="655"/>
      <c r="H240" s="11"/>
      <c r="I240" s="633" t="s">
        <v>637</v>
      </c>
      <c r="J240" s="655"/>
      <c r="K240" s="655"/>
      <c r="L240" s="655"/>
      <c r="M240" s="655"/>
      <c r="N240" s="655"/>
      <c r="O240" s="655"/>
    </row>
    <row r="241" spans="1:15">
      <c r="A241" s="593"/>
      <c r="B241" s="599" t="s">
        <v>86</v>
      </c>
      <c r="C241" s="600"/>
      <c r="D241" s="599" t="s">
        <v>87</v>
      </c>
      <c r="E241" s="600"/>
      <c r="F241" s="595" t="s">
        <v>90</v>
      </c>
      <c r="G241" s="596"/>
      <c r="H241" s="11"/>
      <c r="I241" s="598"/>
      <c r="J241" s="599" t="s">
        <v>86</v>
      </c>
      <c r="K241" s="600"/>
      <c r="L241" s="599" t="s">
        <v>87</v>
      </c>
      <c r="M241" s="600"/>
      <c r="N241" s="595" t="s">
        <v>90</v>
      </c>
      <c r="O241" s="596"/>
    </row>
    <row r="242" spans="1:15">
      <c r="A242" s="594"/>
      <c r="B242" s="14" t="s">
        <v>103</v>
      </c>
      <c r="C242" s="14" t="s">
        <v>104</v>
      </c>
      <c r="D242" s="10" t="s">
        <v>103</v>
      </c>
      <c r="E242" s="14" t="s">
        <v>104</v>
      </c>
      <c r="F242" s="10" t="s">
        <v>103</v>
      </c>
      <c r="G242" s="14" t="s">
        <v>104</v>
      </c>
      <c r="H242" s="11"/>
      <c r="I242" s="594"/>
      <c r="J242" s="14" t="s">
        <v>103</v>
      </c>
      <c r="K242" s="14" t="s">
        <v>104</v>
      </c>
      <c r="L242" s="10" t="s">
        <v>103</v>
      </c>
      <c r="M242" s="14" t="s">
        <v>104</v>
      </c>
      <c r="N242" s="10" t="s">
        <v>103</v>
      </c>
      <c r="O242" s="14" t="s">
        <v>104</v>
      </c>
    </row>
    <row r="243" spans="1:15">
      <c r="A243" s="15" t="s">
        <v>35</v>
      </c>
      <c r="B243" s="14">
        <f>GETPIVOTDATA("Répondant",Croisements!$H$500,"Question 22.2",1,"L'âge regrouper",1)</f>
        <v>5</v>
      </c>
      <c r="C243" s="16">
        <f>B243/B245</f>
        <v>0.55555555555555558</v>
      </c>
      <c r="D243" s="14">
        <f>GETPIVOTDATA("Répondant",Croisements!$H$500,"Question 22.2",1,"L'âge regrouper",2)</f>
        <v>1</v>
      </c>
      <c r="E243" s="16">
        <f>D243/D245</f>
        <v>0.25</v>
      </c>
      <c r="F243" s="14">
        <f>GETPIVOTDATA("Répondant",Croisements!$H$500,"Question 22.2",1,"L'âge regrouper",3)</f>
        <v>1</v>
      </c>
      <c r="G243" s="16">
        <f>F243/F245</f>
        <v>0.5</v>
      </c>
      <c r="H243" s="11"/>
      <c r="I243" s="15" t="s">
        <v>35</v>
      </c>
      <c r="J243" s="14">
        <f>GETPIVOTDATA("Répondant",Croisements!$H$510,"Question 22.3",1,"L'âge regrouper",1)</f>
        <v>4</v>
      </c>
      <c r="K243" s="16">
        <f>J243/J245</f>
        <v>0.44444444444444442</v>
      </c>
      <c r="L243" s="14">
        <f>GETPIVOTDATA("Répondant",Croisements!$H$510,"Question 22.3",1,"L'âge regrouper",2)</f>
        <v>2</v>
      </c>
      <c r="M243" s="16">
        <f>L243/L245</f>
        <v>0.5</v>
      </c>
      <c r="N243" s="14">
        <f>GETPIVOTDATA("Répondant",Croisements!$H$510,"Question 22.3",1,"L'âge regrouper",3)</f>
        <v>2</v>
      </c>
      <c r="O243" s="16">
        <f>N243/N245</f>
        <v>1</v>
      </c>
    </row>
    <row r="244" spans="1:15">
      <c r="A244" s="15" t="s">
        <v>36</v>
      </c>
      <c r="B244" s="14">
        <f>GETPIVOTDATA("Répondant",Croisements!$H$500,"Question 22.2",2,"L'âge regrouper",1)</f>
        <v>4</v>
      </c>
      <c r="C244" s="16">
        <f>B244/B245</f>
        <v>0.44444444444444442</v>
      </c>
      <c r="D244" s="14">
        <f>GETPIVOTDATA("Répondant",Croisements!$H$500,"Question 22.2",2,"L'âge regrouper",2)</f>
        <v>3</v>
      </c>
      <c r="E244" s="16">
        <f>D244/D245</f>
        <v>0.75</v>
      </c>
      <c r="F244" s="14">
        <f>GETPIVOTDATA("Répondant",Croisements!$H$500,"Question 22.2",2,"L'âge regrouper",3)</f>
        <v>1</v>
      </c>
      <c r="G244" s="16">
        <f>F244/F245</f>
        <v>0.5</v>
      </c>
      <c r="H244" s="11"/>
      <c r="I244" s="15" t="s">
        <v>36</v>
      </c>
      <c r="J244" s="14">
        <f>GETPIVOTDATA("Répondant",Croisements!$H$510,"Question 22.3",2,"L'âge regrouper",1)</f>
        <v>5</v>
      </c>
      <c r="K244" s="16">
        <f>J244/J245</f>
        <v>0.55555555555555558</v>
      </c>
      <c r="L244" s="14">
        <f>GETPIVOTDATA("Répondant",Croisements!$H$510,"Question 22.3",2,"L'âge regrouper",2)</f>
        <v>2</v>
      </c>
      <c r="M244" s="16">
        <f>L244/L245</f>
        <v>0.5</v>
      </c>
      <c r="N244" s="14">
        <f>GETPIVOTDATA("Répondant",Croisements!$H$510,"Question 22.3",2,"L'âge regrouper",3)</f>
        <v>0</v>
      </c>
      <c r="O244" s="16">
        <f>N244/N245</f>
        <v>0</v>
      </c>
    </row>
    <row r="245" spans="1:15">
      <c r="A245" s="46" t="s">
        <v>345</v>
      </c>
      <c r="B245" s="47">
        <f t="shared" ref="B245:G245" si="55">B243+B244</f>
        <v>9</v>
      </c>
      <c r="C245" s="449">
        <f t="shared" si="55"/>
        <v>1</v>
      </c>
      <c r="D245" s="47">
        <f t="shared" si="55"/>
        <v>4</v>
      </c>
      <c r="E245" s="449">
        <f t="shared" si="55"/>
        <v>1</v>
      </c>
      <c r="F245" s="47">
        <f t="shared" si="55"/>
        <v>2</v>
      </c>
      <c r="G245" s="449">
        <f t="shared" si="55"/>
        <v>1</v>
      </c>
      <c r="H245" s="11"/>
      <c r="I245" s="46" t="s">
        <v>345</v>
      </c>
      <c r="J245" s="47">
        <f t="shared" ref="J245:O245" si="56">J243+J244</f>
        <v>9</v>
      </c>
      <c r="K245" s="449">
        <f t="shared" si="56"/>
        <v>1</v>
      </c>
      <c r="L245" s="47">
        <f t="shared" si="56"/>
        <v>4</v>
      </c>
      <c r="M245" s="449">
        <f t="shared" si="56"/>
        <v>1</v>
      </c>
      <c r="N245" s="47">
        <f t="shared" si="56"/>
        <v>2</v>
      </c>
      <c r="O245" s="449">
        <f t="shared" si="56"/>
        <v>1</v>
      </c>
    </row>
    <row r="246" spans="1:15">
      <c r="A246" s="52" t="s">
        <v>349</v>
      </c>
      <c r="B246" s="92" t="str">
        <f>'Khi2'!R854</f>
        <v>0.31*</v>
      </c>
      <c r="C246" s="35"/>
      <c r="D246" s="92"/>
      <c r="E246" s="35"/>
      <c r="F246" s="92"/>
      <c r="G246" s="35"/>
      <c r="H246" s="11"/>
      <c r="I246" s="52" t="s">
        <v>349</v>
      </c>
      <c r="J246" s="92" t="str">
        <f>'Khi2'!R862</f>
        <v>0.15*</v>
      </c>
      <c r="K246" s="35"/>
      <c r="L246" s="92"/>
      <c r="M246" s="35"/>
      <c r="N246" s="92"/>
      <c r="O246" s="35"/>
    </row>
    <row r="247" spans="1:15">
      <c r="A247" s="45"/>
      <c r="B247" s="45"/>
      <c r="C247" s="45"/>
      <c r="D247" s="45"/>
      <c r="E247" s="45"/>
      <c r="F247" s="45"/>
      <c r="G247" s="45"/>
      <c r="H247" s="11"/>
      <c r="I247" s="52"/>
      <c r="J247" s="92"/>
      <c r="K247" s="35"/>
      <c r="L247" s="92"/>
      <c r="M247" s="35"/>
      <c r="N247" s="92"/>
      <c r="O247" s="35"/>
    </row>
    <row r="248" spans="1:15">
      <c r="A248" s="590" t="s">
        <v>899</v>
      </c>
      <c r="B248" s="605"/>
      <c r="C248" s="605"/>
      <c r="D248" s="605"/>
      <c r="E248" s="605"/>
      <c r="F248" s="605"/>
      <c r="G248" s="605"/>
      <c r="H248" s="11"/>
      <c r="I248" s="590" t="s">
        <v>900</v>
      </c>
      <c r="J248" s="605"/>
      <c r="K248" s="605"/>
      <c r="L248" s="605"/>
      <c r="M248" s="605"/>
      <c r="N248" s="605"/>
      <c r="O248" s="605"/>
    </row>
    <row r="249" spans="1:15">
      <c r="A249" s="45"/>
      <c r="B249" s="45"/>
      <c r="C249" s="45"/>
      <c r="D249" s="45"/>
      <c r="E249" s="45"/>
      <c r="F249" s="45"/>
      <c r="G249" s="45"/>
      <c r="H249" s="45"/>
      <c r="I249" s="601" t="s">
        <v>901</v>
      </c>
      <c r="J249" s="607"/>
      <c r="K249" s="607"/>
      <c r="L249" s="607"/>
      <c r="M249" s="607"/>
      <c r="N249" s="607"/>
      <c r="O249" s="607"/>
    </row>
    <row r="250" spans="1:15">
      <c r="A250" s="633" t="s">
        <v>637</v>
      </c>
      <c r="B250" s="655"/>
      <c r="C250" s="655"/>
      <c r="D250" s="655"/>
      <c r="E250" s="655"/>
      <c r="F250" s="655"/>
      <c r="G250" s="655"/>
      <c r="H250" s="45"/>
      <c r="I250" s="633" t="s">
        <v>637</v>
      </c>
      <c r="J250" s="655"/>
      <c r="K250" s="655"/>
      <c r="L250" s="655"/>
      <c r="M250" s="655"/>
      <c r="N250" s="655"/>
      <c r="O250" s="655"/>
    </row>
    <row r="251" spans="1:15">
      <c r="A251" s="598"/>
      <c r="B251" s="599" t="s">
        <v>86</v>
      </c>
      <c r="C251" s="600"/>
      <c r="D251" s="599" t="s">
        <v>87</v>
      </c>
      <c r="E251" s="600"/>
      <c r="F251" s="595" t="s">
        <v>90</v>
      </c>
      <c r="G251" s="596"/>
      <c r="H251" s="45"/>
      <c r="I251" s="593"/>
      <c r="J251" s="599" t="s">
        <v>86</v>
      </c>
      <c r="K251" s="600"/>
      <c r="L251" s="599" t="s">
        <v>87</v>
      </c>
      <c r="M251" s="600"/>
      <c r="N251" s="595" t="s">
        <v>90</v>
      </c>
      <c r="O251" s="596"/>
    </row>
    <row r="252" spans="1:15">
      <c r="A252" s="594"/>
      <c r="B252" s="14" t="s">
        <v>103</v>
      </c>
      <c r="C252" s="14" t="s">
        <v>104</v>
      </c>
      <c r="D252" s="10" t="s">
        <v>103</v>
      </c>
      <c r="E252" s="14" t="s">
        <v>104</v>
      </c>
      <c r="F252" s="10" t="s">
        <v>103</v>
      </c>
      <c r="G252" s="14" t="s">
        <v>104</v>
      </c>
      <c r="H252" s="45"/>
      <c r="I252" s="594"/>
      <c r="J252" s="14" t="s">
        <v>103</v>
      </c>
      <c r="K252" s="14" t="s">
        <v>104</v>
      </c>
      <c r="L252" s="10" t="s">
        <v>103</v>
      </c>
      <c r="M252" s="14" t="s">
        <v>104</v>
      </c>
      <c r="N252" s="10" t="s">
        <v>103</v>
      </c>
      <c r="O252" s="14" t="s">
        <v>104</v>
      </c>
    </row>
    <row r="253" spans="1:15">
      <c r="A253" s="15" t="s">
        <v>35</v>
      </c>
      <c r="B253" s="14">
        <f>GETPIVOTDATA("Répondant",Croisements!$H$521,"Question 22.5",1,"L'âge regrouper",1)</f>
        <v>4</v>
      </c>
      <c r="C253" s="16">
        <f>B253/B255</f>
        <v>0.44444444444444442</v>
      </c>
      <c r="D253" s="14">
        <f>GETPIVOTDATA("Répondant",Croisements!$H$521,"Question 22.5",1,"L'âge regrouper",2)</f>
        <v>1</v>
      </c>
      <c r="E253" s="16">
        <f>D253/D255</f>
        <v>0.25</v>
      </c>
      <c r="F253" s="14">
        <f>GETPIVOTDATA("Répondant",Croisements!$H$521,"Question 22.5",1,"L'âge regrouper",3)</f>
        <v>1</v>
      </c>
      <c r="G253" s="16">
        <f>F253/F255</f>
        <v>0.5</v>
      </c>
      <c r="H253" s="45"/>
      <c r="I253" s="15" t="s">
        <v>35</v>
      </c>
      <c r="J253" s="14">
        <f>GETPIVOTDATA("Répondant",Croisements!$H$531,"Question 22.6",1,"L'âge regrouper",1)</f>
        <v>3</v>
      </c>
      <c r="K253" s="16">
        <f>J253/J255</f>
        <v>0.33333333333333331</v>
      </c>
      <c r="L253" s="14">
        <f>GETPIVOTDATA("Répondant",Croisements!$H$531,"Question 22.6",1,"L'âge regrouper",2)</f>
        <v>2</v>
      </c>
      <c r="M253" s="16">
        <f>L253/L255</f>
        <v>0.5</v>
      </c>
      <c r="N253" s="14">
        <f>GETPIVOTDATA("Répondant",Croisements!$H$531,"Question 22.6",1,"L'âge regrouper",3)</f>
        <v>2</v>
      </c>
      <c r="O253" s="16">
        <f>N253/N255</f>
        <v>1</v>
      </c>
    </row>
    <row r="254" spans="1:15">
      <c r="A254" s="15" t="s">
        <v>36</v>
      </c>
      <c r="B254" s="14">
        <f>GETPIVOTDATA("Répondant",Croisements!$H$521,"Question 22.5",2,"L'âge regrouper",1)</f>
        <v>5</v>
      </c>
      <c r="C254" s="16">
        <f>B254/B255</f>
        <v>0.55555555555555558</v>
      </c>
      <c r="D254" s="14">
        <f>GETPIVOTDATA("Répondant",Croisements!$H$521,"Question 22.5",2,"L'âge regrouper",2)</f>
        <v>3</v>
      </c>
      <c r="E254" s="16">
        <f>D254/D255</f>
        <v>0.75</v>
      </c>
      <c r="F254" s="14">
        <f>GETPIVOTDATA("Répondant",Croisements!$H$521,"Question 22.5",2,"L'âge regrouper",3)</f>
        <v>1</v>
      </c>
      <c r="G254" s="16">
        <f>F254/F255</f>
        <v>0.5</v>
      </c>
      <c r="H254" s="45"/>
      <c r="I254" s="15" t="s">
        <v>36</v>
      </c>
      <c r="J254" s="14">
        <f>GETPIVOTDATA("Répondant",Croisements!$H$531,"Question 22.6",2,"L'âge regrouper",1)</f>
        <v>6</v>
      </c>
      <c r="K254" s="16">
        <f>J254/J255</f>
        <v>0.66666666666666663</v>
      </c>
      <c r="L254" s="14">
        <f>GETPIVOTDATA("Répondant",Croisements!$H$531,"Question 22.6",2,"L'âge regrouper",2)</f>
        <v>2</v>
      </c>
      <c r="M254" s="16">
        <f>L254/L255</f>
        <v>0.5</v>
      </c>
      <c r="N254" s="14">
        <f>GETPIVOTDATA("Répondant",Croisements!$H$531,"Question 22.6",2,"L'âge regrouper",3)</f>
        <v>0</v>
      </c>
      <c r="O254" s="16">
        <f>N254/N255</f>
        <v>0</v>
      </c>
    </row>
    <row r="255" spans="1:15">
      <c r="A255" s="46" t="s">
        <v>345</v>
      </c>
      <c r="B255" s="47">
        <f t="shared" ref="B255:G255" si="57">B253+B254</f>
        <v>9</v>
      </c>
      <c r="C255" s="449">
        <f t="shared" si="57"/>
        <v>1</v>
      </c>
      <c r="D255" s="47">
        <f t="shared" si="57"/>
        <v>4</v>
      </c>
      <c r="E255" s="449">
        <f t="shared" si="57"/>
        <v>1</v>
      </c>
      <c r="F255" s="47">
        <f t="shared" si="57"/>
        <v>2</v>
      </c>
      <c r="G255" s="449">
        <f t="shared" si="57"/>
        <v>1</v>
      </c>
      <c r="H255" s="45"/>
      <c r="I255" s="46" t="s">
        <v>345</v>
      </c>
      <c r="J255" s="47">
        <f t="shared" ref="J255:O255" si="58">J253+J254</f>
        <v>9</v>
      </c>
      <c r="K255" s="449">
        <f t="shared" si="58"/>
        <v>1</v>
      </c>
      <c r="L255" s="47">
        <f t="shared" si="58"/>
        <v>4</v>
      </c>
      <c r="M255" s="449">
        <f t="shared" si="58"/>
        <v>1</v>
      </c>
      <c r="N255" s="47">
        <f t="shared" si="58"/>
        <v>2</v>
      </c>
      <c r="O255" s="449">
        <f t="shared" si="58"/>
        <v>1</v>
      </c>
    </row>
    <row r="256" spans="1:15">
      <c r="A256" s="52" t="s">
        <v>349</v>
      </c>
      <c r="B256" s="92" t="str">
        <f>'Khi2'!R870</f>
        <v>0.47*</v>
      </c>
      <c r="C256" s="35"/>
      <c r="D256" s="92"/>
      <c r="E256" s="35"/>
      <c r="F256" s="92"/>
      <c r="G256" s="35"/>
      <c r="H256" s="45"/>
      <c r="I256" s="52" t="s">
        <v>349</v>
      </c>
      <c r="J256" s="92" t="str">
        <f>'Khi2'!R878</f>
        <v>0.09*</v>
      </c>
      <c r="K256" s="35"/>
      <c r="L256" s="92"/>
      <c r="M256" s="35"/>
      <c r="N256" s="92"/>
      <c r="O256" s="35"/>
    </row>
    <row r="257" spans="1:17">
      <c r="A257" s="52"/>
      <c r="B257" s="506"/>
      <c r="C257" s="35"/>
      <c r="D257" s="506"/>
      <c r="E257" s="35"/>
      <c r="F257" s="506"/>
      <c r="G257" s="35"/>
      <c r="H257" s="45"/>
      <c r="I257" s="52"/>
      <c r="J257" s="506"/>
      <c r="K257" s="35"/>
      <c r="L257" s="506"/>
      <c r="M257" s="35"/>
      <c r="N257" s="506"/>
      <c r="O257" s="35"/>
    </row>
    <row r="258" spans="1:17">
      <c r="A258" s="590" t="s">
        <v>494</v>
      </c>
      <c r="B258" s="605"/>
      <c r="C258" s="605"/>
      <c r="D258" s="605"/>
      <c r="E258" s="605"/>
      <c r="F258" s="605"/>
      <c r="G258" s="605"/>
      <c r="H258" s="33"/>
      <c r="I258" s="590" t="s">
        <v>496</v>
      </c>
      <c r="J258" s="605"/>
      <c r="K258" s="605"/>
      <c r="L258" s="605"/>
      <c r="M258" s="605"/>
      <c r="N258" s="605"/>
      <c r="O258" s="605"/>
    </row>
    <row r="259" spans="1:17">
      <c r="A259" s="601" t="s">
        <v>495</v>
      </c>
      <c r="B259" s="607"/>
      <c r="C259" s="607"/>
      <c r="D259" s="607"/>
      <c r="E259" s="607"/>
      <c r="F259" s="607"/>
      <c r="G259" s="607"/>
      <c r="H259" s="45"/>
      <c r="I259" s="601" t="s">
        <v>497</v>
      </c>
      <c r="J259" s="607"/>
      <c r="K259" s="607"/>
      <c r="L259" s="607"/>
      <c r="M259" s="607"/>
      <c r="N259" s="607"/>
      <c r="O259" s="607"/>
    </row>
    <row r="260" spans="1:17">
      <c r="H260" s="45"/>
      <c r="I260" s="285" t="s">
        <v>405</v>
      </c>
      <c r="J260" s="286"/>
      <c r="K260" s="286"/>
      <c r="L260" s="286"/>
      <c r="M260" s="286"/>
      <c r="N260" s="286"/>
      <c r="O260" s="286"/>
    </row>
    <row r="261" spans="1:17">
      <c r="A261" s="633" t="s">
        <v>637</v>
      </c>
      <c r="B261" s="655"/>
      <c r="C261" s="655"/>
      <c r="D261" s="655"/>
      <c r="E261" s="655"/>
      <c r="F261" s="655"/>
      <c r="G261" s="655"/>
      <c r="H261" s="45"/>
      <c r="I261" s="633" t="s">
        <v>637</v>
      </c>
      <c r="J261" s="655"/>
      <c r="K261" s="655"/>
      <c r="L261" s="655"/>
      <c r="M261" s="655"/>
      <c r="N261" s="655"/>
      <c r="O261" s="655"/>
    </row>
    <row r="262" spans="1:17">
      <c r="A262" s="598"/>
      <c r="B262" s="599" t="s">
        <v>86</v>
      </c>
      <c r="C262" s="600"/>
      <c r="D262" s="599" t="s">
        <v>87</v>
      </c>
      <c r="E262" s="600"/>
      <c r="F262" s="595" t="s">
        <v>90</v>
      </c>
      <c r="G262" s="596"/>
      <c r="H262" s="45"/>
      <c r="I262" s="593"/>
      <c r="J262" s="599" t="s">
        <v>86</v>
      </c>
      <c r="K262" s="600"/>
      <c r="L262" s="599" t="s">
        <v>87</v>
      </c>
      <c r="M262" s="600"/>
      <c r="N262" s="595" t="s">
        <v>90</v>
      </c>
      <c r="O262" s="596"/>
    </row>
    <row r="263" spans="1:17">
      <c r="A263" s="594"/>
      <c r="B263" s="14" t="s">
        <v>103</v>
      </c>
      <c r="C263" s="14" t="s">
        <v>104</v>
      </c>
      <c r="D263" s="10" t="s">
        <v>103</v>
      </c>
      <c r="E263" s="14" t="s">
        <v>104</v>
      </c>
      <c r="F263" s="10" t="s">
        <v>103</v>
      </c>
      <c r="G263" s="14" t="s">
        <v>104</v>
      </c>
      <c r="H263" s="45"/>
      <c r="I263" s="594"/>
      <c r="J263" s="14" t="s">
        <v>103</v>
      </c>
      <c r="K263" s="14" t="s">
        <v>104</v>
      </c>
      <c r="L263" s="10" t="s">
        <v>103</v>
      </c>
      <c r="M263" s="14" t="s">
        <v>104</v>
      </c>
      <c r="N263" s="10" t="s">
        <v>103</v>
      </c>
      <c r="O263" s="14" t="s">
        <v>104</v>
      </c>
    </row>
    <row r="264" spans="1:17">
      <c r="A264" s="15" t="s">
        <v>35</v>
      </c>
      <c r="B264" s="14">
        <f>GETPIVOTDATA("Répondant",Croisements!$H$540,"Question 23",1,"L'âge regrouper",1)</f>
        <v>6</v>
      </c>
      <c r="C264" s="16">
        <f>B264/B266</f>
        <v>0.66666666666666663</v>
      </c>
      <c r="D264" s="14">
        <f>GETPIVOTDATA("Répondant",Croisements!$H$540,"Question 23",1,"L'âge regrouper",2)</f>
        <v>1</v>
      </c>
      <c r="E264" s="16">
        <f>D264/D266</f>
        <v>0.25</v>
      </c>
      <c r="F264" s="14">
        <f>GETPIVOTDATA("Répondant",Croisements!$H$540,"Question 23",1,"L'âge regrouper",3)</f>
        <v>1</v>
      </c>
      <c r="G264" s="16">
        <f>F264/F266</f>
        <v>0.5</v>
      </c>
      <c r="H264" s="45"/>
      <c r="I264" s="15" t="s">
        <v>35</v>
      </c>
      <c r="J264" s="14">
        <f>GETPIVOTDATA("Répondant",Croisements!$H$550,"Question 24",1,"L'âge regrouper",1)</f>
        <v>5</v>
      </c>
      <c r="K264" s="16">
        <f>J264/J266</f>
        <v>0.55555555555555558</v>
      </c>
      <c r="L264" s="14">
        <f>GETPIVOTDATA("Répondant",Croisements!$H$550,"Question 24",1,"L'âge regrouper",2)</f>
        <v>2</v>
      </c>
      <c r="M264" s="16">
        <f>L264/L266</f>
        <v>0.5</v>
      </c>
      <c r="N264" s="14">
        <f>GETPIVOTDATA("Répondant",Croisements!$H$550,"Question 24",1,"L'âge regrouper",3)</f>
        <v>1</v>
      </c>
      <c r="O264" s="16">
        <f>N264/N266</f>
        <v>0.5</v>
      </c>
      <c r="Q264" s="22"/>
    </row>
    <row r="265" spans="1:17">
      <c r="A265" s="15" t="s">
        <v>36</v>
      </c>
      <c r="B265" s="14">
        <f>GETPIVOTDATA("Répondant",Croisements!$H$540,"Question 23",2,"L'âge regrouper",1)</f>
        <v>3</v>
      </c>
      <c r="C265" s="16">
        <f>B265/B266</f>
        <v>0.33333333333333331</v>
      </c>
      <c r="D265" s="14">
        <f>GETPIVOTDATA("Répondant",Croisements!$H$540,"Question 23",2,"L'âge regrouper",2)</f>
        <v>3</v>
      </c>
      <c r="E265" s="16">
        <f>D265/D266</f>
        <v>0.75</v>
      </c>
      <c r="F265" s="14">
        <f>GETPIVOTDATA("Répondant",Croisements!$H$540,"Question 23",2,"L'âge regrouper",3)</f>
        <v>1</v>
      </c>
      <c r="G265" s="16">
        <f>F265/F266</f>
        <v>0.5</v>
      </c>
      <c r="H265" s="45"/>
      <c r="I265" s="15" t="s">
        <v>36</v>
      </c>
      <c r="J265" s="14">
        <f>GETPIVOTDATA("Répondant",Croisements!$H$550,"Question 24",2,"L'âge regrouper",1)</f>
        <v>4</v>
      </c>
      <c r="K265" s="16">
        <f>J265/J266</f>
        <v>0.44444444444444442</v>
      </c>
      <c r="L265" s="14">
        <f>GETPIVOTDATA("Répondant",Croisements!$H$550,"Question 24",2,"L'âge regrouper",2)</f>
        <v>2</v>
      </c>
      <c r="M265" s="16">
        <f>L265/L266</f>
        <v>0.5</v>
      </c>
      <c r="N265" s="14">
        <f>GETPIVOTDATA("Répondant",Croisements!$H$550,"Question 24",2,"L'âge regrouper",3)</f>
        <v>1</v>
      </c>
      <c r="O265" s="16">
        <f>N265/N266</f>
        <v>0.5</v>
      </c>
    </row>
    <row r="266" spans="1:17">
      <c r="A266" s="46" t="s">
        <v>345</v>
      </c>
      <c r="B266" s="47">
        <f t="shared" ref="B266:G266" si="59">B264+B265</f>
        <v>9</v>
      </c>
      <c r="C266" s="449">
        <f t="shared" si="59"/>
        <v>1</v>
      </c>
      <c r="D266" s="47">
        <f t="shared" si="59"/>
        <v>4</v>
      </c>
      <c r="E266" s="449">
        <f t="shared" si="59"/>
        <v>1</v>
      </c>
      <c r="F266" s="47">
        <f t="shared" si="59"/>
        <v>2</v>
      </c>
      <c r="G266" s="449">
        <f t="shared" si="59"/>
        <v>1</v>
      </c>
      <c r="H266" s="45"/>
      <c r="I266" s="46" t="s">
        <v>345</v>
      </c>
      <c r="J266" s="47">
        <f t="shared" ref="J266:O266" si="60">J264+J265</f>
        <v>9</v>
      </c>
      <c r="K266" s="449">
        <f t="shared" si="60"/>
        <v>1</v>
      </c>
      <c r="L266" s="47">
        <f t="shared" si="60"/>
        <v>4</v>
      </c>
      <c r="M266" s="449">
        <f t="shared" si="60"/>
        <v>1</v>
      </c>
      <c r="N266" s="47">
        <f t="shared" si="60"/>
        <v>2</v>
      </c>
      <c r="O266" s="449">
        <f t="shared" si="60"/>
        <v>1</v>
      </c>
    </row>
    <row r="267" spans="1:17">
      <c r="A267" s="52" t="s">
        <v>349</v>
      </c>
      <c r="B267" s="92" t="str">
        <f>'Khi2'!R886</f>
        <v>0.16*</v>
      </c>
      <c r="C267" s="35"/>
      <c r="D267" s="92"/>
      <c r="E267" s="35"/>
      <c r="F267" s="92"/>
      <c r="G267" s="35"/>
      <c r="H267" s="33"/>
      <c r="I267" s="52" t="s">
        <v>349</v>
      </c>
      <c r="J267" s="92" t="str">
        <f>'Khi2'!R894</f>
        <v>0.83*</v>
      </c>
      <c r="K267" s="35"/>
      <c r="L267" s="92"/>
      <c r="M267" s="35"/>
      <c r="N267" s="92"/>
      <c r="O267" s="35"/>
    </row>
    <row r="268" spans="1:17">
      <c r="A268" s="52"/>
      <c r="B268" s="506"/>
      <c r="C268" s="35"/>
      <c r="D268" s="506"/>
      <c r="E268" s="35"/>
      <c r="F268" s="506"/>
      <c r="G268" s="35"/>
      <c r="H268" s="33"/>
      <c r="I268" s="52"/>
      <c r="J268" s="506"/>
      <c r="K268" s="35"/>
      <c r="L268" s="506"/>
      <c r="M268" s="35"/>
      <c r="N268" s="506"/>
      <c r="O268" s="35"/>
    </row>
    <row r="269" spans="1:17">
      <c r="A269" s="590" t="s">
        <v>498</v>
      </c>
      <c r="B269" s="605"/>
      <c r="C269" s="605"/>
      <c r="D269" s="605"/>
      <c r="E269" s="605"/>
      <c r="F269" s="605"/>
      <c r="G269" s="605"/>
      <c r="H269" s="45"/>
      <c r="I269" s="590" t="s">
        <v>500</v>
      </c>
      <c r="J269" s="605"/>
      <c r="K269" s="605"/>
      <c r="L269" s="605"/>
      <c r="M269" s="605"/>
      <c r="N269" s="605"/>
      <c r="O269" s="605"/>
    </row>
    <row r="270" spans="1:17">
      <c r="A270" s="614" t="s">
        <v>499</v>
      </c>
      <c r="B270" s="632"/>
      <c r="C270" s="632"/>
      <c r="D270" s="632"/>
      <c r="E270" s="632"/>
      <c r="F270" s="632"/>
      <c r="G270" s="632"/>
      <c r="H270" s="45"/>
      <c r="I270" s="614" t="s">
        <v>501</v>
      </c>
      <c r="J270" s="632"/>
      <c r="K270" s="632"/>
      <c r="L270" s="632"/>
      <c r="M270" s="632"/>
      <c r="N270" s="632"/>
      <c r="O270" s="632"/>
    </row>
    <row r="271" spans="1:17">
      <c r="A271" s="45"/>
      <c r="B271" s="45"/>
      <c r="C271" s="45"/>
      <c r="D271" s="45"/>
      <c r="E271" s="45"/>
      <c r="F271" s="45"/>
      <c r="G271" s="45"/>
      <c r="H271" s="45"/>
      <c r="I271" s="614" t="s">
        <v>331</v>
      </c>
      <c r="J271" s="632"/>
      <c r="K271" s="632"/>
      <c r="L271" s="632"/>
      <c r="M271" s="632"/>
      <c r="N271" s="632"/>
      <c r="O271" s="632"/>
    </row>
    <row r="272" spans="1:17">
      <c r="A272" s="633" t="s">
        <v>637</v>
      </c>
      <c r="B272" s="655"/>
      <c r="C272" s="655"/>
      <c r="D272" s="655"/>
      <c r="E272" s="655"/>
      <c r="F272" s="655"/>
      <c r="G272" s="655"/>
      <c r="H272" s="45"/>
      <c r="I272" s="633" t="s">
        <v>637</v>
      </c>
      <c r="J272" s="655"/>
      <c r="K272" s="655"/>
      <c r="L272" s="655"/>
      <c r="M272" s="655"/>
      <c r="N272" s="655"/>
      <c r="O272" s="655"/>
    </row>
    <row r="273" spans="1:15">
      <c r="A273" s="598"/>
      <c r="B273" s="599" t="s">
        <v>86</v>
      </c>
      <c r="C273" s="600"/>
      <c r="D273" s="599" t="s">
        <v>87</v>
      </c>
      <c r="E273" s="600"/>
      <c r="F273" s="595" t="s">
        <v>90</v>
      </c>
      <c r="G273" s="596"/>
      <c r="H273" s="45"/>
      <c r="I273" s="598"/>
      <c r="J273" s="599" t="s">
        <v>86</v>
      </c>
      <c r="K273" s="600"/>
      <c r="L273" s="599" t="s">
        <v>87</v>
      </c>
      <c r="M273" s="600"/>
      <c r="N273" s="595" t="s">
        <v>90</v>
      </c>
      <c r="O273" s="596"/>
    </row>
    <row r="274" spans="1:15">
      <c r="A274" s="594"/>
      <c r="B274" s="14" t="s">
        <v>103</v>
      </c>
      <c r="C274" s="14" t="s">
        <v>104</v>
      </c>
      <c r="D274" s="44" t="s">
        <v>103</v>
      </c>
      <c r="E274" s="14" t="s">
        <v>104</v>
      </c>
      <c r="F274" s="44" t="s">
        <v>103</v>
      </c>
      <c r="G274" s="14" t="s">
        <v>104</v>
      </c>
      <c r="H274" s="45"/>
      <c r="I274" s="594"/>
      <c r="J274" s="14" t="s">
        <v>103</v>
      </c>
      <c r="K274" s="14" t="s">
        <v>104</v>
      </c>
      <c r="L274" s="44" t="s">
        <v>103</v>
      </c>
      <c r="M274" s="14" t="s">
        <v>104</v>
      </c>
      <c r="N274" s="44" t="s">
        <v>103</v>
      </c>
      <c r="O274" s="14" t="s">
        <v>104</v>
      </c>
    </row>
    <row r="275" spans="1:15">
      <c r="A275" s="32" t="s">
        <v>75</v>
      </c>
      <c r="B275" s="14">
        <f>GETPIVOTDATA("Répondant",Croisements!$H$559,"Question 25",1,"L'âge regrouper",1)+GETPIVOTDATA("Répondant",Croisements!$H$559,"Question 25",2,"L'âge regrouper",1)</f>
        <v>5</v>
      </c>
      <c r="C275" s="16">
        <f>B275/B277</f>
        <v>0.55555555555555558</v>
      </c>
      <c r="D275" s="14">
        <f>GETPIVOTDATA("Répondant",Croisements!$H$559,"Question 25",1,"L'âge regrouper",2)+GETPIVOTDATA("Répondant",Croisements!$H$559,"Question 25",2,"L'âge regrouper",2)</f>
        <v>2</v>
      </c>
      <c r="E275" s="16">
        <f>D275/D277</f>
        <v>0.5</v>
      </c>
      <c r="F275" s="14">
        <f>GETPIVOTDATA("Répondant",Croisements!$H$559,"Question 25",1,"L'âge regrouper",3)+GETPIVOTDATA("Répondant",Croisements!$H$559,"Question 25",2,"L'âge regrouper",3)</f>
        <v>1</v>
      </c>
      <c r="G275" s="16">
        <f>F275/F277</f>
        <v>0.5</v>
      </c>
      <c r="H275" s="45"/>
      <c r="I275" s="15" t="s">
        <v>35</v>
      </c>
      <c r="J275" s="14">
        <f>GETPIVOTDATA("Répondant",Croisements!$H$571,"Question 26",1,"L'âge regrouper",1)</f>
        <v>6</v>
      </c>
      <c r="K275" s="16">
        <f>J275/J277</f>
        <v>0.66666666666666663</v>
      </c>
      <c r="L275" s="14">
        <f>GETPIVOTDATA("Répondant",Croisements!$H$571,"Question 26",1,"L'âge regrouper",2)</f>
        <v>0</v>
      </c>
      <c r="M275" s="16">
        <f>L275/L277</f>
        <v>0</v>
      </c>
      <c r="N275" s="14">
        <f>GETPIVOTDATA("Répondant",Croisements!$H$571,"Question 26",1,"L'âge regrouper",3)</f>
        <v>2</v>
      </c>
      <c r="O275" s="16">
        <f>N275/N277</f>
        <v>1</v>
      </c>
    </row>
    <row r="276" spans="1:15">
      <c r="A276" s="32" t="s">
        <v>76</v>
      </c>
      <c r="B276" s="14">
        <f>GETPIVOTDATA("Répondant",Croisements!$H$559,"Question 25",3,"L'âge regrouper",1)+GETPIVOTDATA("Répondant",Croisements!$H$559,"Question 25",4,"L'âge regrouper",1)</f>
        <v>4</v>
      </c>
      <c r="C276" s="16">
        <f>B276/B277</f>
        <v>0.44444444444444442</v>
      </c>
      <c r="D276" s="14">
        <f>GETPIVOTDATA("Répondant",Croisements!$H$559,"Question 25",3,"L'âge regrouper",2)+GETPIVOTDATA("Répondant",Croisements!$H$559,"Question 25",4,"L'âge regrouper",2)</f>
        <v>2</v>
      </c>
      <c r="E276" s="16">
        <f>D276/D277</f>
        <v>0.5</v>
      </c>
      <c r="F276" s="14">
        <f>GETPIVOTDATA("Répondant",Croisements!$H$559,"Question 25",3,"L'âge regrouper",3)+GETPIVOTDATA("Répondant",Croisements!$H$559,"Question 25",4,"L'âge regrouper",3)</f>
        <v>1</v>
      </c>
      <c r="G276" s="16">
        <f>F276/F277</f>
        <v>0.5</v>
      </c>
      <c r="H276" s="45"/>
      <c r="I276" s="15" t="s">
        <v>36</v>
      </c>
      <c r="J276" s="14">
        <f>GETPIVOTDATA("Répondant",Croisements!$H$571,"Question 26",2,"L'âge regrouper",1)</f>
        <v>3</v>
      </c>
      <c r="K276" s="16">
        <f>J276/J277</f>
        <v>0.33333333333333331</v>
      </c>
      <c r="L276" s="14">
        <f>GETPIVOTDATA("Répondant",Croisements!$H$571,"Question 26",2,"L'âge regrouper",2)</f>
        <v>4</v>
      </c>
      <c r="M276" s="16">
        <f>L276/L277</f>
        <v>1</v>
      </c>
      <c r="N276" s="14">
        <f>GETPIVOTDATA("Répondant",Croisements!$H$571,"Question 26",2,"L'âge regrouper",3)</f>
        <v>0</v>
      </c>
      <c r="O276" s="16">
        <f>N276/N277</f>
        <v>0</v>
      </c>
    </row>
    <row r="277" spans="1:15">
      <c r="A277" s="46" t="s">
        <v>345</v>
      </c>
      <c r="B277" s="47">
        <f t="shared" ref="B277:G277" si="61">B275+B276</f>
        <v>9</v>
      </c>
      <c r="C277" s="449">
        <f t="shared" si="61"/>
        <v>1</v>
      </c>
      <c r="D277" s="47">
        <f t="shared" si="61"/>
        <v>4</v>
      </c>
      <c r="E277" s="449">
        <f t="shared" si="61"/>
        <v>1</v>
      </c>
      <c r="F277" s="47">
        <f t="shared" si="61"/>
        <v>2</v>
      </c>
      <c r="G277" s="449">
        <f t="shared" si="61"/>
        <v>1</v>
      </c>
      <c r="H277" s="45"/>
      <c r="I277" s="46" t="s">
        <v>345</v>
      </c>
      <c r="J277" s="47">
        <f t="shared" ref="J277:O277" si="62">J275+J276</f>
        <v>9</v>
      </c>
      <c r="K277" s="449">
        <f t="shared" si="62"/>
        <v>1</v>
      </c>
      <c r="L277" s="47">
        <f t="shared" si="62"/>
        <v>4</v>
      </c>
      <c r="M277" s="449">
        <f t="shared" si="62"/>
        <v>1</v>
      </c>
      <c r="N277" s="47">
        <f t="shared" si="62"/>
        <v>2</v>
      </c>
      <c r="O277" s="449">
        <f t="shared" si="62"/>
        <v>1</v>
      </c>
    </row>
    <row r="278" spans="1:15">
      <c r="A278" s="52" t="s">
        <v>349</v>
      </c>
      <c r="B278" s="92" t="str">
        <f>'Khi2'!R902</f>
        <v>0.83*</v>
      </c>
      <c r="C278" s="35"/>
      <c r="D278" s="92"/>
      <c r="E278" s="35"/>
      <c r="F278" s="92"/>
      <c r="G278" s="35"/>
      <c r="H278" s="33"/>
      <c r="I278" s="52" t="s">
        <v>349</v>
      </c>
      <c r="J278" s="92">
        <f>'Khi2'!R910</f>
        <v>0.01</v>
      </c>
      <c r="K278" s="35"/>
      <c r="L278" s="92"/>
      <c r="M278" s="35"/>
      <c r="N278" s="92"/>
      <c r="O278" s="35"/>
    </row>
    <row r="279" spans="1:15">
      <c r="A279" s="657"/>
      <c r="B279" s="657"/>
      <c r="C279" s="657"/>
      <c r="D279" s="657"/>
      <c r="E279" s="657"/>
      <c r="F279" s="657"/>
      <c r="G279" s="657"/>
      <c r="H279" s="11"/>
      <c r="I279" s="657"/>
      <c r="J279" s="657"/>
      <c r="K279" s="657"/>
      <c r="L279" s="657"/>
      <c r="M279" s="657"/>
      <c r="N279" s="657"/>
      <c r="O279" s="657"/>
    </row>
    <row r="280" spans="1:15">
      <c r="A280" s="640" t="s">
        <v>520</v>
      </c>
      <c r="B280" s="642"/>
      <c r="C280" s="642"/>
      <c r="D280" s="642"/>
      <c r="E280" s="642"/>
      <c r="F280" s="642"/>
      <c r="G280" s="642"/>
      <c r="H280" s="45"/>
      <c r="I280" s="45"/>
      <c r="J280" s="45"/>
      <c r="K280" s="45"/>
      <c r="L280" s="45"/>
      <c r="M280" s="45"/>
      <c r="N280" s="45"/>
      <c r="O280" s="45"/>
    </row>
    <row r="281" spans="1:15">
      <c r="A281" s="641" t="s">
        <v>332</v>
      </c>
      <c r="B281" s="643"/>
      <c r="C281" s="643"/>
      <c r="D281" s="643"/>
      <c r="E281" s="643"/>
      <c r="F281" s="643"/>
      <c r="G281" s="643"/>
      <c r="H281" s="45"/>
      <c r="I281" s="45"/>
      <c r="J281" s="45"/>
      <c r="K281" s="45"/>
      <c r="L281" s="45"/>
      <c r="M281" s="45"/>
      <c r="N281" s="45"/>
      <c r="O281" s="45"/>
    </row>
    <row r="282" spans="1:15">
      <c r="A282" s="45"/>
      <c r="B282" s="45"/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</row>
    <row r="283" spans="1:15">
      <c r="A283" s="633" t="s">
        <v>637</v>
      </c>
      <c r="B283" s="655"/>
      <c r="C283" s="655"/>
      <c r="D283" s="655"/>
      <c r="E283" s="655"/>
      <c r="F283" s="655"/>
      <c r="G283" s="655"/>
      <c r="H283" s="45"/>
      <c r="I283" s="45"/>
      <c r="J283" s="45"/>
      <c r="K283" s="45"/>
      <c r="L283" s="45"/>
      <c r="M283" s="45"/>
      <c r="N283" s="45"/>
      <c r="O283" s="45"/>
    </row>
    <row r="284" spans="1:15">
      <c r="A284" s="598"/>
      <c r="B284" s="599" t="s">
        <v>86</v>
      </c>
      <c r="C284" s="600"/>
      <c r="D284" s="599" t="s">
        <v>87</v>
      </c>
      <c r="E284" s="600"/>
      <c r="F284" s="595" t="s">
        <v>90</v>
      </c>
      <c r="G284" s="596"/>
      <c r="H284" s="45"/>
      <c r="I284" s="45"/>
      <c r="J284" s="45"/>
      <c r="K284" s="45"/>
      <c r="L284" s="45"/>
      <c r="M284" s="45"/>
      <c r="N284" s="45"/>
      <c r="O284" s="45"/>
    </row>
    <row r="285" spans="1:15">
      <c r="A285" s="594"/>
      <c r="B285" s="14" t="s">
        <v>103</v>
      </c>
      <c r="C285" s="14" t="s">
        <v>104</v>
      </c>
      <c r="D285" s="44" t="s">
        <v>103</v>
      </c>
      <c r="E285" s="14" t="s">
        <v>104</v>
      </c>
      <c r="F285" s="44" t="s">
        <v>103</v>
      </c>
      <c r="G285" s="14" t="s">
        <v>104</v>
      </c>
      <c r="H285" s="45"/>
      <c r="I285" s="45"/>
      <c r="J285" s="45"/>
      <c r="K285" s="45"/>
      <c r="L285" s="45"/>
      <c r="M285" s="45"/>
      <c r="N285" s="45"/>
      <c r="O285" s="45"/>
    </row>
    <row r="286" spans="1:15">
      <c r="A286" s="32" t="s">
        <v>254</v>
      </c>
      <c r="B286" s="14">
        <f>GETPIVOTDATA("Répondant",Croisements!$H$582,"Question 27",1,"L'âge regrouper",1)</f>
        <v>2</v>
      </c>
      <c r="C286" s="16">
        <f>B286/$B$291</f>
        <v>0.25</v>
      </c>
      <c r="D286" s="14">
        <f>GETPIVOTDATA("Répondant",Croisements!$H$582,"Question 27",1,"L'âge regrouper",2)</f>
        <v>1</v>
      </c>
      <c r="E286" s="16">
        <f>D286/$D$291</f>
        <v>0.25</v>
      </c>
      <c r="F286" s="14">
        <f>GETPIVOTDATA("Répondant",Croisements!$H$582,"Question 27",1,"L'âge regrouper",3)</f>
        <v>0</v>
      </c>
      <c r="G286" s="16">
        <f>F286/$F$291</f>
        <v>0</v>
      </c>
      <c r="H286" s="45"/>
      <c r="I286" s="45"/>
      <c r="J286" s="45"/>
      <c r="K286" s="45"/>
      <c r="L286" s="45"/>
      <c r="M286" s="45"/>
      <c r="N286" s="45"/>
      <c r="O286" s="45"/>
    </row>
    <row r="287" spans="1:15">
      <c r="A287" s="32" t="s">
        <v>255</v>
      </c>
      <c r="B287" s="14">
        <f>GETPIVOTDATA("Répondant",Croisements!$H$582,"Question 27",2,"L'âge regrouper",1)</f>
        <v>2</v>
      </c>
      <c r="C287" s="16">
        <f>B287/$B$291</f>
        <v>0.25</v>
      </c>
      <c r="D287" s="14">
        <f>GETPIVOTDATA("Répondant",Croisements!$H$582,"Question 27",2,"L'âge regrouper",2)</f>
        <v>1</v>
      </c>
      <c r="E287" s="16">
        <f>D287/$D$291</f>
        <v>0.25</v>
      </c>
      <c r="F287" s="14">
        <f>GETPIVOTDATA("Répondant",Croisements!$H$582,"Question 27",2,"L'âge regrouper",3)</f>
        <v>1</v>
      </c>
      <c r="G287" s="16">
        <f>F287/$F$291</f>
        <v>0.5</v>
      </c>
      <c r="H287" s="45"/>
      <c r="I287" s="45"/>
      <c r="J287" s="45"/>
      <c r="K287" s="45"/>
      <c r="L287" s="45"/>
      <c r="M287" s="45"/>
      <c r="N287" s="45"/>
      <c r="O287" s="45"/>
    </row>
    <row r="288" spans="1:15">
      <c r="A288" s="50" t="s">
        <v>256</v>
      </c>
      <c r="B288" s="14">
        <f>GETPIVOTDATA("Répondant",Croisements!$H$582,"Question 27",3,"L'âge regrouper",1)</f>
        <v>2</v>
      </c>
      <c r="C288" s="16">
        <f>B288/$B$291</f>
        <v>0.25</v>
      </c>
      <c r="D288" s="14">
        <f>GETPIVOTDATA("Répondant",Croisements!$H$582,"Question 27",3,"L'âge regrouper",2)</f>
        <v>1</v>
      </c>
      <c r="E288" s="16">
        <f>D288/$D$291</f>
        <v>0.25</v>
      </c>
      <c r="F288" s="14">
        <f>GETPIVOTDATA("Répondant",Croisements!$H$582,"Question 27",3,"L'âge regrouper",3)</f>
        <v>1</v>
      </c>
      <c r="G288" s="16">
        <f>F288/$F$291</f>
        <v>0.5</v>
      </c>
      <c r="H288" s="45"/>
      <c r="I288" s="45"/>
      <c r="J288" s="45"/>
      <c r="K288" s="45"/>
      <c r="L288" s="45"/>
      <c r="M288" s="45"/>
      <c r="N288" s="45"/>
      <c r="O288" s="45"/>
    </row>
    <row r="289" spans="1:15">
      <c r="A289" s="50" t="s">
        <v>257</v>
      </c>
      <c r="B289" s="14">
        <f>GETPIVOTDATA("Répondant",Croisements!$H$582,"Question 27",4,"L'âge regrouper",1)</f>
        <v>0</v>
      </c>
      <c r="C289" s="16">
        <f>B289/$B$291</f>
        <v>0</v>
      </c>
      <c r="D289" s="14">
        <f>GETPIVOTDATA("Répondant",Croisements!$H$582,"Question 27",4,"L'âge regrouper",2)</f>
        <v>1</v>
      </c>
      <c r="E289" s="16">
        <f>D289/$D$291</f>
        <v>0.25</v>
      </c>
      <c r="F289" s="14">
        <f>GETPIVOTDATA("Répondant",Croisements!$H$582,"Question 27",4,"L'âge regrouper",3)</f>
        <v>0</v>
      </c>
      <c r="G289" s="16">
        <f>F289/$F$291</f>
        <v>0</v>
      </c>
      <c r="H289" s="33"/>
      <c r="I289" s="45"/>
      <c r="J289" s="45"/>
      <c r="K289" s="45"/>
      <c r="L289" s="45"/>
      <c r="M289" s="45"/>
      <c r="N289" s="45"/>
      <c r="O289" s="45"/>
    </row>
    <row r="290" spans="1:15">
      <c r="A290" s="50" t="s">
        <v>258</v>
      </c>
      <c r="B290" s="14">
        <f>GETPIVOTDATA("Répondant",Croisements!$H$582,"Question 27",5,"L'âge regrouper",1)</f>
        <v>2</v>
      </c>
      <c r="C290" s="16">
        <f>B290/$B$291</f>
        <v>0.25</v>
      </c>
      <c r="D290" s="14">
        <f>GETPIVOTDATA("Répondant",Croisements!$H$582,"Question 27",5,"L'âge regrouper",2)</f>
        <v>0</v>
      </c>
      <c r="E290" s="16">
        <f>D290/$D$291</f>
        <v>0</v>
      </c>
      <c r="F290" s="14">
        <f>GETPIVOTDATA("Répondant",Croisements!$H$582,"Question 27",5,"L'âge regrouper",3)</f>
        <v>0</v>
      </c>
      <c r="G290" s="16">
        <f>F290/$F$291</f>
        <v>0</v>
      </c>
      <c r="H290" s="11"/>
      <c r="I290" s="45"/>
      <c r="J290" s="45"/>
      <c r="K290" s="45"/>
      <c r="L290" s="45"/>
      <c r="M290" s="45"/>
      <c r="N290" s="45"/>
      <c r="O290" s="45"/>
    </row>
    <row r="291" spans="1:15">
      <c r="A291" s="46" t="s">
        <v>345</v>
      </c>
      <c r="B291" s="47">
        <f t="shared" ref="B291:G291" si="63">SUM(B286:B290)</f>
        <v>8</v>
      </c>
      <c r="C291" s="449">
        <f t="shared" si="63"/>
        <v>1</v>
      </c>
      <c r="D291" s="47">
        <f t="shared" si="63"/>
        <v>4</v>
      </c>
      <c r="E291" s="449">
        <f t="shared" si="63"/>
        <v>1</v>
      </c>
      <c r="F291" s="47">
        <f t="shared" si="63"/>
        <v>2</v>
      </c>
      <c r="G291" s="449">
        <f t="shared" si="63"/>
        <v>1</v>
      </c>
      <c r="H291" s="45"/>
      <c r="I291" s="45"/>
      <c r="J291" s="45"/>
      <c r="K291" s="45"/>
      <c r="L291" s="45"/>
      <c r="M291" s="45"/>
      <c r="N291" s="45"/>
      <c r="O291" s="45"/>
    </row>
    <row r="292" spans="1:15">
      <c r="A292" s="52" t="s">
        <v>349</v>
      </c>
      <c r="B292" s="45">
        <f>'Khi2'!R918</f>
        <v>0.02</v>
      </c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</row>
    <row r="293" spans="1:15">
      <c r="A293" s="641"/>
      <c r="B293" s="643"/>
      <c r="C293" s="643"/>
      <c r="D293" s="643"/>
      <c r="E293" s="643"/>
      <c r="F293" s="643"/>
      <c r="G293" s="643"/>
      <c r="H293" s="45"/>
      <c r="I293" s="45"/>
      <c r="J293" s="45"/>
      <c r="K293" s="45"/>
      <c r="L293" s="45"/>
      <c r="M293" s="45"/>
      <c r="N293" s="45"/>
      <c r="O293" s="45"/>
    </row>
    <row r="294" spans="1:15">
      <c r="A294" s="45"/>
      <c r="B294" s="45"/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</row>
    <row r="295" spans="1:15">
      <c r="A295" s="45"/>
      <c r="B295" s="45"/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</row>
    <row r="296" spans="1:15">
      <c r="A296" s="45"/>
      <c r="B296" s="45"/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</row>
    <row r="297" spans="1:15">
      <c r="A297" s="45"/>
      <c r="B297" s="45"/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</row>
    <row r="298" spans="1:15">
      <c r="A298" s="45"/>
      <c r="B298" s="45"/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</row>
    <row r="299" spans="1:15" ht="4.5" customHeight="1">
      <c r="A299" s="45"/>
      <c r="B299" s="45"/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</row>
    <row r="300" spans="1:15">
      <c r="A300" s="45"/>
      <c r="B300" s="45"/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</row>
    <row r="301" spans="1:15">
      <c r="A301" s="656"/>
      <c r="B301" s="656"/>
      <c r="C301" s="656"/>
      <c r="D301" s="656"/>
      <c r="E301" s="656"/>
      <c r="F301" s="656"/>
      <c r="G301" s="656"/>
      <c r="H301" s="45"/>
      <c r="I301" s="656"/>
      <c r="J301" s="656"/>
      <c r="K301" s="656"/>
      <c r="L301" s="656"/>
      <c r="M301" s="656"/>
      <c r="N301" s="656"/>
      <c r="O301" s="656"/>
    </row>
    <row r="302" spans="1:15">
      <c r="A302" s="640"/>
      <c r="B302" s="642"/>
      <c r="C302" s="642"/>
      <c r="D302" s="642"/>
      <c r="E302" s="642"/>
      <c r="F302" s="642"/>
      <c r="G302" s="642"/>
      <c r="H302" s="45"/>
      <c r="I302" s="589"/>
      <c r="J302" s="636"/>
      <c r="K302" s="636"/>
      <c r="L302" s="636"/>
      <c r="M302" s="636"/>
      <c r="N302" s="636"/>
      <c r="O302" s="636"/>
    </row>
    <row r="303" spans="1:15">
      <c r="A303" s="641"/>
      <c r="B303" s="643"/>
      <c r="C303" s="643"/>
      <c r="D303" s="643"/>
      <c r="E303" s="643"/>
      <c r="F303" s="643"/>
      <c r="G303" s="643"/>
      <c r="H303" s="45"/>
      <c r="I303" s="653"/>
      <c r="J303" s="654"/>
      <c r="K303" s="654"/>
      <c r="L303" s="654"/>
      <c r="M303" s="654"/>
      <c r="N303" s="654"/>
      <c r="O303" s="654"/>
    </row>
    <row r="304" spans="1:15">
      <c r="A304" s="45"/>
      <c r="B304" s="45"/>
      <c r="C304" s="45"/>
      <c r="D304" s="45"/>
      <c r="E304" s="45"/>
      <c r="F304" s="45"/>
      <c r="G304" s="45"/>
      <c r="H304" s="45"/>
      <c r="I304" s="652"/>
      <c r="J304" s="652"/>
      <c r="K304" s="652"/>
      <c r="L304" s="652"/>
      <c r="M304" s="652"/>
      <c r="N304" s="652"/>
      <c r="O304" s="652"/>
    </row>
    <row r="305" spans="1:15">
      <c r="A305" s="45"/>
      <c r="B305" s="45"/>
      <c r="C305" s="45"/>
      <c r="D305" s="45"/>
      <c r="E305" s="45"/>
      <c r="F305" s="45"/>
      <c r="G305" s="45"/>
      <c r="H305" s="45"/>
      <c r="I305" s="612"/>
      <c r="J305" s="612"/>
      <c r="K305" s="612"/>
      <c r="L305" s="612"/>
      <c r="M305" s="612"/>
      <c r="N305" s="612"/>
      <c r="O305" s="612"/>
    </row>
    <row r="306" spans="1:15">
      <c r="A306" s="45"/>
      <c r="B306" s="45"/>
      <c r="C306" s="45"/>
      <c r="D306" s="45"/>
      <c r="E306" s="45"/>
      <c r="F306" s="45"/>
      <c r="G306" s="45"/>
      <c r="H306" s="45"/>
      <c r="I306" s="612"/>
      <c r="J306" s="284"/>
      <c r="K306" s="284"/>
      <c r="L306" s="284"/>
      <c r="M306" s="284"/>
      <c r="N306" s="284"/>
      <c r="O306" s="284"/>
    </row>
    <row r="307" spans="1:15">
      <c r="A307" s="45"/>
      <c r="B307" s="45"/>
      <c r="C307" s="45"/>
      <c r="D307" s="45"/>
      <c r="E307" s="45"/>
      <c r="F307" s="45"/>
      <c r="G307" s="45"/>
      <c r="H307" s="45"/>
      <c r="I307" s="33"/>
      <c r="J307" s="284"/>
      <c r="K307" s="35"/>
      <c r="L307" s="284"/>
      <c r="M307" s="35"/>
      <c r="N307" s="284"/>
      <c r="O307" s="35"/>
    </row>
    <row r="308" spans="1:15">
      <c r="A308" s="45"/>
      <c r="B308" s="45"/>
      <c r="C308" s="45"/>
      <c r="D308" s="45"/>
      <c r="E308" s="45"/>
      <c r="F308" s="45"/>
      <c r="G308" s="45"/>
      <c r="H308" s="45"/>
      <c r="I308" s="33"/>
      <c r="J308" s="284"/>
      <c r="K308" s="35"/>
      <c r="L308" s="284"/>
      <c r="M308" s="35"/>
      <c r="N308" s="284"/>
      <c r="O308" s="35"/>
    </row>
    <row r="309" spans="1:15">
      <c r="A309" s="45"/>
      <c r="B309" s="45"/>
      <c r="C309" s="45"/>
      <c r="D309" s="45"/>
      <c r="E309" s="45"/>
      <c r="F309" s="45"/>
      <c r="G309" s="45"/>
      <c r="H309" s="45"/>
      <c r="I309" s="612"/>
      <c r="J309" s="612"/>
      <c r="K309" s="612"/>
      <c r="L309" s="612"/>
      <c r="M309" s="612"/>
      <c r="N309" s="612"/>
      <c r="O309" s="612"/>
    </row>
    <row r="310" spans="1:15">
      <c r="A310" s="45"/>
      <c r="B310" s="45"/>
      <c r="C310" s="45"/>
      <c r="D310" s="45"/>
      <c r="E310" s="45"/>
      <c r="F310" s="45"/>
      <c r="G310" s="45"/>
      <c r="H310" s="45"/>
      <c r="I310" s="52"/>
      <c r="J310" s="284"/>
      <c r="K310" s="284"/>
      <c r="L310" s="284"/>
      <c r="M310" s="284"/>
      <c r="N310" s="284"/>
      <c r="O310" s="284"/>
    </row>
    <row r="311" spans="1:15">
      <c r="A311" s="45"/>
      <c r="B311" s="45"/>
      <c r="C311" s="45"/>
      <c r="D311" s="45"/>
      <c r="E311" s="45"/>
      <c r="F311" s="45"/>
      <c r="G311" s="45"/>
      <c r="H311" s="45"/>
      <c r="I311" s="656"/>
      <c r="J311" s="656"/>
      <c r="K311" s="656"/>
      <c r="L311" s="656"/>
      <c r="M311" s="656"/>
      <c r="N311" s="656"/>
      <c r="O311" s="656"/>
    </row>
    <row r="312" spans="1:15" ht="4.5" customHeight="1">
      <c r="A312" s="45"/>
      <c r="B312" s="45"/>
      <c r="C312" s="45"/>
      <c r="D312" s="45"/>
      <c r="E312" s="45"/>
      <c r="F312" s="45"/>
      <c r="G312" s="45"/>
      <c r="H312" s="45"/>
      <c r="I312" s="656"/>
      <c r="J312" s="656"/>
      <c r="K312" s="656"/>
      <c r="L312" s="656"/>
      <c r="M312" s="656"/>
      <c r="N312" s="656"/>
      <c r="O312" s="656"/>
    </row>
    <row r="313" spans="1:15">
      <c r="A313" s="45"/>
      <c r="B313" s="45"/>
      <c r="C313" s="45"/>
      <c r="D313" s="45"/>
      <c r="E313" s="45"/>
      <c r="F313" s="45"/>
      <c r="G313" s="45"/>
      <c r="H313" s="45"/>
      <c r="J313" s="45"/>
      <c r="K313" s="45"/>
      <c r="L313" s="45"/>
      <c r="M313" s="45"/>
      <c r="N313" s="45"/>
      <c r="O313" s="45"/>
    </row>
    <row r="314" spans="1:15">
      <c r="A314" s="45"/>
      <c r="B314" s="45"/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</row>
    <row r="315" spans="1:15">
      <c r="A315" s="45"/>
      <c r="B315" s="45"/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</row>
    <row r="316" spans="1:15">
      <c r="A316" s="45"/>
      <c r="B316" s="45"/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</row>
    <row r="317" spans="1:15">
      <c r="A317" s="45"/>
      <c r="B317" s="45"/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</row>
    <row r="318" spans="1:15">
      <c r="A318" s="45"/>
      <c r="B318" s="45"/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</row>
    <row r="319" spans="1:15">
      <c r="A319" s="45"/>
      <c r="B319" s="45"/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</row>
    <row r="320" spans="1:15">
      <c r="A320" s="45"/>
      <c r="B320" s="45"/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</row>
    <row r="321" spans="1:15">
      <c r="A321" s="45"/>
      <c r="B321" s="45"/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</row>
    <row r="322" spans="1:15">
      <c r="A322" s="45"/>
      <c r="B322" s="45"/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</row>
    <row r="323" spans="1:15">
      <c r="A323" s="45"/>
      <c r="B323" s="45"/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</row>
    <row r="324" spans="1:15">
      <c r="A324" s="45"/>
      <c r="B324" s="45"/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</row>
    <row r="325" spans="1:15">
      <c r="A325" s="45"/>
      <c r="B325" s="45"/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</row>
    <row r="326" spans="1:15">
      <c r="A326" s="45"/>
      <c r="B326" s="45"/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</row>
    <row r="327" spans="1:15">
      <c r="A327" s="45"/>
      <c r="B327" s="45"/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</row>
    <row r="328" spans="1:15">
      <c r="A328" s="45"/>
      <c r="B328" s="45"/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</row>
    <row r="329" spans="1:15">
      <c r="A329" s="45"/>
      <c r="B329" s="45"/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</row>
    <row r="330" spans="1:15">
      <c r="A330" s="45"/>
      <c r="B330" s="45"/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</row>
    <row r="331" spans="1:15">
      <c r="A331" s="45"/>
      <c r="B331" s="45"/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</row>
    <row r="332" spans="1:15">
      <c r="A332" s="45"/>
      <c r="B332" s="45"/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</row>
    <row r="333" spans="1:15">
      <c r="A333" s="45"/>
      <c r="B333" s="45"/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</row>
    <row r="334" spans="1:15">
      <c r="A334" s="45"/>
      <c r="B334" s="45"/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</row>
    <row r="335" spans="1:15">
      <c r="A335" s="45"/>
      <c r="B335" s="45"/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</row>
    <row r="336" spans="1:15">
      <c r="A336" s="45"/>
      <c r="B336" s="45"/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</row>
    <row r="337" spans="1:15">
      <c r="A337" s="45"/>
      <c r="B337" s="45"/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</row>
    <row r="338" spans="1:15">
      <c r="A338" s="45"/>
      <c r="B338" s="45"/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</row>
    <row r="339" spans="1:15">
      <c r="A339" s="45"/>
      <c r="B339" s="45"/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</row>
    <row r="340" spans="1:15">
      <c r="A340" s="45"/>
      <c r="B340" s="45"/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</row>
    <row r="341" spans="1:15">
      <c r="A341" s="45"/>
      <c r="B341" s="45"/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</row>
    <row r="342" spans="1:15">
      <c r="A342" s="45"/>
      <c r="B342" s="45"/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</row>
    <row r="343" spans="1:15">
      <c r="A343" s="45"/>
      <c r="B343" s="45"/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</row>
    <row r="344" spans="1:15">
      <c r="A344" s="45"/>
      <c r="B344" s="45"/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</row>
    <row r="345" spans="1:15">
      <c r="A345" s="45"/>
      <c r="B345" s="45"/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</row>
    <row r="346" spans="1:15">
      <c r="A346" s="45"/>
      <c r="B346" s="45"/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</row>
    <row r="347" spans="1:15">
      <c r="A347" s="45"/>
      <c r="B347" s="45"/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</row>
    <row r="348" spans="1:15">
      <c r="A348" s="45"/>
      <c r="B348" s="45"/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</row>
    <row r="349" spans="1:15">
      <c r="A349" s="45"/>
      <c r="B349" s="45"/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</row>
    <row r="350" spans="1:15">
      <c r="A350" s="45"/>
      <c r="B350" s="45"/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</row>
    <row r="351" spans="1:15">
      <c r="A351" s="45"/>
      <c r="B351" s="45"/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</row>
    <row r="352" spans="1:15">
      <c r="A352" s="45"/>
      <c r="B352" s="45"/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</row>
    <row r="353" spans="1:15">
      <c r="A353" s="45"/>
      <c r="B353" s="45"/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</row>
    <row r="354" spans="1:15">
      <c r="A354" s="45"/>
      <c r="B354" s="45"/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</row>
    <row r="355" spans="1:15">
      <c r="A355" s="45"/>
      <c r="B355" s="45"/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</row>
    <row r="356" spans="1:15">
      <c r="A356" s="45"/>
      <c r="B356" s="45"/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</row>
    <row r="357" spans="1:15">
      <c r="A357" s="45"/>
      <c r="B357" s="45"/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</row>
    <row r="358" spans="1:15">
      <c r="A358" s="45"/>
      <c r="B358" s="45"/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</row>
    <row r="359" spans="1:15">
      <c r="A359" s="45"/>
      <c r="B359" s="45"/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</row>
    <row r="360" spans="1:15">
      <c r="A360" s="45"/>
      <c r="B360" s="45"/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</row>
    <row r="361" spans="1:15">
      <c r="A361" s="45"/>
      <c r="B361" s="45"/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</row>
    <row r="362" spans="1:15">
      <c r="A362" s="45"/>
      <c r="B362" s="45"/>
      <c r="C362" s="45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</row>
    <row r="363" spans="1:15">
      <c r="A363" s="45"/>
      <c r="B363" s="45"/>
      <c r="C363" s="45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</row>
    <row r="364" spans="1:15">
      <c r="A364" s="45"/>
      <c r="B364" s="45"/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</row>
    <row r="365" spans="1:15">
      <c r="A365" s="45"/>
      <c r="B365" s="45"/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</row>
    <row r="366" spans="1:15">
      <c r="A366" s="45"/>
      <c r="B366" s="45"/>
      <c r="C366" s="45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</row>
    <row r="367" spans="1:15">
      <c r="A367" s="45"/>
      <c r="B367" s="45"/>
      <c r="C367" s="45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</row>
    <row r="368" spans="1:15">
      <c r="A368" s="45"/>
      <c r="B368" s="45"/>
      <c r="C368" s="45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</row>
    <row r="369" spans="1:15">
      <c r="A369" s="45"/>
      <c r="B369" s="45"/>
      <c r="C369" s="45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</row>
    <row r="370" spans="1:15">
      <c r="A370" s="45"/>
      <c r="B370" s="45"/>
      <c r="C370" s="45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</row>
  </sheetData>
  <mergeCells count="390">
    <mergeCell ref="F3:G3"/>
    <mergeCell ref="A3:A4"/>
    <mergeCell ref="B3:C3"/>
    <mergeCell ref="D3:E3"/>
    <mergeCell ref="I44:O44"/>
    <mergeCell ref="I45:O45"/>
    <mergeCell ref="J37:K37"/>
    <mergeCell ref="L37:M37"/>
    <mergeCell ref="I37:I38"/>
    <mergeCell ref="A22:G22"/>
    <mergeCell ref="A23:G23"/>
    <mergeCell ref="A25:G25"/>
    <mergeCell ref="A24:G24"/>
    <mergeCell ref="B14:C14"/>
    <mergeCell ref="D14:E14"/>
    <mergeCell ref="F14:G14"/>
    <mergeCell ref="A11:G11"/>
    <mergeCell ref="A13:G13"/>
    <mergeCell ref="I11:O11"/>
    <mergeCell ref="I12:O12"/>
    <mergeCell ref="I13:O13"/>
    <mergeCell ref="A44:G44"/>
    <mergeCell ref="A36:G36"/>
    <mergeCell ref="B37:C37"/>
    <mergeCell ref="A89:G89"/>
    <mergeCell ref="A87:G87"/>
    <mergeCell ref="A88:G88"/>
    <mergeCell ref="D60:E60"/>
    <mergeCell ref="I22:O22"/>
    <mergeCell ref="N26:O26"/>
    <mergeCell ref="I23:O23"/>
    <mergeCell ref="I24:O24"/>
    <mergeCell ref="I26:I27"/>
    <mergeCell ref="J26:K26"/>
    <mergeCell ref="L26:M26"/>
    <mergeCell ref="I25:O25"/>
    <mergeCell ref="A60:A61"/>
    <mergeCell ref="B60:C60"/>
    <mergeCell ref="A46:G46"/>
    <mergeCell ref="A47:A48"/>
    <mergeCell ref="B47:C47"/>
    <mergeCell ref="D47:E47"/>
    <mergeCell ref="F47:G47"/>
    <mergeCell ref="A33:G33"/>
    <mergeCell ref="A34:G34"/>
    <mergeCell ref="F37:G37"/>
    <mergeCell ref="A35:G35"/>
    <mergeCell ref="A37:A38"/>
    <mergeCell ref="F80:G80"/>
    <mergeCell ref="A77:G77"/>
    <mergeCell ref="A78:G78"/>
    <mergeCell ref="A79:G79"/>
    <mergeCell ref="N80:O80"/>
    <mergeCell ref="A80:A81"/>
    <mergeCell ref="B80:C80"/>
    <mergeCell ref="D80:E80"/>
    <mergeCell ref="A70:A71"/>
    <mergeCell ref="B70:C70"/>
    <mergeCell ref="N110:O110"/>
    <mergeCell ref="J110:K110"/>
    <mergeCell ref="L110:M110"/>
    <mergeCell ref="A128:G128"/>
    <mergeCell ref="I109:O109"/>
    <mergeCell ref="I100:I101"/>
    <mergeCell ref="J100:K100"/>
    <mergeCell ref="I107:O107"/>
    <mergeCell ref="I108:O108"/>
    <mergeCell ref="N100:O100"/>
    <mergeCell ref="L100:M100"/>
    <mergeCell ref="I110:I111"/>
    <mergeCell ref="I119:O119"/>
    <mergeCell ref="I117:O117"/>
    <mergeCell ref="I118:O118"/>
    <mergeCell ref="J120:K120"/>
    <mergeCell ref="A117:G117"/>
    <mergeCell ref="A97:G97"/>
    <mergeCell ref="F90:G90"/>
    <mergeCell ref="A110:A111"/>
    <mergeCell ref="B110:C110"/>
    <mergeCell ref="D110:E110"/>
    <mergeCell ref="F100:G100"/>
    <mergeCell ref="A98:G98"/>
    <mergeCell ref="A99:G99"/>
    <mergeCell ref="A107:G107"/>
    <mergeCell ref="A108:G108"/>
    <mergeCell ref="A109:G109"/>
    <mergeCell ref="F110:G110"/>
    <mergeCell ref="A90:A91"/>
    <mergeCell ref="B90:C90"/>
    <mergeCell ref="D90:E90"/>
    <mergeCell ref="A210:A211"/>
    <mergeCell ref="J201:K201"/>
    <mergeCell ref="L201:M201"/>
    <mergeCell ref="I179:O179"/>
    <mergeCell ref="J180:K180"/>
    <mergeCell ref="L180:M180"/>
    <mergeCell ref="F180:G180"/>
    <mergeCell ref="J170:K170"/>
    <mergeCell ref="L170:M170"/>
    <mergeCell ref="F170:G170"/>
    <mergeCell ref="A170:A171"/>
    <mergeCell ref="B170:C170"/>
    <mergeCell ref="D170:E170"/>
    <mergeCell ref="N170:O170"/>
    <mergeCell ref="A180:A181"/>
    <mergeCell ref="I178:O178"/>
    <mergeCell ref="I177:O177"/>
    <mergeCell ref="I180:I181"/>
    <mergeCell ref="N180:O180"/>
    <mergeCell ref="D180:E180"/>
    <mergeCell ref="A208:G208"/>
    <mergeCell ref="I208:O208"/>
    <mergeCell ref="I210:I211"/>
    <mergeCell ref="J210:K210"/>
    <mergeCell ref="A218:G218"/>
    <mergeCell ref="B201:C201"/>
    <mergeCell ref="D201:E201"/>
    <mergeCell ref="F201:G201"/>
    <mergeCell ref="B130:C130"/>
    <mergeCell ref="D120:E120"/>
    <mergeCell ref="A120:A121"/>
    <mergeCell ref="A127:G127"/>
    <mergeCell ref="I128:O128"/>
    <mergeCell ref="F210:G210"/>
    <mergeCell ref="I200:M200"/>
    <mergeCell ref="A188:G188"/>
    <mergeCell ref="A179:G179"/>
    <mergeCell ref="A177:G177"/>
    <mergeCell ref="F190:G190"/>
    <mergeCell ref="A190:A191"/>
    <mergeCell ref="B190:C190"/>
    <mergeCell ref="D190:E190"/>
    <mergeCell ref="A189:G189"/>
    <mergeCell ref="A187:G187"/>
    <mergeCell ref="A178:G178"/>
    <mergeCell ref="B180:C180"/>
    <mergeCell ref="D140:E140"/>
    <mergeCell ref="A169:G169"/>
    <mergeCell ref="I232:I233"/>
    <mergeCell ref="I230:O230"/>
    <mergeCell ref="I229:O229"/>
    <mergeCell ref="A239:G239"/>
    <mergeCell ref="J232:K232"/>
    <mergeCell ref="D251:E251"/>
    <mergeCell ref="I251:I252"/>
    <mergeCell ref="L232:M232"/>
    <mergeCell ref="I249:O249"/>
    <mergeCell ref="B251:C251"/>
    <mergeCell ref="I248:O248"/>
    <mergeCell ref="A248:G248"/>
    <mergeCell ref="A231:G231"/>
    <mergeCell ref="A229:G229"/>
    <mergeCell ref="A241:A242"/>
    <mergeCell ref="D232:E232"/>
    <mergeCell ref="I241:I242"/>
    <mergeCell ref="J241:K241"/>
    <mergeCell ref="L241:M241"/>
    <mergeCell ref="B241:C241"/>
    <mergeCell ref="D241:E241"/>
    <mergeCell ref="F241:G241"/>
    <mergeCell ref="F251:G251"/>
    <mergeCell ref="A230:G230"/>
    <mergeCell ref="N160:O160"/>
    <mergeCell ref="I159:O159"/>
    <mergeCell ref="A168:G168"/>
    <mergeCell ref="D150:E150"/>
    <mergeCell ref="F150:G150"/>
    <mergeCell ref="N150:O150"/>
    <mergeCell ref="A157:G157"/>
    <mergeCell ref="A158:G158"/>
    <mergeCell ref="I157:O157"/>
    <mergeCell ref="I158:O158"/>
    <mergeCell ref="J160:K160"/>
    <mergeCell ref="L160:M160"/>
    <mergeCell ref="I160:I161"/>
    <mergeCell ref="A167:G167"/>
    <mergeCell ref="B150:C150"/>
    <mergeCell ref="A159:G159"/>
    <mergeCell ref="A140:A141"/>
    <mergeCell ref="A118:G118"/>
    <mergeCell ref="A119:G119"/>
    <mergeCell ref="A45:G45"/>
    <mergeCell ref="D70:E70"/>
    <mergeCell ref="I68:O68"/>
    <mergeCell ref="I67:O67"/>
    <mergeCell ref="A67:G67"/>
    <mergeCell ref="A68:G68"/>
    <mergeCell ref="A69:G69"/>
    <mergeCell ref="F70:G70"/>
    <mergeCell ref="N60:O60"/>
    <mergeCell ref="F60:G60"/>
    <mergeCell ref="J60:K60"/>
    <mergeCell ref="L60:M60"/>
    <mergeCell ref="I129:O129"/>
    <mergeCell ref="N130:O130"/>
    <mergeCell ref="L120:M120"/>
    <mergeCell ref="F120:G120"/>
    <mergeCell ref="B120:C120"/>
    <mergeCell ref="J130:K130"/>
    <mergeCell ref="L130:M130"/>
    <mergeCell ref="F130:G130"/>
    <mergeCell ref="A130:A131"/>
    <mergeCell ref="A149:G149"/>
    <mergeCell ref="A150:A151"/>
    <mergeCell ref="I137:O137"/>
    <mergeCell ref="I138:O138"/>
    <mergeCell ref="A160:A161"/>
    <mergeCell ref="B160:C160"/>
    <mergeCell ref="A148:G148"/>
    <mergeCell ref="D160:E160"/>
    <mergeCell ref="J47:K47"/>
    <mergeCell ref="A58:G58"/>
    <mergeCell ref="A57:G57"/>
    <mergeCell ref="I58:O58"/>
    <mergeCell ref="I59:O59"/>
    <mergeCell ref="I148:O148"/>
    <mergeCell ref="J140:K140"/>
    <mergeCell ref="L140:M140"/>
    <mergeCell ref="I140:I141"/>
    <mergeCell ref="A139:G139"/>
    <mergeCell ref="A138:G138"/>
    <mergeCell ref="N120:O120"/>
    <mergeCell ref="I120:I121"/>
    <mergeCell ref="D130:E130"/>
    <mergeCell ref="A129:G129"/>
    <mergeCell ref="I130:I131"/>
    <mergeCell ref="F232:G232"/>
    <mergeCell ref="I218:O218"/>
    <mergeCell ref="A217:G217"/>
    <mergeCell ref="B220:C220"/>
    <mergeCell ref="A219:G219"/>
    <mergeCell ref="I219:O219"/>
    <mergeCell ref="B232:C232"/>
    <mergeCell ref="D37:E37"/>
    <mergeCell ref="F160:G160"/>
    <mergeCell ref="F140:G140"/>
    <mergeCell ref="I69:O69"/>
    <mergeCell ref="N140:O140"/>
    <mergeCell ref="I127:O127"/>
    <mergeCell ref="A100:A101"/>
    <mergeCell ref="B100:C100"/>
    <mergeCell ref="D100:E100"/>
    <mergeCell ref="A137:G137"/>
    <mergeCell ref="I150:I151"/>
    <mergeCell ref="I149:O149"/>
    <mergeCell ref="J150:K150"/>
    <mergeCell ref="L150:M150"/>
    <mergeCell ref="B140:C140"/>
    <mergeCell ref="I139:O139"/>
    <mergeCell ref="A147:G147"/>
    <mergeCell ref="B210:C210"/>
    <mergeCell ref="D210:E210"/>
    <mergeCell ref="A209:G209"/>
    <mergeCell ref="A220:A221"/>
    <mergeCell ref="A269:G269"/>
    <mergeCell ref="J251:K251"/>
    <mergeCell ref="L251:M251"/>
    <mergeCell ref="I259:O259"/>
    <mergeCell ref="N251:O251"/>
    <mergeCell ref="L262:M262"/>
    <mergeCell ref="I261:O261"/>
    <mergeCell ref="A250:G250"/>
    <mergeCell ref="I250:O250"/>
    <mergeCell ref="A251:A252"/>
    <mergeCell ref="I258:O258"/>
    <mergeCell ref="A258:G258"/>
    <mergeCell ref="D220:E220"/>
    <mergeCell ref="F220:G220"/>
    <mergeCell ref="I217:O217"/>
    <mergeCell ref="A240:G240"/>
    <mergeCell ref="I220:I221"/>
    <mergeCell ref="J220:K220"/>
    <mergeCell ref="L220:M220"/>
    <mergeCell ref="A232:A233"/>
    <mergeCell ref="A270:G270"/>
    <mergeCell ref="N262:O262"/>
    <mergeCell ref="D262:E262"/>
    <mergeCell ref="F262:G262"/>
    <mergeCell ref="A259:G259"/>
    <mergeCell ref="A262:A263"/>
    <mergeCell ref="B262:C262"/>
    <mergeCell ref="A261:G261"/>
    <mergeCell ref="J262:K262"/>
    <mergeCell ref="I262:I263"/>
    <mergeCell ref="A1:G1"/>
    <mergeCell ref="A2:G2"/>
    <mergeCell ref="N90:O90"/>
    <mergeCell ref="I87:O87"/>
    <mergeCell ref="I88:O88"/>
    <mergeCell ref="J90:K90"/>
    <mergeCell ref="L90:M90"/>
    <mergeCell ref="I90:I91"/>
    <mergeCell ref="I80:I81"/>
    <mergeCell ref="N47:O47"/>
    <mergeCell ref="I60:I61"/>
    <mergeCell ref="A26:A27"/>
    <mergeCell ref="B26:C26"/>
    <mergeCell ref="D26:E26"/>
    <mergeCell ref="F26:G26"/>
    <mergeCell ref="N37:O37"/>
    <mergeCell ref="L47:M47"/>
    <mergeCell ref="I57:O57"/>
    <mergeCell ref="I89:O89"/>
    <mergeCell ref="J70:K70"/>
    <mergeCell ref="N70:O70"/>
    <mergeCell ref="I77:O77"/>
    <mergeCell ref="L70:M70"/>
    <mergeCell ref="I79:O79"/>
    <mergeCell ref="I273:I274"/>
    <mergeCell ref="J273:K273"/>
    <mergeCell ref="I301:O301"/>
    <mergeCell ref="L273:M273"/>
    <mergeCell ref="N273:O273"/>
    <mergeCell ref="A279:G279"/>
    <mergeCell ref="I279:O279"/>
    <mergeCell ref="I272:O272"/>
    <mergeCell ref="A280:G280"/>
    <mergeCell ref="A281:G281"/>
    <mergeCell ref="A293:G293"/>
    <mergeCell ref="A272:G272"/>
    <mergeCell ref="L190:M190"/>
    <mergeCell ref="N190:O190"/>
    <mergeCell ref="I167:O167"/>
    <mergeCell ref="I168:O168"/>
    <mergeCell ref="I312:O312"/>
    <mergeCell ref="I311:O311"/>
    <mergeCell ref="I309:O309"/>
    <mergeCell ref="A284:A285"/>
    <mergeCell ref="B284:C284"/>
    <mergeCell ref="D284:E284"/>
    <mergeCell ref="F284:G284"/>
    <mergeCell ref="I305:I306"/>
    <mergeCell ref="J305:K305"/>
    <mergeCell ref="L305:M305"/>
    <mergeCell ref="N305:O305"/>
    <mergeCell ref="A302:G302"/>
    <mergeCell ref="A303:G303"/>
    <mergeCell ref="A283:G283"/>
    <mergeCell ref="A301:G301"/>
    <mergeCell ref="A273:A274"/>
    <mergeCell ref="B273:C273"/>
    <mergeCell ref="D273:E273"/>
    <mergeCell ref="I187:O187"/>
    <mergeCell ref="F273:G273"/>
    <mergeCell ref="I147:O147"/>
    <mergeCell ref="I170:I171"/>
    <mergeCell ref="I169:O169"/>
    <mergeCell ref="I304:O304"/>
    <mergeCell ref="I303:O303"/>
    <mergeCell ref="I302:O302"/>
    <mergeCell ref="I188:O188"/>
    <mergeCell ref="I198:O198"/>
    <mergeCell ref="I201:I202"/>
    <mergeCell ref="I231:O231"/>
    <mergeCell ref="I209:M209"/>
    <mergeCell ref="L210:M210"/>
    <mergeCell ref="N210:O210"/>
    <mergeCell ref="N232:O232"/>
    <mergeCell ref="I199:O199"/>
    <mergeCell ref="N201:O201"/>
    <mergeCell ref="N241:O241"/>
    <mergeCell ref="I270:O270"/>
    <mergeCell ref="I271:O271"/>
    <mergeCell ref="I269:O269"/>
    <mergeCell ref="N220:O220"/>
    <mergeCell ref="I240:O240"/>
    <mergeCell ref="I239:O239"/>
    <mergeCell ref="J190:K190"/>
    <mergeCell ref="I1:O1"/>
    <mergeCell ref="I2:O2"/>
    <mergeCell ref="I3:I4"/>
    <mergeCell ref="J3:K3"/>
    <mergeCell ref="L3:M3"/>
    <mergeCell ref="N3:O3"/>
    <mergeCell ref="I98:O98"/>
    <mergeCell ref="I99:O99"/>
    <mergeCell ref="I97:O97"/>
    <mergeCell ref="I78:O78"/>
    <mergeCell ref="I47:I48"/>
    <mergeCell ref="J80:K80"/>
    <mergeCell ref="I70:I71"/>
    <mergeCell ref="I14:I15"/>
    <mergeCell ref="J14:K14"/>
    <mergeCell ref="L14:M14"/>
    <mergeCell ref="N14:O14"/>
    <mergeCell ref="I33:O33"/>
    <mergeCell ref="I34:O34"/>
    <mergeCell ref="I36:O36"/>
    <mergeCell ref="L80:M80"/>
    <mergeCell ref="I46:O46"/>
  </mergeCells>
  <phoneticPr fontId="9" type="noConversion"/>
  <pageMargins left="0.39370078740157483" right="0.39370078740157483" top="0.98425196850393704" bottom="0.98425196850393704" header="0.51181102362204722" footer="0.51181102362204722"/>
  <pageSetup paperSize="9" scale="54" orientation="portrait" r:id="rId1"/>
  <headerFooter alignWithMargins="0">
    <oddHeader>&amp;L
[Inscrire le lieu et  l'année]&amp;C&amp;"Arial,Gras"&amp;11Croisements selon l'âge</oddHeader>
    <oddFooter>&amp;LSource : Inscrire le nom de l'enquête</oddFooter>
  </headerFooter>
  <rowBreaks count="5" manualBreakCount="5">
    <brk id="86" max="14" man="1"/>
    <brk id="166" max="14" man="1"/>
    <brk id="246" max="14" man="1"/>
    <brk id="293" max="14" man="1"/>
    <brk id="313" max="14" man="1"/>
  </rowBreaks>
  <colBreaks count="1" manualBreakCount="1">
    <brk id="15" max="42" man="1"/>
  </colBreaks>
</worksheet>
</file>

<file path=xl/worksheets/sheet17.xml><?xml version="1.0" encoding="utf-8"?>
<worksheet xmlns="http://schemas.openxmlformats.org/spreadsheetml/2006/main" xmlns:r="http://schemas.openxmlformats.org/officeDocument/2006/relationships">
  <sheetPr codeName="Feuil35">
    <tabColor theme="1" tint="4.9989318521683403E-2"/>
  </sheetPr>
  <dimension ref="A1:R923"/>
  <sheetViews>
    <sheetView topLeftCell="A284" zoomScale="85" zoomScaleNormal="85" workbookViewId="0">
      <selection activeCell="E308" sqref="E308"/>
    </sheetView>
  </sheetViews>
  <sheetFormatPr baseColWidth="10" defaultRowHeight="14.25"/>
  <cols>
    <col min="1" max="1" width="29.140625" style="59" customWidth="1"/>
    <col min="2" max="2" width="13.140625" style="59" bestFit="1" customWidth="1"/>
    <col min="3" max="3" width="12.5703125" style="59" bestFit="1" customWidth="1"/>
    <col min="4" max="4" width="14.140625" style="59" bestFit="1" customWidth="1"/>
    <col min="5" max="5" width="14.140625" style="59" customWidth="1"/>
    <col min="6" max="6" width="11.5703125" style="59" bestFit="1" customWidth="1"/>
    <col min="7" max="7" width="13.140625" style="59" bestFit="1" customWidth="1"/>
    <col min="8" max="8" width="12.5703125" style="59" bestFit="1" customWidth="1"/>
    <col min="9" max="9" width="14.140625" style="59" bestFit="1" customWidth="1"/>
    <col min="10" max="10" width="11.42578125" style="59"/>
    <col min="11" max="11" width="13.140625" style="59" bestFit="1" customWidth="1"/>
    <col min="12" max="12" width="12.5703125" style="59" bestFit="1" customWidth="1"/>
    <col min="13" max="13" width="14.85546875" style="59" bestFit="1" customWidth="1"/>
    <col min="14" max="16384" width="11.42578125" style="59"/>
  </cols>
  <sheetData>
    <row r="1" spans="1:14" ht="15">
      <c r="A1" s="58" t="s">
        <v>347</v>
      </c>
      <c r="M1" s="60" t="s">
        <v>346</v>
      </c>
      <c r="N1" s="58" t="s">
        <v>350</v>
      </c>
    </row>
    <row r="2" spans="1:14">
      <c r="A2" s="627" t="s">
        <v>635</v>
      </c>
      <c r="B2" s="627"/>
      <c r="C2" s="627"/>
      <c r="D2" s="627"/>
      <c r="E2" s="627"/>
    </row>
    <row r="3" spans="1:14">
      <c r="A3" s="670" t="s">
        <v>636</v>
      </c>
      <c r="B3" s="670"/>
      <c r="C3" s="670"/>
      <c r="D3" s="627"/>
      <c r="E3" s="627"/>
    </row>
    <row r="4" spans="1:14">
      <c r="A4" s="666"/>
      <c r="B4" s="61" t="s">
        <v>102</v>
      </c>
      <c r="C4" s="57" t="s">
        <v>55</v>
      </c>
      <c r="D4" s="57" t="s">
        <v>345</v>
      </c>
      <c r="E4" s="62"/>
      <c r="F4" s="61" t="s">
        <v>102</v>
      </c>
      <c r="G4" s="57" t="s">
        <v>55</v>
      </c>
      <c r="I4" s="61" t="s">
        <v>102</v>
      </c>
      <c r="J4" s="57" t="s">
        <v>55</v>
      </c>
    </row>
    <row r="5" spans="1:14">
      <c r="A5" s="667"/>
      <c r="B5" s="63" t="s">
        <v>103</v>
      </c>
      <c r="C5" s="64" t="s">
        <v>103</v>
      </c>
      <c r="D5" s="46"/>
      <c r="E5" s="52"/>
      <c r="F5" s="63" t="s">
        <v>103</v>
      </c>
      <c r="G5" s="63" t="s">
        <v>103</v>
      </c>
      <c r="I5" s="63" t="s">
        <v>103</v>
      </c>
      <c r="J5" s="63" t="s">
        <v>103</v>
      </c>
    </row>
    <row r="6" spans="1:14">
      <c r="A6" s="46" t="s">
        <v>1</v>
      </c>
      <c r="B6" s="57">
        <f>GETPIVOTDATA("Répondant",Croisements!$A$4,"Question E1",1,"Question 30",1)</f>
        <v>1</v>
      </c>
      <c r="C6" s="57">
        <f>GETPIVOTDATA("Répondant",Croisements!$A$4,"Question E1",1,"Question 30",2)</f>
        <v>2</v>
      </c>
      <c r="D6" s="57">
        <f>B6+C6</f>
        <v>3</v>
      </c>
      <c r="E6" s="62"/>
      <c r="F6" s="65">
        <f>D6*B9/D9</f>
        <v>1.05</v>
      </c>
      <c r="G6" s="65">
        <f>D6*C9/D9</f>
        <v>1.95</v>
      </c>
      <c r="I6" s="65">
        <f>POWER(B6-F6,2)/F6</f>
        <v>2.3809523809523851E-3</v>
      </c>
      <c r="J6" s="65">
        <f t="shared" ref="I6:J8" si="0">POWER(C6-G6,2)/G6</f>
        <v>1.2820512820512844E-3</v>
      </c>
      <c r="L6" s="66">
        <f>I6+I7+I8+J6+J7+J8</f>
        <v>1.4185814185814187</v>
      </c>
      <c r="M6" s="66">
        <f>CHIDIST(L6,1)</f>
        <v>0.23363703577367131</v>
      </c>
      <c r="N6" s="93" t="str">
        <f>IF(M6&lt;0.05,ROUND(M6,2),IF(M6&gt;0.051,CONCATENATE(ROUND(M6,2),"*")))</f>
        <v>0.23*</v>
      </c>
    </row>
    <row r="7" spans="1:14">
      <c r="A7" s="46" t="s">
        <v>935</v>
      </c>
      <c r="B7" s="57">
        <f>GETPIVOTDATA("Répondant",Croisements!$A$4,"Question E1",2,"Question 30",1)</f>
        <v>5</v>
      </c>
      <c r="C7" s="57">
        <f>GETPIVOTDATA("Répondant",Croisements!$A$4,"Question E1",2,"Question 30",2)</f>
        <v>6</v>
      </c>
      <c r="D7" s="57">
        <f>B7+C7</f>
        <v>11</v>
      </c>
      <c r="E7" s="62"/>
      <c r="F7" s="65">
        <f>D7*B9/D9</f>
        <v>3.85</v>
      </c>
      <c r="G7" s="65">
        <f>D7*C9/D9</f>
        <v>7.15</v>
      </c>
      <c r="I7" s="65">
        <f t="shared" si="0"/>
        <v>0.34350649350649343</v>
      </c>
      <c r="J7" s="65">
        <f t="shared" si="0"/>
        <v>0.18496503496503508</v>
      </c>
    </row>
    <row r="8" spans="1:14">
      <c r="A8" s="67" t="s">
        <v>2</v>
      </c>
      <c r="B8" s="68">
        <f>GETPIVOTDATA("Répondant",Croisements!$A$4,"Question E1",3,"Question 30",1)</f>
        <v>1</v>
      </c>
      <c r="C8" s="68">
        <f>GETPIVOTDATA("Répondant",Croisements!$A$4,"Question E1",3,"Question 30",2)</f>
        <v>5</v>
      </c>
      <c r="D8" s="57">
        <f>B8+C8</f>
        <v>6</v>
      </c>
      <c r="E8" s="62"/>
      <c r="F8" s="65">
        <f>D8*B9/D9</f>
        <v>2.1</v>
      </c>
      <c r="G8" s="65">
        <f>D8*C9/D9</f>
        <v>3.9</v>
      </c>
      <c r="I8" s="65">
        <f t="shared" si="0"/>
        <v>0.57619047619047625</v>
      </c>
      <c r="J8" s="65">
        <f t="shared" si="0"/>
        <v>0.31025641025641032</v>
      </c>
    </row>
    <row r="9" spans="1:14">
      <c r="A9" s="46" t="s">
        <v>345</v>
      </c>
      <c r="B9" s="57">
        <f>B6+B7+B8</f>
        <v>7</v>
      </c>
      <c r="C9" s="57">
        <f>C6+C7+C8</f>
        <v>13</v>
      </c>
      <c r="D9" s="57">
        <f>B6+B7+B8+C6+C7+C8</f>
        <v>20</v>
      </c>
      <c r="E9" s="62"/>
    </row>
    <row r="11" spans="1:14">
      <c r="A11" s="623" t="s">
        <v>763</v>
      </c>
      <c r="B11" s="623"/>
      <c r="C11" s="623"/>
      <c r="D11" s="623"/>
      <c r="E11" s="623"/>
      <c r="F11" s="623"/>
    </row>
    <row r="12" spans="1:14">
      <c r="A12" s="609" t="s">
        <v>636</v>
      </c>
      <c r="B12" s="609"/>
      <c r="C12" s="609"/>
      <c r="D12" s="613"/>
      <c r="E12" s="613"/>
    </row>
    <row r="13" spans="1:14">
      <c r="A13" s="666"/>
      <c r="B13" s="61" t="s">
        <v>102</v>
      </c>
      <c r="C13" s="57" t="s">
        <v>55</v>
      </c>
      <c r="D13" s="57" t="s">
        <v>345</v>
      </c>
      <c r="F13" s="61" t="s">
        <v>102</v>
      </c>
      <c r="G13" s="57" t="s">
        <v>55</v>
      </c>
      <c r="I13" s="61" t="s">
        <v>102</v>
      </c>
      <c r="J13" s="57" t="s">
        <v>55</v>
      </c>
    </row>
    <row r="14" spans="1:14">
      <c r="A14" s="667"/>
      <c r="B14" s="63" t="s">
        <v>103</v>
      </c>
      <c r="C14" s="355" t="s">
        <v>103</v>
      </c>
      <c r="D14" s="46"/>
      <c r="F14" s="63" t="s">
        <v>103</v>
      </c>
      <c r="G14" s="63" t="s">
        <v>103</v>
      </c>
      <c r="I14" s="63" t="s">
        <v>103</v>
      </c>
      <c r="J14" s="63" t="s">
        <v>103</v>
      </c>
    </row>
    <row r="15" spans="1:14">
      <c r="A15" s="46" t="s">
        <v>175</v>
      </c>
      <c r="B15" s="57">
        <f>GETPIVOTDATA("Répondant",Croisements!$A$14,"Question E2",1,"Question 30",1)</f>
        <v>4</v>
      </c>
      <c r="C15" s="57">
        <f>GETPIVOTDATA("Répondant",Croisements!$A$14,"Question E2",1,"Question 30",2)</f>
        <v>4</v>
      </c>
      <c r="D15" s="57">
        <f>B15+C15</f>
        <v>8</v>
      </c>
      <c r="F15" s="360">
        <f>D15*B19/D19</f>
        <v>2.9473684210526314</v>
      </c>
      <c r="G15" s="360">
        <f>D15*C19/D19</f>
        <v>4.2105263157894735</v>
      </c>
      <c r="I15" s="65">
        <f>POWER(B15-F15,2)/F15</f>
        <v>0.3759398496240603</v>
      </c>
      <c r="J15" s="65">
        <f t="shared" ref="J15:J18" si="1">POWER(C15-G15,2)/G15</f>
        <v>1.0526315789473661E-2</v>
      </c>
      <c r="L15" s="79">
        <f>I15+I16+I17+I18+J15+J16+J17+J18</f>
        <v>3.6612244897959183</v>
      </c>
      <c r="M15" s="66">
        <f>CHIDIST(L15,1)</f>
        <v>5.5692688451616471E-2</v>
      </c>
      <c r="N15" s="93" t="str">
        <f>IF(M15&lt;0.05,ROUND(M15,2),IF(M15&gt;0.051,CONCATENATE(ROUND(M15,2),"*")))</f>
        <v>0.06*</v>
      </c>
    </row>
    <row r="16" spans="1:14">
      <c r="A16" s="46" t="s">
        <v>176</v>
      </c>
      <c r="B16" s="57">
        <f>GETPIVOTDATA("Répondant",Croisements!$A$14,"Question E2",2,"Question 30",1)</f>
        <v>3</v>
      </c>
      <c r="C16" s="57">
        <f>GETPIVOTDATA("Répondant",Croisements!$A$14,"Question E2",2,"Question 30",2)</f>
        <v>4</v>
      </c>
      <c r="D16" s="57">
        <f>B16+C16</f>
        <v>7</v>
      </c>
      <c r="F16" s="360">
        <f>D16*B19/D19</f>
        <v>2.5789473684210527</v>
      </c>
      <c r="G16" s="360">
        <f>D16*C19/D19</f>
        <v>3.6842105263157894</v>
      </c>
      <c r="I16" s="65">
        <f>POWER(B16-F16,2)/F16</f>
        <v>6.8743286788399555E-2</v>
      </c>
      <c r="J16" s="65">
        <f t="shared" si="1"/>
        <v>2.7067669172932348E-2</v>
      </c>
    </row>
    <row r="17" spans="1:14">
      <c r="A17" s="67" t="s">
        <v>177</v>
      </c>
      <c r="B17" s="354">
        <f>GETPIVOTDATA("Répondant",Croisements!$A$14,"Question E2",3,"Question 30",1)</f>
        <v>0</v>
      </c>
      <c r="C17" s="354">
        <f>GETPIVOTDATA("Répondant",Croisements!$A$14,"Question E2",3,"Question 30",2)</f>
        <v>2</v>
      </c>
      <c r="D17" s="57">
        <f t="shared" ref="D17:D18" si="2">B17+C17</f>
        <v>2</v>
      </c>
      <c r="F17" s="360">
        <f>D17*B19/D19</f>
        <v>0.73684210526315785</v>
      </c>
      <c r="G17" s="360">
        <f>D17*C19/D19</f>
        <v>1.0526315789473684</v>
      </c>
      <c r="I17" s="65">
        <f>POWER(B17-F17,2)/F17</f>
        <v>0.73684210526315785</v>
      </c>
      <c r="J17" s="65">
        <f t="shared" si="1"/>
        <v>0.85263157894736852</v>
      </c>
    </row>
    <row r="18" spans="1:14">
      <c r="A18" s="67" t="s">
        <v>178</v>
      </c>
      <c r="B18" s="354">
        <f>GETPIVOTDATA("Répondant",Croisements!$A$14,"Question E2",4,"Question 30",1)</f>
        <v>0</v>
      </c>
      <c r="C18" s="354">
        <f>GETPIVOTDATA("Répondant",Croisements!$A$14,"Question E2",4,"Question 30",2)</f>
        <v>2</v>
      </c>
      <c r="D18" s="57">
        <f t="shared" si="2"/>
        <v>2</v>
      </c>
      <c r="F18" s="361">
        <f>D18*B19/D19</f>
        <v>0.73684210526315785</v>
      </c>
      <c r="G18" s="360">
        <f>D18*C19/D19</f>
        <v>1.0526315789473684</v>
      </c>
      <c r="I18" s="65">
        <f>POWER(B18-F18,2)/F18</f>
        <v>0.73684210526315785</v>
      </c>
      <c r="J18" s="65">
        <f t="shared" si="1"/>
        <v>0.85263157894736852</v>
      </c>
    </row>
    <row r="19" spans="1:14">
      <c r="A19" s="46" t="s">
        <v>345</v>
      </c>
      <c r="B19" s="57">
        <f>B15+B16+B18</f>
        <v>7</v>
      </c>
      <c r="C19" s="57">
        <f>C15+C16+C18</f>
        <v>10</v>
      </c>
      <c r="D19" s="57">
        <f>B15+B16+B17+C15+C16+C17+B18+C18</f>
        <v>19</v>
      </c>
    </row>
    <row r="21" spans="1:14">
      <c r="A21" s="623" t="s">
        <v>764</v>
      </c>
      <c r="B21" s="623"/>
      <c r="C21" s="623"/>
      <c r="D21" s="623"/>
      <c r="E21" s="623"/>
    </row>
    <row r="22" spans="1:14">
      <c r="A22" s="609" t="s">
        <v>636</v>
      </c>
      <c r="B22" s="609"/>
      <c r="C22" s="609"/>
      <c r="D22" s="613"/>
      <c r="E22" s="613"/>
    </row>
    <row r="23" spans="1:14">
      <c r="A23" s="664"/>
      <c r="B23" s="69" t="s">
        <v>102</v>
      </c>
      <c r="C23" s="70" t="s">
        <v>55</v>
      </c>
      <c r="D23" s="57" t="s">
        <v>345</v>
      </c>
      <c r="E23" s="62"/>
      <c r="F23" s="57" t="s">
        <v>102</v>
      </c>
      <c r="G23" s="57" t="s">
        <v>55</v>
      </c>
      <c r="I23" s="61" t="s">
        <v>102</v>
      </c>
      <c r="J23" s="57" t="s">
        <v>55</v>
      </c>
    </row>
    <row r="24" spans="1:14">
      <c r="A24" s="665"/>
      <c r="B24" s="70" t="s">
        <v>103</v>
      </c>
      <c r="C24" s="70" t="s">
        <v>103</v>
      </c>
      <c r="D24" s="57"/>
      <c r="E24" s="62"/>
      <c r="F24" s="57" t="s">
        <v>103</v>
      </c>
      <c r="G24" s="57" t="s">
        <v>103</v>
      </c>
      <c r="I24" s="63" t="s">
        <v>103</v>
      </c>
      <c r="J24" s="63" t="s">
        <v>103</v>
      </c>
    </row>
    <row r="25" spans="1:14">
      <c r="A25" s="40" t="s">
        <v>71</v>
      </c>
      <c r="B25" s="70">
        <f>GETPIVOTDATA("Répondant",Croisements!$A$25,"Question 1",1,"Question 30",1)+GETPIVOTDATA("Répondant",Croisements!$A$25,"Question 1",2,"Question 30",1)</f>
        <v>3</v>
      </c>
      <c r="C25" s="70">
        <f>GETPIVOTDATA("Répondant",Croisements!$A$25,"Question 1",1,"Question 30",2)+GETPIVOTDATA("Répondant",Croisements!$A$25,"Question 1",2,"Question 30",2)</f>
        <v>8</v>
      </c>
      <c r="D25" s="57">
        <f>B25+C25</f>
        <v>11</v>
      </c>
      <c r="E25" s="62"/>
      <c r="F25" s="65">
        <f>D25*B27/D27</f>
        <v>3.85</v>
      </c>
      <c r="G25" s="65">
        <f>D25*C27/D27</f>
        <v>7.15</v>
      </c>
      <c r="I25" s="65">
        <f>POWER(B25-F25,2)/F25</f>
        <v>0.1876623376623377</v>
      </c>
      <c r="J25" s="65">
        <f>POWER(C25-G25,2)/G25</f>
        <v>0.10104895104895095</v>
      </c>
      <c r="L25" s="66">
        <f>I25+J25+I26+J26</f>
        <v>0.64158064158064143</v>
      </c>
      <c r="M25" s="66">
        <f>CHIDIST(L25,1)</f>
        <v>0.42313900292746609</v>
      </c>
      <c r="N25" s="93" t="str">
        <f>IF(M25&lt;0.05,ROUND(M25,2),IF(M25&gt;0.051,CONCATENATE(ROUND(M25,2),"*")))</f>
        <v>0.42*</v>
      </c>
    </row>
    <row r="26" spans="1:14">
      <c r="A26" s="42" t="s">
        <v>72</v>
      </c>
      <c r="B26" s="70">
        <f>GETPIVOTDATA("Répondant",Croisements!$A$25,"Question 1",3,"Question 30",1)+GETPIVOTDATA("Répondant",Croisements!$A$25,"Question 1",4,"Question 30",1)</f>
        <v>4</v>
      </c>
      <c r="C26" s="70">
        <f>GETPIVOTDATA("Répondant",Croisements!$A$25,"Question 1",3,"Question 30",2)+GETPIVOTDATA("Répondant",Croisements!$A$25,"Question 1",4,"Question 30",2)</f>
        <v>5</v>
      </c>
      <c r="D26" s="57">
        <f>B26+C26</f>
        <v>9</v>
      </c>
      <c r="E26" s="62"/>
      <c r="F26" s="65">
        <f>D26*B27/D27</f>
        <v>3.15</v>
      </c>
      <c r="G26" s="65">
        <f>D26*C27/D27</f>
        <v>5.85</v>
      </c>
      <c r="I26" s="71">
        <f>POWER(B26-F26,2)/F26</f>
        <v>0.22936507936507941</v>
      </c>
      <c r="J26" s="71">
        <f>POWER(C26-G26,2)/G26</f>
        <v>0.1235042735042734</v>
      </c>
    </row>
    <row r="27" spans="1:14">
      <c r="A27" s="46" t="s">
        <v>345</v>
      </c>
      <c r="B27" s="57">
        <f>B25+B26</f>
        <v>7</v>
      </c>
      <c r="C27" s="57">
        <f>C25+C26</f>
        <v>13</v>
      </c>
      <c r="D27" s="57">
        <f>B25+B26+C25+C26</f>
        <v>20</v>
      </c>
      <c r="E27" s="62"/>
      <c r="I27" s="72"/>
      <c r="J27" s="72"/>
    </row>
    <row r="29" spans="1:14">
      <c r="A29" s="590" t="s">
        <v>765</v>
      </c>
      <c r="B29" s="590"/>
      <c r="C29" s="590"/>
      <c r="D29" s="590"/>
      <c r="E29" s="590"/>
      <c r="F29" s="590"/>
      <c r="G29" s="590"/>
    </row>
    <row r="30" spans="1:14">
      <c r="A30" s="609" t="s">
        <v>636</v>
      </c>
      <c r="B30" s="609"/>
      <c r="C30" s="609"/>
      <c r="D30" s="613"/>
      <c r="E30" s="613"/>
    </row>
    <row r="31" spans="1:14">
      <c r="A31" s="664"/>
      <c r="B31" s="69" t="s">
        <v>102</v>
      </c>
      <c r="C31" s="70" t="s">
        <v>55</v>
      </c>
      <c r="D31" s="57" t="s">
        <v>345</v>
      </c>
      <c r="E31" s="62"/>
      <c r="F31" s="57" t="s">
        <v>102</v>
      </c>
      <c r="G31" s="57" t="s">
        <v>55</v>
      </c>
      <c r="I31" s="61" t="s">
        <v>102</v>
      </c>
      <c r="J31" s="57" t="s">
        <v>55</v>
      </c>
    </row>
    <row r="32" spans="1:14">
      <c r="A32" s="665"/>
      <c r="B32" s="70" t="s">
        <v>103</v>
      </c>
      <c r="C32" s="70" t="s">
        <v>103</v>
      </c>
      <c r="D32" s="46"/>
      <c r="E32" s="52"/>
      <c r="F32" s="57" t="s">
        <v>103</v>
      </c>
      <c r="G32" s="57" t="s">
        <v>103</v>
      </c>
      <c r="I32" s="63" t="s">
        <v>103</v>
      </c>
      <c r="J32" s="63" t="s">
        <v>103</v>
      </c>
    </row>
    <row r="33" spans="1:17">
      <c r="A33" s="40" t="s">
        <v>3</v>
      </c>
      <c r="B33" s="70">
        <f>GETPIVOTDATA("Répondant",Croisements!$A$35,"Question 2",1,"Question 30",1)</f>
        <v>3</v>
      </c>
      <c r="C33" s="70">
        <f>GETPIVOTDATA("Répondant",Croisements!$A$35,"Question 2",1,"Question 30",2)</f>
        <v>3</v>
      </c>
      <c r="D33" s="57">
        <f>B33+C33</f>
        <v>6</v>
      </c>
      <c r="E33" s="62"/>
      <c r="F33" s="65">
        <f>D33*B36/D36</f>
        <v>2.4705882352941178</v>
      </c>
      <c r="G33" s="65">
        <f>D33*C36/D36</f>
        <v>3.5294117647058822</v>
      </c>
      <c r="I33" s="65">
        <f t="shared" ref="I33:J35" si="3">POWER(B33-F33,2)/F33</f>
        <v>0.11344537815126046</v>
      </c>
      <c r="J33" s="65">
        <f t="shared" si="3"/>
        <v>7.9411764705882334E-2</v>
      </c>
      <c r="L33" s="66">
        <f>I33+J33+I34+J34+I35+J35</f>
        <v>0.78061224489795933</v>
      </c>
      <c r="M33" s="66">
        <f>CHIDIST(L33,1)</f>
        <v>0.37695395893228051</v>
      </c>
      <c r="N33" s="93" t="str">
        <f>IF(M33&lt;0.05,ROUND(M33,2),IF(M33&gt;0.051,CONCATENATE(ROUND(M33,2),"*")))</f>
        <v>0.38*</v>
      </c>
    </row>
    <row r="34" spans="1:17">
      <c r="A34" s="41" t="s">
        <v>4</v>
      </c>
      <c r="B34" s="70">
        <f>GETPIVOTDATA("Répondant",Croisements!$A$35,"Question 2",2,"Question 30",1)</f>
        <v>2</v>
      </c>
      <c r="C34" s="70">
        <f>GETPIVOTDATA("Répondant",Croisements!$A$35,"Question 2",2,"Question 30",2)</f>
        <v>5</v>
      </c>
      <c r="D34" s="57">
        <f>B34+C34</f>
        <v>7</v>
      </c>
      <c r="E34" s="62"/>
      <c r="F34" s="65">
        <f>D34*B36/D36</f>
        <v>2.8823529411764706</v>
      </c>
      <c r="G34" s="65">
        <f>D34*C36/D36</f>
        <v>4.117647058823529</v>
      </c>
      <c r="I34" s="65">
        <f t="shared" si="3"/>
        <v>0.27010804321728688</v>
      </c>
      <c r="J34" s="65">
        <f t="shared" si="3"/>
        <v>0.18907563025210103</v>
      </c>
    </row>
    <row r="35" spans="1:17">
      <c r="A35" s="42" t="s">
        <v>5</v>
      </c>
      <c r="B35" s="70">
        <f>GETPIVOTDATA("Répondant",Croisements!$A$35,"Question 2",3,"Question 30",1)</f>
        <v>2</v>
      </c>
      <c r="C35" s="70">
        <f>GETPIVOTDATA("Répondant",Croisements!$A$35,"Question 2",3,"Question 30",2)</f>
        <v>2</v>
      </c>
      <c r="D35" s="57">
        <f>B35+C35</f>
        <v>4</v>
      </c>
      <c r="E35" s="62"/>
      <c r="F35" s="65">
        <f>D35*B36/D36</f>
        <v>1.6470588235294117</v>
      </c>
      <c r="G35" s="65">
        <f>D35*C36/D36</f>
        <v>2.3529411764705883</v>
      </c>
      <c r="I35" s="65">
        <f t="shared" si="3"/>
        <v>7.5630252100840373E-2</v>
      </c>
      <c r="J35" s="65">
        <f t="shared" si="3"/>
        <v>5.2941176470588255E-2</v>
      </c>
    </row>
    <row r="36" spans="1:17">
      <c r="A36" s="46" t="s">
        <v>345</v>
      </c>
      <c r="B36" s="57">
        <f>B33+B34+B35</f>
        <v>7</v>
      </c>
      <c r="C36" s="57">
        <f>C33+C34+C35</f>
        <v>10</v>
      </c>
      <c r="D36" s="57">
        <f>B33+C33+B34+C34+B35+C35</f>
        <v>17</v>
      </c>
      <c r="E36" s="62"/>
    </row>
    <row r="38" spans="1:17">
      <c r="A38" s="621" t="s">
        <v>766</v>
      </c>
      <c r="B38" s="621"/>
      <c r="C38" s="621"/>
      <c r="D38" s="621"/>
      <c r="E38" s="621"/>
      <c r="F38" s="621"/>
      <c r="G38" s="621"/>
      <c r="H38" s="621"/>
      <c r="I38" s="621"/>
      <c r="J38" s="621"/>
      <c r="K38" s="621"/>
      <c r="L38" s="621"/>
      <c r="M38" s="621"/>
      <c r="N38" s="621"/>
    </row>
    <row r="39" spans="1:17">
      <c r="A39" s="609" t="s">
        <v>636</v>
      </c>
      <c r="B39" s="609"/>
      <c r="C39" s="609"/>
      <c r="D39" s="613"/>
      <c r="E39" s="613"/>
    </row>
    <row r="40" spans="1:17">
      <c r="A40" s="664"/>
      <c r="B40" s="69" t="s">
        <v>102</v>
      </c>
      <c r="C40" s="70" t="s">
        <v>55</v>
      </c>
      <c r="D40" s="57" t="s">
        <v>345</v>
      </c>
      <c r="E40" s="62"/>
      <c r="F40" s="57" t="s">
        <v>102</v>
      </c>
      <c r="G40" s="57" t="s">
        <v>55</v>
      </c>
      <c r="I40" s="61" t="s">
        <v>102</v>
      </c>
      <c r="J40" s="57" t="s">
        <v>55</v>
      </c>
    </row>
    <row r="41" spans="1:17">
      <c r="A41" s="665"/>
      <c r="B41" s="70" t="s">
        <v>103</v>
      </c>
      <c r="C41" s="70" t="s">
        <v>103</v>
      </c>
      <c r="D41" s="46"/>
      <c r="E41" s="52"/>
      <c r="F41" s="57" t="s">
        <v>103</v>
      </c>
      <c r="G41" s="57" t="s">
        <v>103</v>
      </c>
      <c r="I41" s="63" t="s">
        <v>103</v>
      </c>
      <c r="J41" s="63" t="s">
        <v>103</v>
      </c>
    </row>
    <row r="42" spans="1:17">
      <c r="A42" s="42" t="s">
        <v>75</v>
      </c>
      <c r="B42" s="70">
        <f>GETPIVOTDATA("Répondant",Croisements!$A$46,"Question 4",1,"Question 30",1)+GETPIVOTDATA("Répondant",Croisements!$A$46,"Question 4",2,"Question 30",1)</f>
        <v>5</v>
      </c>
      <c r="C42" s="70">
        <f>GETPIVOTDATA("Répondant",Croisements!$A$46,"Question 4",1,"Question 30",2)+GETPIVOTDATA("Répondant",Croisements!$A$46,"Question 4",2,"Question 30",2)</f>
        <v>6</v>
      </c>
      <c r="D42" s="57">
        <f>B42+C42</f>
        <v>11</v>
      </c>
      <c r="E42" s="62"/>
      <c r="F42" s="65">
        <f>D42*B44/D44</f>
        <v>3.85</v>
      </c>
      <c r="G42" s="65">
        <f>D42*C44/D44</f>
        <v>7.15</v>
      </c>
      <c r="I42" s="65">
        <f>POWER(B42-F42,2)/F42</f>
        <v>0.34350649350649343</v>
      </c>
      <c r="J42" s="65">
        <f>POWER(C42-G42,2)/G42</f>
        <v>0.18496503496503508</v>
      </c>
      <c r="L42" s="66">
        <f>I42+J42+I43+J43</f>
        <v>1.1743811743811745</v>
      </c>
      <c r="M42" s="66">
        <f>CHIDIST(L42,1)</f>
        <v>0.2785028524659402</v>
      </c>
      <c r="N42" s="93" t="str">
        <f>IF(M42&lt;0.05,ROUND(M42,2),IF(M42&gt;0.051,CONCATENATE(ROUND(M42,2),"*")))</f>
        <v>0.28*</v>
      </c>
    </row>
    <row r="43" spans="1:17">
      <c r="A43" s="42" t="s">
        <v>76</v>
      </c>
      <c r="B43" s="70">
        <f>GETPIVOTDATA("Répondant",Croisements!$A$46,"Question 4",3,"Question 30",1)+GETPIVOTDATA("Répondant",Croisements!$A$46,"Question 4",4,"Question 30",1)</f>
        <v>2</v>
      </c>
      <c r="C43" s="70">
        <f>GETPIVOTDATA("Répondant",Croisements!$A$46,"Question 4",3,"Question 30",2)+GETPIVOTDATA("Répondant",Croisements!$A$46,"Question 4",4,"Question 30",2)</f>
        <v>7</v>
      </c>
      <c r="D43" s="57">
        <f>B43+C43</f>
        <v>9</v>
      </c>
      <c r="E43" s="62"/>
      <c r="F43" s="65">
        <f>D43*B44/D44</f>
        <v>3.15</v>
      </c>
      <c r="G43" s="65">
        <f>D43*C44/D44</f>
        <v>5.85</v>
      </c>
      <c r="I43" s="65">
        <f>POWER(B43-F43,2)/F43</f>
        <v>0.41984126984126979</v>
      </c>
      <c r="J43" s="65">
        <f>POWER(C43-G43,2)/G43</f>
        <v>0.22606837606837624</v>
      </c>
    </row>
    <row r="44" spans="1:17">
      <c r="A44" s="46" t="s">
        <v>345</v>
      </c>
      <c r="B44" s="57">
        <f>B42+B43</f>
        <v>7</v>
      </c>
      <c r="C44" s="57">
        <f>C42+C43</f>
        <v>13</v>
      </c>
      <c r="D44" s="57">
        <f>B42+B43+C42+C43</f>
        <v>20</v>
      </c>
      <c r="E44" s="62"/>
    </row>
    <row r="46" spans="1:17">
      <c r="A46" s="621" t="s">
        <v>767</v>
      </c>
      <c r="B46" s="621"/>
      <c r="C46" s="621"/>
      <c r="D46" s="621"/>
      <c r="E46" s="621"/>
      <c r="F46" s="621"/>
      <c r="G46" s="621"/>
      <c r="H46" s="621"/>
      <c r="I46" s="621"/>
      <c r="J46" s="621"/>
      <c r="K46" s="621"/>
      <c r="L46" s="621"/>
      <c r="M46" s="621"/>
      <c r="N46" s="621"/>
      <c r="O46" s="621"/>
      <c r="P46" s="621"/>
      <c r="Q46" s="621"/>
    </row>
    <row r="47" spans="1:17">
      <c r="A47" s="609" t="s">
        <v>636</v>
      </c>
      <c r="B47" s="609"/>
      <c r="C47" s="609"/>
      <c r="D47" s="613"/>
      <c r="E47" s="613"/>
    </row>
    <row r="48" spans="1:17">
      <c r="A48" s="669"/>
      <c r="B48" s="69" t="s">
        <v>102</v>
      </c>
      <c r="C48" s="70" t="s">
        <v>55</v>
      </c>
      <c r="D48" s="57" t="s">
        <v>345</v>
      </c>
      <c r="E48" s="62"/>
      <c r="F48" s="57" t="s">
        <v>102</v>
      </c>
      <c r="G48" s="57" t="s">
        <v>55</v>
      </c>
      <c r="I48" s="61" t="s">
        <v>102</v>
      </c>
      <c r="J48" s="57" t="s">
        <v>55</v>
      </c>
    </row>
    <row r="49" spans="1:18">
      <c r="A49" s="665"/>
      <c r="B49" s="70" t="s">
        <v>103</v>
      </c>
      <c r="C49" s="70" t="s">
        <v>103</v>
      </c>
      <c r="D49" s="46"/>
      <c r="E49" s="52"/>
      <c r="F49" s="57" t="s">
        <v>103</v>
      </c>
      <c r="G49" s="57" t="s">
        <v>103</v>
      </c>
      <c r="I49" s="63" t="s">
        <v>103</v>
      </c>
      <c r="J49" s="63" t="s">
        <v>103</v>
      </c>
    </row>
    <row r="50" spans="1:18">
      <c r="A50" s="32" t="s">
        <v>279</v>
      </c>
      <c r="B50" s="70">
        <f>GETPIVOTDATA("Répondant",Croisements!$A$57,"Question 5.1",1,"Question 30",1)+GETPIVOTDATA("Répondant",Croisements!$A$57,"Question 5.1",2,"Question 30",1)</f>
        <v>3</v>
      </c>
      <c r="C50" s="70">
        <f>GETPIVOTDATA("Répondant",Croisements!$A$57,"Question 5.1",1,"Question 30",2)+GETPIVOTDATA("Répondant",Croisements!$A$57,"Question 5.1",2,"Question 30",2)</f>
        <v>6</v>
      </c>
      <c r="D50" s="57">
        <f>B50+C50</f>
        <v>9</v>
      </c>
      <c r="E50" s="62"/>
      <c r="F50" s="65">
        <f>D50*B52/D52</f>
        <v>3</v>
      </c>
      <c r="G50" s="65">
        <f>D50*C52/D52</f>
        <v>6</v>
      </c>
      <c r="I50" s="65">
        <f>POWER(B50-F50,2)/F50</f>
        <v>0</v>
      </c>
      <c r="J50" s="65">
        <f>POWER(C50-G50,2)/G50</f>
        <v>0</v>
      </c>
      <c r="L50" s="66">
        <f>I50+J50+I51+J51</f>
        <v>0</v>
      </c>
      <c r="M50" s="66">
        <f>CHIDIST(L50,1)</f>
        <v>1</v>
      </c>
      <c r="N50" s="93" t="str">
        <f>IF(M50&lt;0.05,ROUND(M50,2),IF(M50&gt;0.051,CONCATENATE(ROUND(M50,2),"*")))</f>
        <v>1*</v>
      </c>
    </row>
    <row r="51" spans="1:18">
      <c r="A51" s="32" t="s">
        <v>280</v>
      </c>
      <c r="B51" s="70">
        <f>GETPIVOTDATA("Répondant",Croisements!$A$57,"Question 5.1",3,"Question 30",1)+GETPIVOTDATA("Répondant",Croisements!$A$57,"Question 5.1",4,"Question 30",1)</f>
        <v>3</v>
      </c>
      <c r="C51" s="70">
        <f>GETPIVOTDATA("Répondant",Croisements!$A$57,"Question 5.1",3,"Question 30",2)+GETPIVOTDATA("Répondant",Croisements!$A$57,"Question 5.1",4,"Question 30",2)</f>
        <v>6</v>
      </c>
      <c r="D51" s="57">
        <f>B51+C51</f>
        <v>9</v>
      </c>
      <c r="E51" s="62"/>
      <c r="F51" s="65">
        <f>D51*B52/D52</f>
        <v>3</v>
      </c>
      <c r="G51" s="65">
        <f>D51*C52/D52</f>
        <v>6</v>
      </c>
      <c r="I51" s="65">
        <f>POWER(B51-F51,2)/F51</f>
        <v>0</v>
      </c>
      <c r="J51" s="65">
        <f>POWER(C51-G51,2)/G51</f>
        <v>0</v>
      </c>
    </row>
    <row r="52" spans="1:18">
      <c r="A52" s="46" t="s">
        <v>345</v>
      </c>
      <c r="B52" s="57">
        <f>B50+B51</f>
        <v>6</v>
      </c>
      <c r="C52" s="57">
        <f>C50+C51</f>
        <v>12</v>
      </c>
      <c r="D52" s="57">
        <f>B50+B51+C50+C51</f>
        <v>18</v>
      </c>
      <c r="E52" s="62"/>
    </row>
    <row r="54" spans="1:18">
      <c r="A54" s="590" t="s">
        <v>768</v>
      </c>
      <c r="B54" s="590"/>
      <c r="C54" s="590"/>
      <c r="D54" s="590"/>
      <c r="E54" s="590"/>
      <c r="F54" s="590"/>
      <c r="G54" s="590"/>
      <c r="H54" s="590"/>
      <c r="I54" s="590"/>
      <c r="J54" s="590"/>
      <c r="K54" s="590"/>
      <c r="L54" s="590"/>
      <c r="M54" s="590"/>
      <c r="N54" s="590"/>
      <c r="O54" s="590"/>
      <c r="P54" s="590"/>
      <c r="Q54" s="590"/>
    </row>
    <row r="55" spans="1:18">
      <c r="A55" s="609" t="s">
        <v>636</v>
      </c>
      <c r="B55" s="609"/>
      <c r="C55" s="609"/>
      <c r="D55" s="613"/>
      <c r="E55" s="613"/>
    </row>
    <row r="56" spans="1:18">
      <c r="A56" s="664"/>
      <c r="B56" s="69" t="s">
        <v>102</v>
      </c>
      <c r="C56" s="70" t="s">
        <v>55</v>
      </c>
      <c r="D56" s="57" t="s">
        <v>345</v>
      </c>
      <c r="E56" s="62"/>
      <c r="F56" s="57" t="s">
        <v>102</v>
      </c>
      <c r="G56" s="57" t="s">
        <v>55</v>
      </c>
      <c r="I56" s="61" t="s">
        <v>102</v>
      </c>
      <c r="J56" s="57" t="s">
        <v>55</v>
      </c>
    </row>
    <row r="57" spans="1:18">
      <c r="A57" s="665"/>
      <c r="B57" s="70" t="s">
        <v>103</v>
      </c>
      <c r="C57" s="70" t="s">
        <v>103</v>
      </c>
      <c r="D57" s="46"/>
      <c r="E57" s="52"/>
      <c r="F57" s="57" t="s">
        <v>103</v>
      </c>
      <c r="G57" s="57" t="s">
        <v>103</v>
      </c>
      <c r="I57" s="63" t="s">
        <v>103</v>
      </c>
      <c r="J57" s="63" t="s">
        <v>103</v>
      </c>
    </row>
    <row r="58" spans="1:18">
      <c r="A58" s="32" t="s">
        <v>279</v>
      </c>
      <c r="B58" s="70">
        <f>GETPIVOTDATA("Répondant",Croisements!$A$68,"Question 5.2",1,"Question 30",1)+GETPIVOTDATA("Répondant",Croisements!$A$68,"Question 5.2",2,"Question 30",1)</f>
        <v>4</v>
      </c>
      <c r="C58" s="70">
        <f>GETPIVOTDATA("Répondant",Croisements!$A$68,"Question 5.2",1,"Question 30",2)+GETPIVOTDATA("Répondant",Croisements!$A$68,"Question 5.2",2,"Question 30",2)</f>
        <v>4</v>
      </c>
      <c r="D58" s="57">
        <f>C58+B58</f>
        <v>8</v>
      </c>
      <c r="E58" s="62"/>
      <c r="F58" s="65">
        <f>D58*B60/D60</f>
        <v>4.666666666666667</v>
      </c>
      <c r="G58" s="65">
        <f>D58*C60/D60</f>
        <v>3.3333333333333335</v>
      </c>
      <c r="I58" s="65">
        <f>POWER(B58-F58,2)/F58</f>
        <v>9.5238095238095316E-2</v>
      </c>
      <c r="J58" s="65">
        <f>POWER(C58-G58,2)/G58</f>
        <v>0.13333333333333328</v>
      </c>
      <c r="L58" s="66">
        <f>I58+J58+I59+J59</f>
        <v>0.68571428571428572</v>
      </c>
      <c r="M58" s="66">
        <f>CHIDIST(L58,1)</f>
        <v>0.40762594770278077</v>
      </c>
      <c r="N58" s="93" t="str">
        <f>IF(M58&lt;0.05,ROUND(M58,2),IF(M58&gt;0.051,CONCATENATE(ROUND(M58,2),"*")))</f>
        <v>0.41*</v>
      </c>
    </row>
    <row r="59" spans="1:18">
      <c r="A59" s="32" t="s">
        <v>280</v>
      </c>
      <c r="B59" s="70">
        <f>GETPIVOTDATA("Répondant",Croisements!$A$68,"Question 5.2",3,"Question 30",1)+GETPIVOTDATA("Répondant",Croisements!$A$68,"Question 5.2",4,"Question 30",1)</f>
        <v>3</v>
      </c>
      <c r="C59" s="70">
        <f>GETPIVOTDATA("Répondant",Croisements!$A$68,"Question 5.2",3,"Question 30",2)+GETPIVOTDATA("Répondant",Croisements!$A$68,"Question 5.2",4,"Question 30",2)</f>
        <v>1</v>
      </c>
      <c r="D59" s="57">
        <f>C59+B59</f>
        <v>4</v>
      </c>
      <c r="E59" s="62"/>
      <c r="F59" s="65">
        <f>D59*B60/D60</f>
        <v>2.3333333333333335</v>
      </c>
      <c r="G59" s="65">
        <f>D59*C60/D60</f>
        <v>1.6666666666666667</v>
      </c>
      <c r="I59" s="65">
        <f>POWER(B59-F59,2)/F59</f>
        <v>0.19047619047619038</v>
      </c>
      <c r="J59" s="65">
        <f>POWER(C59-G59,2)/G59</f>
        <v>0.26666666666666672</v>
      </c>
    </row>
    <row r="60" spans="1:18">
      <c r="A60" s="46" t="s">
        <v>345</v>
      </c>
      <c r="B60" s="57">
        <f>B58+B59</f>
        <v>7</v>
      </c>
      <c r="C60" s="57">
        <f>C58+C59</f>
        <v>5</v>
      </c>
      <c r="D60" s="57">
        <f>B58+B59+C58+C59</f>
        <v>12</v>
      </c>
      <c r="E60" s="62"/>
    </row>
    <row r="62" spans="1:18">
      <c r="A62" s="621" t="s">
        <v>769</v>
      </c>
      <c r="B62" s="621"/>
      <c r="C62" s="621"/>
      <c r="D62" s="621"/>
      <c r="E62" s="621"/>
      <c r="F62" s="621"/>
      <c r="G62" s="621"/>
      <c r="H62" s="621"/>
      <c r="I62" s="621"/>
      <c r="J62" s="621"/>
      <c r="K62" s="621"/>
      <c r="L62" s="621"/>
      <c r="M62" s="621"/>
      <c r="N62" s="621"/>
      <c r="O62" s="621"/>
      <c r="P62" s="621"/>
      <c r="Q62" s="621"/>
      <c r="R62" s="621"/>
    </row>
    <row r="63" spans="1:18">
      <c r="A63" s="609" t="s">
        <v>636</v>
      </c>
      <c r="B63" s="609"/>
      <c r="C63" s="609"/>
      <c r="D63" s="613"/>
      <c r="E63" s="613"/>
    </row>
    <row r="64" spans="1:18">
      <c r="A64" s="669"/>
      <c r="B64" s="69" t="s">
        <v>102</v>
      </c>
      <c r="C64" s="70" t="s">
        <v>55</v>
      </c>
      <c r="D64" s="57" t="s">
        <v>345</v>
      </c>
      <c r="E64" s="62"/>
      <c r="F64" s="57" t="s">
        <v>102</v>
      </c>
      <c r="G64" s="57" t="s">
        <v>55</v>
      </c>
      <c r="I64" s="61" t="s">
        <v>102</v>
      </c>
      <c r="J64" s="57" t="s">
        <v>55</v>
      </c>
    </row>
    <row r="65" spans="1:14">
      <c r="A65" s="665"/>
      <c r="B65" s="70" t="s">
        <v>103</v>
      </c>
      <c r="C65" s="70" t="s">
        <v>103</v>
      </c>
      <c r="D65" s="46"/>
      <c r="E65" s="52"/>
      <c r="F65" s="57" t="s">
        <v>103</v>
      </c>
      <c r="G65" s="57" t="s">
        <v>103</v>
      </c>
      <c r="I65" s="63" t="s">
        <v>103</v>
      </c>
      <c r="J65" s="63" t="s">
        <v>103</v>
      </c>
    </row>
    <row r="66" spans="1:14">
      <c r="A66" s="32" t="s">
        <v>279</v>
      </c>
      <c r="B66" s="70">
        <f>GETPIVOTDATA("Répondant",Croisements!$A$79,"Question 5.3",1,"Question 30",1)+GETPIVOTDATA("Répondant",Croisements!$A$79,"Question 5.3",2,"Question 30",1)</f>
        <v>4</v>
      </c>
      <c r="C66" s="70">
        <f>GETPIVOTDATA("Répondant",Croisements!$A$79,"Question 5.3",1,"Question 30",2)+GETPIVOTDATA("Répondant",Croisements!$A$79,"Question 5.3",2,"Question 30",2)</f>
        <v>5</v>
      </c>
      <c r="D66" s="57">
        <f>B66+C66</f>
        <v>9</v>
      </c>
      <c r="E66" s="62"/>
      <c r="F66" s="65">
        <f>D66*B68/D68</f>
        <v>4.1538461538461542</v>
      </c>
      <c r="G66" s="65">
        <f>D66*C68/D68</f>
        <v>4.8461538461538458</v>
      </c>
      <c r="H66" s="73"/>
      <c r="I66" s="65">
        <f>POWER(B66-F66,2)/F66</f>
        <v>5.6980056980057226E-3</v>
      </c>
      <c r="J66" s="65">
        <f>POWER(C66-G66,2)/G66</f>
        <v>4.8840048840049057E-3</v>
      </c>
      <c r="L66" s="66">
        <f>I66+J66+I67+J67</f>
        <v>3.4391534391534404E-2</v>
      </c>
      <c r="M66" s="66">
        <f>CHIDIST(L66,1)</f>
        <v>0.85287644963310894</v>
      </c>
      <c r="N66" s="93" t="str">
        <f>IF(M66&lt;0.05,ROUND(M66,2),IF(M66&gt;0.051,CONCATENATE(ROUND(M66,2),"*")))</f>
        <v>0.85*</v>
      </c>
    </row>
    <row r="67" spans="1:14">
      <c r="A67" s="32" t="s">
        <v>280</v>
      </c>
      <c r="B67" s="70">
        <f>GETPIVOTDATA("Répondant",Croisements!$A$79,"Question 5.3",3,"Question 30",1)+GETPIVOTDATA("Répondant",Croisements!$A$79,"Question 5.3",4,"Question 30",1)</f>
        <v>2</v>
      </c>
      <c r="C67" s="70">
        <f>GETPIVOTDATA("Répondant",Croisements!$A$79,"Question 5.3",3,"Question 30",2)+GETPIVOTDATA("Répondant",Croisements!$A$79,"Question 5.3",4,"Question 30",2)</f>
        <v>2</v>
      </c>
      <c r="D67" s="57">
        <f>B67+C67</f>
        <v>4</v>
      </c>
      <c r="E67" s="62"/>
      <c r="F67" s="65">
        <f>D67*B68/D68</f>
        <v>1.8461538461538463</v>
      </c>
      <c r="G67" s="65">
        <f>D67*C68/D68</f>
        <v>2.1538461538461537</v>
      </c>
      <c r="I67" s="65">
        <f>POWER(B67-F67,2)/F67</f>
        <v>1.2820512820512803E-2</v>
      </c>
      <c r="J67" s="65">
        <f>POWER(C67-G67,2)/G67</f>
        <v>1.0989010989010974E-2</v>
      </c>
    </row>
    <row r="68" spans="1:14">
      <c r="A68" s="46" t="s">
        <v>345</v>
      </c>
      <c r="B68" s="57">
        <f>B66+B67</f>
        <v>6</v>
      </c>
      <c r="C68" s="57">
        <f>C66+C67</f>
        <v>7</v>
      </c>
      <c r="D68" s="57">
        <f>B66+B67+C66+C67</f>
        <v>13</v>
      </c>
      <c r="E68" s="62"/>
      <c r="I68" s="52"/>
    </row>
    <row r="70" spans="1:14">
      <c r="A70" s="645" t="s">
        <v>770</v>
      </c>
      <c r="B70" s="645"/>
      <c r="C70" s="645"/>
      <c r="D70" s="645"/>
      <c r="E70" s="645"/>
      <c r="F70" s="645"/>
      <c r="G70" s="645"/>
      <c r="H70" s="645"/>
      <c r="I70" s="645"/>
      <c r="J70" s="645"/>
      <c r="K70" s="645"/>
      <c r="L70" s="645"/>
      <c r="M70" s="645"/>
    </row>
    <row r="71" spans="1:14">
      <c r="A71" s="609" t="s">
        <v>636</v>
      </c>
      <c r="B71" s="609"/>
      <c r="C71" s="609"/>
      <c r="D71" s="613"/>
      <c r="E71" s="613"/>
    </row>
    <row r="72" spans="1:14">
      <c r="A72" s="669"/>
      <c r="B72" s="69" t="s">
        <v>102</v>
      </c>
      <c r="C72" s="70" t="s">
        <v>55</v>
      </c>
      <c r="D72" s="57" t="s">
        <v>345</v>
      </c>
      <c r="E72" s="62"/>
      <c r="F72" s="57" t="s">
        <v>102</v>
      </c>
      <c r="G72" s="57" t="s">
        <v>55</v>
      </c>
      <c r="I72" s="61" t="s">
        <v>102</v>
      </c>
      <c r="J72" s="57" t="s">
        <v>55</v>
      </c>
    </row>
    <row r="73" spans="1:14">
      <c r="A73" s="665"/>
      <c r="B73" s="70" t="s">
        <v>103</v>
      </c>
      <c r="C73" s="74" t="s">
        <v>103</v>
      </c>
      <c r="D73" s="46"/>
      <c r="E73" s="52"/>
      <c r="F73" s="57" t="s">
        <v>103</v>
      </c>
      <c r="G73" s="57" t="s">
        <v>103</v>
      </c>
      <c r="I73" s="63" t="s">
        <v>103</v>
      </c>
      <c r="J73" s="63" t="s">
        <v>103</v>
      </c>
    </row>
    <row r="74" spans="1:14">
      <c r="A74" s="32" t="s">
        <v>279</v>
      </c>
      <c r="B74" s="70">
        <f>GETPIVOTDATA("Répondant",Croisements!$A$90,"Question 6",1,"Question 30",1)+GETPIVOTDATA("Répondant",Croisements!$A$90,"Question 6",2,"Question 30",1)</f>
        <v>4</v>
      </c>
      <c r="C74" s="70">
        <f>GETPIVOTDATA("Répondant",Croisements!$A$90,"Question 6",1,"Question 30",2)+GETPIVOTDATA("Répondant",Croisements!$A$90,"Question 6",2,"Question 30",2)</f>
        <v>3</v>
      </c>
      <c r="D74" s="57">
        <f>B74+C74</f>
        <v>7</v>
      </c>
      <c r="E74" s="62"/>
      <c r="F74" s="65">
        <f>D74*B76/D76</f>
        <v>2.5454545454545454</v>
      </c>
      <c r="G74" s="65">
        <f>D74*C76/D76</f>
        <v>4.4545454545454541</v>
      </c>
      <c r="I74" s="65">
        <f>POWER(B74-F74,2)/F74</f>
        <v>0.83116883116883122</v>
      </c>
      <c r="J74" s="65">
        <f>POWER(C74-G74,2)/G74</f>
        <v>0.4749536178107604</v>
      </c>
      <c r="L74" s="66">
        <f>I74+J74+I75+J75</f>
        <v>3.5918367346938771</v>
      </c>
      <c r="M74" s="66">
        <f>CHIDIST(L74,1)</f>
        <v>5.806403416692231E-2</v>
      </c>
      <c r="N74" s="93" t="str">
        <f>IF(M74&lt;0.05,ROUND(M74,2),IF(M74&gt;0.051,CONCATENATE(ROUND(M74,2),"*")))</f>
        <v>0.06*</v>
      </c>
    </row>
    <row r="75" spans="1:14">
      <c r="A75" s="53" t="s">
        <v>280</v>
      </c>
      <c r="B75" s="75">
        <f>GETPIVOTDATA("Répondant",Croisements!$A$90,"Question 6",3,"Question 30",1)+GETPIVOTDATA("Répondant",Croisements!$A$90,"Question 6",4,"Question 30",1)</f>
        <v>0</v>
      </c>
      <c r="C75" s="75">
        <f>GETPIVOTDATA("Répondant",Croisements!$A$90,"Question 6",3,"Question 30",2)+GETPIVOTDATA("Répondant",Croisements!$A$90,"Question 6",4,"Question 30",2)</f>
        <v>4</v>
      </c>
      <c r="D75" s="57">
        <f>B75+C75</f>
        <v>4</v>
      </c>
      <c r="E75" s="62"/>
      <c r="F75" s="65">
        <f>D75*B76/D76</f>
        <v>1.4545454545454546</v>
      </c>
      <c r="G75" s="65">
        <f>D75*C76/D76</f>
        <v>2.5454545454545454</v>
      </c>
      <c r="I75" s="65">
        <f>POWER(B75-F75,2)/F75</f>
        <v>1.4545454545454546</v>
      </c>
      <c r="J75" s="65">
        <f>POWER(C75-G75,2)/G75</f>
        <v>0.83116883116883122</v>
      </c>
    </row>
    <row r="76" spans="1:14">
      <c r="A76" s="46" t="s">
        <v>345</v>
      </c>
      <c r="B76" s="57">
        <f>B74+B75</f>
        <v>4</v>
      </c>
      <c r="C76" s="57">
        <f>C74+C75</f>
        <v>7</v>
      </c>
      <c r="D76" s="57">
        <f>B74+B75+C74+C75</f>
        <v>11</v>
      </c>
      <c r="E76" s="62"/>
    </row>
    <row r="78" spans="1:14">
      <c r="A78" s="590" t="s">
        <v>771</v>
      </c>
      <c r="B78" s="590"/>
      <c r="C78" s="590"/>
      <c r="D78" s="590"/>
      <c r="E78" s="590"/>
      <c r="F78" s="590"/>
      <c r="G78" s="590"/>
      <c r="H78" s="590"/>
      <c r="I78" s="590"/>
      <c r="J78" s="590"/>
      <c r="K78" s="590"/>
      <c r="L78" s="590"/>
    </row>
    <row r="79" spans="1:14">
      <c r="A79" s="613" t="s">
        <v>636</v>
      </c>
      <c r="B79" s="613"/>
      <c r="C79" s="613"/>
      <c r="D79" s="613"/>
      <c r="E79" s="613"/>
    </row>
    <row r="80" spans="1:14">
      <c r="A80" s="671"/>
      <c r="B80" s="70" t="s">
        <v>102</v>
      </c>
      <c r="C80" s="70" t="s">
        <v>55</v>
      </c>
      <c r="D80" s="57" t="s">
        <v>345</v>
      </c>
      <c r="E80" s="62"/>
      <c r="F80" s="57" t="s">
        <v>102</v>
      </c>
      <c r="G80" s="57" t="s">
        <v>55</v>
      </c>
      <c r="I80" s="61" t="s">
        <v>102</v>
      </c>
      <c r="J80" s="57" t="s">
        <v>55</v>
      </c>
    </row>
    <row r="81" spans="1:14">
      <c r="A81" s="671"/>
      <c r="B81" s="70" t="s">
        <v>103</v>
      </c>
      <c r="C81" s="70" t="s">
        <v>103</v>
      </c>
      <c r="D81" s="46"/>
      <c r="E81" s="52"/>
      <c r="F81" s="57" t="s">
        <v>103</v>
      </c>
      <c r="G81" s="57" t="s">
        <v>103</v>
      </c>
      <c r="I81" s="63" t="s">
        <v>103</v>
      </c>
      <c r="J81" s="63" t="s">
        <v>103</v>
      </c>
    </row>
    <row r="82" spans="1:14">
      <c r="A82" s="42" t="s">
        <v>75</v>
      </c>
      <c r="B82" s="70">
        <f>GETPIVOTDATA("Répondant",Croisements!$A$102,"Question 7",1,"Question 30",1)+GETPIVOTDATA("Répondant",Croisements!$A$102,"Question 7",2,"Question 30",1)</f>
        <v>2</v>
      </c>
      <c r="C82" s="70">
        <f>GETPIVOTDATA("Répondant",Croisements!$A$102,"Question 7",1,"Question 30",2)+GETPIVOTDATA("Répondant",Croisements!$A$102,"Question 7",2,"Question 30",2)</f>
        <v>5</v>
      </c>
      <c r="D82" s="57">
        <f>B82+C82</f>
        <v>7</v>
      </c>
      <c r="E82" s="62"/>
      <c r="F82" s="65">
        <f>D82*B84/D84</f>
        <v>2.5454545454545454</v>
      </c>
      <c r="G82" s="65">
        <f>D82*C84/D84</f>
        <v>4.4545454545454541</v>
      </c>
      <c r="I82" s="65">
        <f>POWER(B82-F82,2)/F82</f>
        <v>0.11688311688311687</v>
      </c>
      <c r="J82" s="65">
        <f>POWER(C82-G82,2)/G82</f>
        <v>6.6790352504638328E-2</v>
      </c>
      <c r="L82" s="66">
        <f>I82+J82+I83+J83</f>
        <v>0.50510204081632648</v>
      </c>
      <c r="M82" s="66">
        <f>CHIDIST(L82,1)</f>
        <v>0.47726686709630795</v>
      </c>
      <c r="N82" s="93" t="str">
        <f>IF(M82&lt;0.05,ROUND(M82,2),IF(M82&gt;0.051,CONCATENATE(ROUND(M82,2),"*")))</f>
        <v>0.48*</v>
      </c>
    </row>
    <row r="83" spans="1:14">
      <c r="A83" s="42" t="s">
        <v>76</v>
      </c>
      <c r="B83" s="70">
        <f>GETPIVOTDATA("Répondant",Croisements!$A$102,"Question 7",3,"Question 30",1)+GETPIVOTDATA("Répondant",Croisements!$A$102,"Question 7",4,"Question 30",1)</f>
        <v>2</v>
      </c>
      <c r="C83" s="70">
        <f>GETPIVOTDATA("Répondant",Croisements!$A$102,"Question 7",3,"Question 30",2)+GETPIVOTDATA("Répondant",Croisements!$A$102,"Question 7",4,"Question 30",2)</f>
        <v>2</v>
      </c>
      <c r="D83" s="57">
        <f>B83+C83</f>
        <v>4</v>
      </c>
      <c r="E83" s="62"/>
      <c r="F83" s="65">
        <f>D83*B84/D84</f>
        <v>1.4545454545454546</v>
      </c>
      <c r="G83" s="65">
        <f>D83*C84/D84</f>
        <v>2.5454545454545454</v>
      </c>
      <c r="I83" s="65">
        <f>POWER(B83-F83,2)/F83</f>
        <v>0.2045454545454545</v>
      </c>
      <c r="J83" s="65">
        <f>POWER(C83-G83,2)/G83</f>
        <v>0.11688311688311687</v>
      </c>
    </row>
    <row r="84" spans="1:14">
      <c r="A84" s="46" t="s">
        <v>345</v>
      </c>
      <c r="B84" s="57">
        <f>B82+B83</f>
        <v>4</v>
      </c>
      <c r="C84" s="57">
        <f>C82+C83</f>
        <v>7</v>
      </c>
      <c r="D84" s="57">
        <f>B82+B83+C82+C83</f>
        <v>11</v>
      </c>
      <c r="E84" s="62"/>
    </row>
    <row r="86" spans="1:14">
      <c r="A86" s="590" t="s">
        <v>772</v>
      </c>
      <c r="B86" s="590"/>
      <c r="C86" s="590"/>
      <c r="D86" s="590"/>
      <c r="E86" s="590"/>
      <c r="F86" s="590"/>
      <c r="G86" s="590"/>
      <c r="H86" s="590"/>
      <c r="I86" s="590"/>
    </row>
    <row r="87" spans="1:14">
      <c r="A87" s="613" t="s">
        <v>636</v>
      </c>
      <c r="B87" s="613"/>
      <c r="C87" s="613"/>
      <c r="D87" s="613"/>
      <c r="E87" s="613"/>
    </row>
    <row r="88" spans="1:14">
      <c r="A88" s="671"/>
      <c r="B88" s="70" t="s">
        <v>102</v>
      </c>
      <c r="C88" s="70" t="s">
        <v>55</v>
      </c>
      <c r="D88" s="57" t="s">
        <v>345</v>
      </c>
      <c r="E88" s="62"/>
      <c r="F88" s="57" t="s">
        <v>102</v>
      </c>
      <c r="G88" s="57" t="s">
        <v>55</v>
      </c>
      <c r="I88" s="61" t="s">
        <v>102</v>
      </c>
      <c r="J88" s="57" t="s">
        <v>55</v>
      </c>
    </row>
    <row r="89" spans="1:14">
      <c r="A89" s="671"/>
      <c r="B89" s="70" t="s">
        <v>103</v>
      </c>
      <c r="C89" s="70" t="s">
        <v>103</v>
      </c>
      <c r="D89" s="46"/>
      <c r="E89" s="52"/>
      <c r="F89" s="57" t="s">
        <v>103</v>
      </c>
      <c r="G89" s="57" t="s">
        <v>103</v>
      </c>
      <c r="I89" s="63" t="s">
        <v>103</v>
      </c>
      <c r="J89" s="63" t="s">
        <v>103</v>
      </c>
    </row>
    <row r="90" spans="1:14">
      <c r="A90" s="42" t="s">
        <v>75</v>
      </c>
      <c r="B90" s="70">
        <f>GETPIVOTDATA("Répondant",Croisements!$A$113,"Question 8.1",1,"Question 30",1)+GETPIVOTDATA("Répondant",Croisements!$A$113,"Question 8.1",2,"Question 30",1)</f>
        <v>6</v>
      </c>
      <c r="C90" s="70">
        <f>GETPIVOTDATA("Répondant",Croisements!$A$113,"Question 8.1",1,"Question 30",2)+GETPIVOTDATA("Répondant",Croisements!$A$113,"Question 8.1",2,"Question 30",2)</f>
        <v>4</v>
      </c>
      <c r="D90" s="57">
        <f>B90+C90</f>
        <v>10</v>
      </c>
      <c r="E90" s="62"/>
      <c r="F90" s="65">
        <f>D90*B92/D92</f>
        <v>4.666666666666667</v>
      </c>
      <c r="G90" s="65">
        <f>D90*C92/D92</f>
        <v>5.333333333333333</v>
      </c>
      <c r="I90" s="65">
        <f>POWER(B90-F90,2)/F90</f>
        <v>0.38095238095238076</v>
      </c>
      <c r="J90" s="65">
        <f>POWER(C90-G90,2)/G90</f>
        <v>0.3333333333333332</v>
      </c>
      <c r="L90" s="66">
        <f>I90+J90+I91+J91</f>
        <v>2.1428571428571428</v>
      </c>
      <c r="M90" s="66">
        <f>CHIDIST(L90,1)</f>
        <v>0.14323490752466969</v>
      </c>
      <c r="N90" s="93" t="str">
        <f>IF(M90&lt;0.05,ROUND(M90,2),IF(M90&gt;0.051,CONCATENATE(ROUND(M90,2),"*")))</f>
        <v>0.14*</v>
      </c>
    </row>
    <row r="91" spans="1:14">
      <c r="A91" s="42" t="s">
        <v>76</v>
      </c>
      <c r="B91" s="70">
        <f>GETPIVOTDATA("Répondant",Croisements!$A$113,"Question 8.1",3,"Question 30",1)+GETPIVOTDATA("Répondant",Croisements!$A$113,"Question 8.1",4,"Question 30",1)</f>
        <v>1</v>
      </c>
      <c r="C91" s="70">
        <f>GETPIVOTDATA("Répondant",Croisements!$A$113,"Question 8.1",3,"Question 30",2)+GETPIVOTDATA("Répondant",Croisements!$A$113,"Question 8.1",4,"Question 30",2)</f>
        <v>4</v>
      </c>
      <c r="D91" s="57">
        <f>B91+C91</f>
        <v>5</v>
      </c>
      <c r="E91" s="62"/>
      <c r="F91" s="65">
        <f>D91*B92/D92</f>
        <v>2.3333333333333335</v>
      </c>
      <c r="G91" s="65">
        <f>D91*C92/D92</f>
        <v>2.6666666666666665</v>
      </c>
      <c r="I91" s="65">
        <f>POWER(B91-F91,2)/F91</f>
        <v>0.76190476190476197</v>
      </c>
      <c r="J91" s="65">
        <f>POWER(C91-G91,2)/G91</f>
        <v>0.66666666666666685</v>
      </c>
    </row>
    <row r="92" spans="1:14">
      <c r="A92" s="46" t="s">
        <v>345</v>
      </c>
      <c r="B92" s="57">
        <f>B90+B91</f>
        <v>7</v>
      </c>
      <c r="C92" s="57">
        <f>C90+C91</f>
        <v>8</v>
      </c>
      <c r="D92" s="57">
        <f>B90+B91+C90+C91</f>
        <v>15</v>
      </c>
      <c r="E92" s="62"/>
    </row>
    <row r="94" spans="1:14">
      <c r="A94" s="590" t="s">
        <v>773</v>
      </c>
      <c r="B94" s="590"/>
      <c r="C94" s="590"/>
      <c r="D94" s="590"/>
      <c r="E94" s="590"/>
      <c r="F94" s="590"/>
      <c r="G94" s="590"/>
      <c r="H94" s="590"/>
      <c r="I94" s="590"/>
      <c r="J94" s="590"/>
      <c r="K94" s="590"/>
      <c r="L94" s="590"/>
    </row>
    <row r="95" spans="1:14">
      <c r="A95" s="613" t="s">
        <v>636</v>
      </c>
      <c r="B95" s="613"/>
      <c r="C95" s="613"/>
      <c r="D95" s="613"/>
      <c r="E95" s="613"/>
    </row>
    <row r="96" spans="1:14">
      <c r="A96" s="671"/>
      <c r="B96" s="70" t="s">
        <v>102</v>
      </c>
      <c r="C96" s="70" t="s">
        <v>55</v>
      </c>
      <c r="D96" s="57" t="s">
        <v>345</v>
      </c>
      <c r="E96" s="62"/>
      <c r="F96" s="57" t="s">
        <v>102</v>
      </c>
      <c r="G96" s="57" t="s">
        <v>55</v>
      </c>
      <c r="I96" s="61" t="s">
        <v>102</v>
      </c>
      <c r="J96" s="57" t="s">
        <v>55</v>
      </c>
    </row>
    <row r="97" spans="1:14">
      <c r="A97" s="671"/>
      <c r="B97" s="70" t="s">
        <v>103</v>
      </c>
      <c r="C97" s="70" t="s">
        <v>103</v>
      </c>
      <c r="D97" s="46"/>
      <c r="E97" s="52"/>
      <c r="F97" s="57" t="s">
        <v>103</v>
      </c>
      <c r="G97" s="57" t="s">
        <v>103</v>
      </c>
      <c r="I97" s="63" t="s">
        <v>103</v>
      </c>
      <c r="J97" s="63" t="s">
        <v>103</v>
      </c>
    </row>
    <row r="98" spans="1:14">
      <c r="A98" s="32" t="s">
        <v>77</v>
      </c>
      <c r="B98" s="70">
        <f>GETPIVOTDATA("Répondant",Croisements!$A$124,"Question 8.2",1,"Question 30",1)+GETPIVOTDATA("Répondant",Croisements!$A$124,"Question 8.2",2,"Question 30",1)</f>
        <v>3</v>
      </c>
      <c r="C98" s="70">
        <f>GETPIVOTDATA("Répondant",Croisements!$A$124,"Question 8.2",1,"Question 30",2)+GETPIVOTDATA("Répondant",Croisements!$A$124,"Question 8.2",2,"Question 30",2)</f>
        <v>7</v>
      </c>
      <c r="D98" s="57">
        <f>B98+C98</f>
        <v>10</v>
      </c>
      <c r="E98" s="62"/>
      <c r="F98" s="65">
        <f>D98*B100/D100</f>
        <v>4.666666666666667</v>
      </c>
      <c r="G98" s="65">
        <f>D98*C100/D100</f>
        <v>5.333333333333333</v>
      </c>
      <c r="I98" s="65">
        <f>POWER(B98-F98,2)/F98</f>
        <v>0.59523809523809534</v>
      </c>
      <c r="J98" s="65">
        <f>POWER(C98-G98,2)/G98</f>
        <v>0.52083333333333348</v>
      </c>
      <c r="L98" s="66">
        <f>I98+J98+I99+J99</f>
        <v>3.3482142857142856</v>
      </c>
      <c r="M98" s="66">
        <f>CHIDIST(L98,1)</f>
        <v>6.7277960538348947E-2</v>
      </c>
      <c r="N98" s="93" t="str">
        <f>IF(M98&lt;0.05,ROUND(M98,2),IF(M98&gt;0.051,CONCATENATE(ROUND(M98,2),"*")))</f>
        <v>0.07*</v>
      </c>
    </row>
    <row r="99" spans="1:14">
      <c r="A99" s="32" t="s">
        <v>78</v>
      </c>
      <c r="B99" s="70">
        <f>GETPIVOTDATA("Répondant",Croisements!$A$124,"Question 8.2",3,"Question 30",1)+GETPIVOTDATA("Répondant",Croisements!$A$124,"Question 8.2",4,"Question 30",1)</f>
        <v>4</v>
      </c>
      <c r="C99" s="70">
        <f>GETPIVOTDATA("Répondant",Croisements!$A$124,"Question 8.2",3,"Question 30",2)+GETPIVOTDATA("Répondant",Croisements!$A$124,"Question 8.2",4,"Question 30",2)</f>
        <v>1</v>
      </c>
      <c r="D99" s="57">
        <f>B99+C99</f>
        <v>5</v>
      </c>
      <c r="E99" s="62"/>
      <c r="F99" s="65">
        <f>D99*B100/D100</f>
        <v>2.3333333333333335</v>
      </c>
      <c r="G99" s="65">
        <f>D99*C100/D100</f>
        <v>2.6666666666666665</v>
      </c>
      <c r="I99" s="65">
        <f>POWER(B99-F99,2)/F99</f>
        <v>1.1904761904761902</v>
      </c>
      <c r="J99" s="65">
        <f>POWER(C99-G99,2)/G99</f>
        <v>1.0416666666666665</v>
      </c>
    </row>
    <row r="100" spans="1:14">
      <c r="A100" s="46" t="s">
        <v>345</v>
      </c>
      <c r="B100" s="57">
        <f>B98+B99</f>
        <v>7</v>
      </c>
      <c r="C100" s="57">
        <f>C98+C99</f>
        <v>8</v>
      </c>
      <c r="D100" s="57">
        <f>B98+B99+C98+C99</f>
        <v>15</v>
      </c>
      <c r="E100" s="62"/>
    </row>
    <row r="102" spans="1:14">
      <c r="A102" s="590" t="s">
        <v>774</v>
      </c>
      <c r="B102" s="590"/>
      <c r="C102" s="590"/>
      <c r="D102" s="590"/>
      <c r="E102" s="590"/>
      <c r="F102" s="590"/>
      <c r="G102" s="590"/>
      <c r="H102" s="590"/>
      <c r="I102" s="590"/>
    </row>
    <row r="103" spans="1:14">
      <c r="A103" s="613" t="s">
        <v>636</v>
      </c>
      <c r="B103" s="613"/>
      <c r="C103" s="613"/>
      <c r="D103" s="613"/>
      <c r="E103" s="613"/>
    </row>
    <row r="104" spans="1:14">
      <c r="A104" s="671"/>
      <c r="B104" s="70" t="s">
        <v>102</v>
      </c>
      <c r="C104" s="70" t="s">
        <v>55</v>
      </c>
      <c r="D104" s="57" t="s">
        <v>345</v>
      </c>
      <c r="E104" s="62"/>
      <c r="F104" s="57" t="s">
        <v>102</v>
      </c>
      <c r="G104" s="57" t="s">
        <v>55</v>
      </c>
      <c r="I104" s="61" t="s">
        <v>102</v>
      </c>
      <c r="J104" s="57" t="s">
        <v>55</v>
      </c>
    </row>
    <row r="105" spans="1:14">
      <c r="A105" s="671"/>
      <c r="B105" s="70" t="s">
        <v>103</v>
      </c>
      <c r="C105" s="70" t="s">
        <v>103</v>
      </c>
      <c r="D105" s="46"/>
      <c r="E105" s="52"/>
      <c r="F105" s="57" t="s">
        <v>103</v>
      </c>
      <c r="G105" s="57" t="s">
        <v>103</v>
      </c>
      <c r="I105" s="63" t="s">
        <v>103</v>
      </c>
      <c r="J105" s="63" t="s">
        <v>103</v>
      </c>
    </row>
    <row r="106" spans="1:14">
      <c r="A106" s="32" t="s">
        <v>77</v>
      </c>
      <c r="B106" s="70">
        <f>GETPIVOTDATA("Répondant",Croisements!$A$135,"Question 8.3",1,"Question 30",1)+GETPIVOTDATA("Répondant",Croisements!$A$135,"Question 8.3",2,"Question 30",1)</f>
        <v>3</v>
      </c>
      <c r="C106" s="70">
        <f>GETPIVOTDATA("Répondant",Croisements!$A$135,"Question 8.3",1,"Question 30",2)+GETPIVOTDATA("Répondant",Croisements!$A$135,"Question 8.3",2,"Question 30",2)</f>
        <v>5</v>
      </c>
      <c r="D106" s="57">
        <f>B106+C106</f>
        <v>8</v>
      </c>
      <c r="E106" s="62"/>
      <c r="F106" s="65">
        <f>D106*B108/D108</f>
        <v>3.7333333333333334</v>
      </c>
      <c r="G106" s="65">
        <f>D106*C108/D108</f>
        <v>4.2666666666666666</v>
      </c>
      <c r="I106" s="65">
        <f>POWER(B106-F106,2)/F106</f>
        <v>0.14404761904761909</v>
      </c>
      <c r="J106" s="65">
        <f>POWER(C106-G106,2)/G106</f>
        <v>0.12604166666666669</v>
      </c>
      <c r="L106" s="66">
        <f>I106+J106+I107+J107</f>
        <v>0.578762755102041</v>
      </c>
      <c r="M106" s="66">
        <f>CHIDIST(L106,1)</f>
        <v>0.44679769044778639</v>
      </c>
      <c r="N106" s="93" t="str">
        <f>IF(M106&lt;0.05,ROUND(M106,2),IF(M106&gt;0.051,CONCATENATE(ROUND(M106,2),"*")))</f>
        <v>0.45*</v>
      </c>
    </row>
    <row r="107" spans="1:14">
      <c r="A107" s="32" t="s">
        <v>78</v>
      </c>
      <c r="B107" s="70">
        <f>GETPIVOTDATA("Répondant",Croisements!$A$135,"Question 8.3",3,"Question 30",1)+GETPIVOTDATA("Répondant",Croisements!$A$135,"Question 8.3",4,"Question 30",1)</f>
        <v>4</v>
      </c>
      <c r="C107" s="70">
        <f>GETPIVOTDATA("Répondant",Croisements!$A$135,"Question 8.3",3,"Question 30",2)+GETPIVOTDATA("Répondant",Croisements!$A$135,"Question 8.3",4,"Question 30",2)</f>
        <v>3</v>
      </c>
      <c r="D107" s="57">
        <f>B107+C107</f>
        <v>7</v>
      </c>
      <c r="E107" s="62"/>
      <c r="F107" s="65">
        <f>D107*B108/D108</f>
        <v>3.2666666666666666</v>
      </c>
      <c r="G107" s="65">
        <f>D107*C108/D108</f>
        <v>3.7333333333333334</v>
      </c>
      <c r="I107" s="65">
        <f>POWER(B107-F107,2)/F107</f>
        <v>0.1646258503401361</v>
      </c>
      <c r="J107" s="65">
        <f>POWER(C107-G107,2)/G107</f>
        <v>0.14404761904761909</v>
      </c>
    </row>
    <row r="108" spans="1:14">
      <c r="A108" s="46" t="s">
        <v>345</v>
      </c>
      <c r="B108" s="57">
        <f>B106+B107</f>
        <v>7</v>
      </c>
      <c r="C108" s="57">
        <f>C106+C107</f>
        <v>8</v>
      </c>
      <c r="D108" s="57">
        <f>B106+B107+C106+C107</f>
        <v>15</v>
      </c>
      <c r="E108" s="62"/>
    </row>
    <row r="110" spans="1:14">
      <c r="A110" s="590" t="s">
        <v>775</v>
      </c>
      <c r="B110" s="590"/>
      <c r="C110" s="590"/>
      <c r="D110" s="590"/>
      <c r="E110" s="590"/>
      <c r="F110" s="590"/>
      <c r="G110" s="590"/>
      <c r="H110" s="590"/>
    </row>
    <row r="111" spans="1:14">
      <c r="A111" s="613" t="s">
        <v>636</v>
      </c>
      <c r="B111" s="613"/>
      <c r="C111" s="613"/>
      <c r="D111" s="613"/>
      <c r="E111" s="613"/>
    </row>
    <row r="112" spans="1:14">
      <c r="A112" s="671"/>
      <c r="B112" s="70" t="s">
        <v>102</v>
      </c>
      <c r="C112" s="70" t="s">
        <v>55</v>
      </c>
      <c r="D112" s="57" t="s">
        <v>345</v>
      </c>
      <c r="E112" s="62"/>
      <c r="F112" s="57" t="s">
        <v>102</v>
      </c>
      <c r="G112" s="57" t="s">
        <v>55</v>
      </c>
      <c r="I112" s="61" t="s">
        <v>102</v>
      </c>
      <c r="J112" s="57" t="s">
        <v>55</v>
      </c>
    </row>
    <row r="113" spans="1:14">
      <c r="A113" s="671"/>
      <c r="B113" s="70" t="s">
        <v>103</v>
      </c>
      <c r="C113" s="70" t="s">
        <v>103</v>
      </c>
      <c r="D113" s="46"/>
      <c r="E113" s="52"/>
      <c r="F113" s="57" t="s">
        <v>103</v>
      </c>
      <c r="G113" s="57" t="s">
        <v>103</v>
      </c>
      <c r="I113" s="63" t="s">
        <v>103</v>
      </c>
      <c r="J113" s="63" t="s">
        <v>103</v>
      </c>
    </row>
    <row r="114" spans="1:14">
      <c r="A114" s="32" t="s">
        <v>77</v>
      </c>
      <c r="B114" s="70">
        <f>GETPIVOTDATA("Répondant",Croisements!$A$146,"Question 8.4",1,"Question 30",1)+GETPIVOTDATA("Répondant",Croisements!$A$146,"Question 8.4",2,"Question 30",1)</f>
        <v>5</v>
      </c>
      <c r="C114" s="70">
        <f>GETPIVOTDATA("Répondant",Croisements!$A$146,"Question 8.4",1,"Question 30",2)+GETPIVOTDATA("Répondant",Croisements!$A$146,"Question 8.4",2,"Question 30",2)</f>
        <v>7</v>
      </c>
      <c r="D114" s="57">
        <f>B114+C114</f>
        <v>12</v>
      </c>
      <c r="E114" s="62"/>
      <c r="F114" s="65">
        <f>D114*B116/D116</f>
        <v>5.6</v>
      </c>
      <c r="G114" s="65">
        <f>D114*C116/D116</f>
        <v>6.4</v>
      </c>
      <c r="I114" s="65">
        <f>POWER(B114-F114,2)/F114</f>
        <v>6.4285714285714224E-2</v>
      </c>
      <c r="J114" s="65">
        <f>POWER(C114-G114,2)/G114</f>
        <v>5.6249999999999932E-2</v>
      </c>
      <c r="L114" s="66">
        <f>I114+J114+I115+J115</f>
        <v>0.60267857142857151</v>
      </c>
      <c r="M114" s="66">
        <f>CHIDIST(L114,1)</f>
        <v>0.43755785090384181</v>
      </c>
      <c r="N114" s="93" t="str">
        <f>IF(M114&lt;0.05,ROUND(M114,2),IF(M114&gt;0.051,CONCATENATE(ROUND(M114,2),"*")))</f>
        <v>0.44*</v>
      </c>
    </row>
    <row r="115" spans="1:14">
      <c r="A115" s="32" t="s">
        <v>78</v>
      </c>
      <c r="B115" s="70">
        <f>GETPIVOTDATA("Répondant",Croisements!$A$146,"Question 8.4",3,"Question 30",1)+GETPIVOTDATA("Répondant",Croisements!$A$146,"Question 8.4",4,"Question 30",1)</f>
        <v>2</v>
      </c>
      <c r="C115" s="70">
        <f>GETPIVOTDATA("Répondant",Croisements!$A$146,"Question 8.4",3,"Question 30",2)+GETPIVOTDATA("Répondant",Croisements!$A$146,"Question 8.4",4,"Question 30",2)</f>
        <v>1</v>
      </c>
      <c r="D115" s="57">
        <f>B115+C115</f>
        <v>3</v>
      </c>
      <c r="E115" s="62"/>
      <c r="F115" s="65">
        <f>D115*B116/D116</f>
        <v>1.4</v>
      </c>
      <c r="G115" s="65">
        <f>D115*C116/D116</f>
        <v>1.6</v>
      </c>
      <c r="I115" s="65">
        <f>POWER(B115-F115,2)/F115</f>
        <v>0.25714285714285723</v>
      </c>
      <c r="J115" s="65">
        <f>POWER(C115-G115,2)/G115</f>
        <v>0.22500000000000006</v>
      </c>
    </row>
    <row r="116" spans="1:14">
      <c r="A116" s="46" t="s">
        <v>345</v>
      </c>
      <c r="B116" s="57">
        <f>B114+B115</f>
        <v>7</v>
      </c>
      <c r="C116" s="57">
        <f>C114+C115</f>
        <v>8</v>
      </c>
      <c r="D116" s="57">
        <f>B114+B115+C114+C115</f>
        <v>15</v>
      </c>
      <c r="E116" s="62"/>
    </row>
    <row r="118" spans="1:14">
      <c r="A118" s="590" t="s">
        <v>776</v>
      </c>
      <c r="B118" s="590"/>
      <c r="C118" s="590"/>
      <c r="D118" s="590"/>
      <c r="E118" s="590"/>
      <c r="F118" s="590"/>
      <c r="G118" s="590"/>
    </row>
    <row r="119" spans="1:14">
      <c r="A119" s="613" t="s">
        <v>636</v>
      </c>
      <c r="B119" s="613"/>
      <c r="C119" s="613"/>
      <c r="D119" s="613"/>
      <c r="E119" s="613"/>
    </row>
    <row r="120" spans="1:14">
      <c r="A120" s="671"/>
      <c r="B120" s="70" t="s">
        <v>102</v>
      </c>
      <c r="C120" s="70" t="s">
        <v>55</v>
      </c>
      <c r="D120" s="57" t="s">
        <v>345</v>
      </c>
      <c r="E120" s="62"/>
      <c r="F120" s="57" t="s">
        <v>102</v>
      </c>
      <c r="G120" s="57" t="s">
        <v>55</v>
      </c>
      <c r="I120" s="61" t="s">
        <v>102</v>
      </c>
      <c r="J120" s="57" t="s">
        <v>55</v>
      </c>
    </row>
    <row r="121" spans="1:14">
      <c r="A121" s="671"/>
      <c r="B121" s="70" t="s">
        <v>103</v>
      </c>
      <c r="C121" s="70" t="s">
        <v>103</v>
      </c>
      <c r="D121" s="46"/>
      <c r="E121" s="52"/>
      <c r="F121" s="57" t="s">
        <v>103</v>
      </c>
      <c r="G121" s="57" t="s">
        <v>103</v>
      </c>
      <c r="I121" s="63" t="s">
        <v>103</v>
      </c>
      <c r="J121" s="63" t="s">
        <v>103</v>
      </c>
    </row>
    <row r="122" spans="1:14">
      <c r="A122" s="32" t="s">
        <v>77</v>
      </c>
      <c r="B122" s="70">
        <f>GETPIVOTDATA("Répondant",Croisements!$A$157,"Question 8.5",1,"Question 30",1)+GETPIVOTDATA("Répondant",Croisements!$A$157,"Question 8.5",2,"Question 30",1)</f>
        <v>3</v>
      </c>
      <c r="C122" s="70">
        <f>GETPIVOTDATA("Répondant",Croisements!$A$157,"Question 8.5",1,"Question 30",2)+GETPIVOTDATA("Répondant",Croisements!$A$157,"Question 8.5",2,"Question 30",2)</f>
        <v>6</v>
      </c>
      <c r="D122" s="57">
        <f>B122+C122</f>
        <v>9</v>
      </c>
      <c r="E122" s="62"/>
      <c r="F122" s="65">
        <f>D122*B124/D124</f>
        <v>4.2</v>
      </c>
      <c r="G122" s="65">
        <f>D122*C124/D124</f>
        <v>4.8</v>
      </c>
      <c r="I122" s="65">
        <f>POWER(B122-F122,2)/F122</f>
        <v>0.34285714285714292</v>
      </c>
      <c r="J122" s="65">
        <f>POWER(C122-G122,2)/G122</f>
        <v>0.3000000000000001</v>
      </c>
      <c r="L122" s="66">
        <f>I122+J122+I123+J123</f>
        <v>1.6071428571428577</v>
      </c>
      <c r="M122" s="66">
        <f>CHIDIST(L122,1)</f>
        <v>0.20489389381637851</v>
      </c>
      <c r="N122" s="93" t="str">
        <f>IF(M122&lt;0.05,ROUND(M122,2),IF(M122&gt;0.051,CONCATENATE(ROUND(M122,2),"*")))</f>
        <v>0.2*</v>
      </c>
    </row>
    <row r="123" spans="1:14">
      <c r="A123" s="32" t="s">
        <v>78</v>
      </c>
      <c r="B123" s="70">
        <f>GETPIVOTDATA("Répondant",Croisements!$A$157,"Question 8.5",3,"Question 30",1)+GETPIVOTDATA("Répondant",Croisements!$A$157,"Question 8.5",4,"Question 30",1)</f>
        <v>4</v>
      </c>
      <c r="C123" s="70">
        <f>GETPIVOTDATA("Répondant",Croisements!$A$157,"Question 8.5",3,"Question 30",2)+GETPIVOTDATA("Répondant",Croisements!$A$157,"Question 8.5",4,"Question 30",2)</f>
        <v>2</v>
      </c>
      <c r="D123" s="57">
        <f>B123+C123</f>
        <v>6</v>
      </c>
      <c r="E123" s="62"/>
      <c r="F123" s="65">
        <f>D123*B124/D124</f>
        <v>2.8</v>
      </c>
      <c r="G123" s="65">
        <f>D123*C124/D124</f>
        <v>3.2</v>
      </c>
      <c r="I123" s="65">
        <f>POWER(B123-F123,2)/F123</f>
        <v>0.51428571428571446</v>
      </c>
      <c r="J123" s="65">
        <f>POWER(C123-G123,2)/G123</f>
        <v>0.45000000000000012</v>
      </c>
      <c r="N123" s="93"/>
    </row>
    <row r="124" spans="1:14">
      <c r="A124" s="46" t="s">
        <v>345</v>
      </c>
      <c r="B124" s="57">
        <f>B122+B123</f>
        <v>7</v>
      </c>
      <c r="C124" s="57">
        <f>C122+C123</f>
        <v>8</v>
      </c>
      <c r="D124" s="57">
        <f>B122+B123+C122+C123</f>
        <v>15</v>
      </c>
      <c r="E124" s="62"/>
    </row>
    <row r="126" spans="1:14">
      <c r="A126" s="590" t="s">
        <v>737</v>
      </c>
      <c r="B126" s="590"/>
      <c r="C126" s="590"/>
      <c r="D126" s="590"/>
      <c r="E126" s="590"/>
      <c r="F126" s="590"/>
      <c r="G126" s="590"/>
      <c r="H126" s="590"/>
      <c r="I126" s="590"/>
    </row>
    <row r="127" spans="1:14">
      <c r="A127" s="613" t="s">
        <v>636</v>
      </c>
      <c r="B127" s="613"/>
      <c r="C127" s="613"/>
      <c r="D127" s="613"/>
      <c r="E127" s="613"/>
    </row>
    <row r="128" spans="1:14">
      <c r="A128" s="671"/>
      <c r="B128" s="70" t="s">
        <v>102</v>
      </c>
      <c r="C128" s="70" t="s">
        <v>55</v>
      </c>
      <c r="D128" s="57" t="s">
        <v>345</v>
      </c>
      <c r="E128" s="62"/>
      <c r="F128" s="57" t="s">
        <v>102</v>
      </c>
      <c r="G128" s="57" t="s">
        <v>55</v>
      </c>
      <c r="I128" s="61" t="s">
        <v>102</v>
      </c>
      <c r="J128" s="57" t="s">
        <v>55</v>
      </c>
    </row>
    <row r="129" spans="1:14">
      <c r="A129" s="671"/>
      <c r="B129" s="70" t="s">
        <v>103</v>
      </c>
      <c r="C129" s="70" t="s">
        <v>103</v>
      </c>
      <c r="D129" s="46"/>
      <c r="E129" s="52"/>
      <c r="F129" s="57" t="s">
        <v>103</v>
      </c>
      <c r="G129" s="57" t="s">
        <v>103</v>
      </c>
      <c r="I129" s="63" t="s">
        <v>103</v>
      </c>
      <c r="J129" s="63" t="s">
        <v>103</v>
      </c>
    </row>
    <row r="130" spans="1:14">
      <c r="A130" s="32" t="s">
        <v>77</v>
      </c>
      <c r="B130" s="70">
        <f>GETPIVOTDATA("Répondant",Croisements!$A$168,"Question 8.6",1,"Question 30",1)+GETPIVOTDATA("Répondant",Croisements!$A$168,"Question 8.6",2,"Question 30",1)</f>
        <v>5</v>
      </c>
      <c r="C130" s="70">
        <f>GETPIVOTDATA("Répondant",Croisements!$A$168,"Question 8.6",1,"Question 30",2)+GETPIVOTDATA("Répondant",Croisements!$A$168,"Question 8.6",2,"Question 30",2)</f>
        <v>6</v>
      </c>
      <c r="D130" s="57">
        <f>B130+C130</f>
        <v>11</v>
      </c>
      <c r="E130" s="62"/>
      <c r="F130" s="65">
        <f>D130*B132/D132</f>
        <v>5.1333333333333337</v>
      </c>
      <c r="G130" s="65">
        <f>D130*C132/D132</f>
        <v>5.8666666666666663</v>
      </c>
      <c r="I130" s="65">
        <f>POWER(B130-F130,2)/F130</f>
        <v>3.4632034632034845E-3</v>
      </c>
      <c r="J130" s="65">
        <f>POWER(C130-G130,2)/G130</f>
        <v>3.0303030303030494E-3</v>
      </c>
      <c r="L130" s="66">
        <f>I130+J130+I131+J131</f>
        <v>2.4350649350649387E-2</v>
      </c>
      <c r="M130" s="66">
        <f>CHIDIST(L130,1)</f>
        <v>0.87599601690249373</v>
      </c>
      <c r="N130" s="93" t="str">
        <f>IF(M130&lt;0.05,ROUND(M130,2),IF(M130&gt;0.051,CONCATENATE(ROUND(M130,2),"*")))</f>
        <v>0.88*</v>
      </c>
    </row>
    <row r="131" spans="1:14">
      <c r="A131" s="32" t="s">
        <v>78</v>
      </c>
      <c r="B131" s="70">
        <f>GETPIVOTDATA("Répondant",Croisements!$A$168,"Question 8.6",3,"Question 30",1)+GETPIVOTDATA("Répondant",Croisements!$A$168,"Question 8.6",4,"Question 30",1)</f>
        <v>2</v>
      </c>
      <c r="C131" s="70">
        <f>GETPIVOTDATA("Répondant",Croisements!$A$168,"Question 8.6",3,"Question 30",2)+GETPIVOTDATA("Répondant",Croisements!$A$168,"Question 8.6",4,"Question 30",2)</f>
        <v>2</v>
      </c>
      <c r="D131" s="57">
        <f>B131+C131</f>
        <v>4</v>
      </c>
      <c r="E131" s="62"/>
      <c r="F131" s="65">
        <f>D131*B132/D132</f>
        <v>1.8666666666666667</v>
      </c>
      <c r="G131" s="65">
        <f>D131*C132/D132</f>
        <v>2.1333333333333333</v>
      </c>
      <c r="I131" s="65">
        <f>POWER(B131-F131,2)/F131</f>
        <v>9.5238095238095195E-3</v>
      </c>
      <c r="J131" s="65">
        <f>POWER(C131-G131,2)/G131</f>
        <v>8.3333333333333297E-3</v>
      </c>
    </row>
    <row r="132" spans="1:14">
      <c r="A132" s="46" t="s">
        <v>345</v>
      </c>
      <c r="B132" s="57">
        <f>B130+B131</f>
        <v>7</v>
      </c>
      <c r="C132" s="57">
        <f>C130+C131</f>
        <v>8</v>
      </c>
      <c r="D132" s="57">
        <f>B130+B131+C130+C131</f>
        <v>15</v>
      </c>
      <c r="E132" s="62"/>
    </row>
    <row r="134" spans="1:14">
      <c r="A134" s="590" t="s">
        <v>777</v>
      </c>
      <c r="B134" s="590"/>
      <c r="C134" s="590"/>
      <c r="D134" s="590"/>
      <c r="E134" s="590"/>
      <c r="F134" s="590"/>
    </row>
    <row r="135" spans="1:14">
      <c r="A135" s="613" t="s">
        <v>636</v>
      </c>
      <c r="B135" s="613"/>
      <c r="C135" s="613"/>
      <c r="D135" s="613"/>
      <c r="E135" s="613"/>
    </row>
    <row r="136" spans="1:14">
      <c r="A136" s="671"/>
      <c r="B136" s="70" t="s">
        <v>102</v>
      </c>
      <c r="C136" s="70" t="s">
        <v>55</v>
      </c>
      <c r="D136" s="57" t="s">
        <v>345</v>
      </c>
      <c r="E136" s="62"/>
      <c r="F136" s="57" t="s">
        <v>102</v>
      </c>
      <c r="G136" s="57" t="s">
        <v>55</v>
      </c>
      <c r="I136" s="61" t="s">
        <v>102</v>
      </c>
      <c r="J136" s="57" t="s">
        <v>55</v>
      </c>
    </row>
    <row r="137" spans="1:14">
      <c r="A137" s="671"/>
      <c r="B137" s="70" t="s">
        <v>103</v>
      </c>
      <c r="C137" s="70" t="s">
        <v>103</v>
      </c>
      <c r="D137" s="46"/>
      <c r="E137" s="52"/>
      <c r="F137" s="57" t="s">
        <v>103</v>
      </c>
      <c r="G137" s="57" t="s">
        <v>103</v>
      </c>
      <c r="I137" s="63" t="s">
        <v>103</v>
      </c>
      <c r="J137" s="63" t="s">
        <v>103</v>
      </c>
    </row>
    <row r="138" spans="1:14">
      <c r="A138" s="32" t="s">
        <v>77</v>
      </c>
      <c r="B138" s="70">
        <f>GETPIVOTDATA("Répondant",Croisements!$A$181,"Question 8.7",1,"Question 30",1)+GETPIVOTDATA("Répondant",Croisements!$A$181,"Question 8.7",2,"Question 30",1)</f>
        <v>4</v>
      </c>
      <c r="C138" s="70">
        <f>GETPIVOTDATA("Répondant",Croisements!$A$181,"Question 8.7",1,"Question 30",2)+GETPIVOTDATA("Répondant",Croisements!$A$181,"Question 8.7",2,"Question 30",2)</f>
        <v>7</v>
      </c>
      <c r="D138" s="57">
        <f>B138+C138</f>
        <v>11</v>
      </c>
      <c r="E138" s="62"/>
      <c r="F138" s="65">
        <f>D138*B140/D140</f>
        <v>5.1333333333333337</v>
      </c>
      <c r="G138" s="65">
        <f>D138*C140/D140</f>
        <v>5.8666666666666663</v>
      </c>
      <c r="I138" s="65">
        <f>POWER(B138-F138,2)/F138</f>
        <v>0.25021645021645039</v>
      </c>
      <c r="J138" s="65">
        <f>POWER(C138-G138,2)/G138</f>
        <v>0.21893939393939413</v>
      </c>
      <c r="L138" s="66">
        <f>I138+J138+I139+J139</f>
        <v>1.7593344155844157</v>
      </c>
      <c r="M138" s="66">
        <f>CHIDIST(L138,1)</f>
        <v>0.18470755633593691</v>
      </c>
      <c r="N138" s="93" t="str">
        <f>IF(M138&lt;0.05,ROUND(M138,2),IF(M138&gt;0.051,CONCATENATE(ROUND(M138,2),"*")))</f>
        <v>0.18*</v>
      </c>
    </row>
    <row r="139" spans="1:14">
      <c r="A139" s="32" t="s">
        <v>78</v>
      </c>
      <c r="B139" s="70">
        <f>GETPIVOTDATA("Répondant",Croisements!$A$181,"Question 8.7",3,"Question 30",1)+GETPIVOTDATA("Répondant",Croisements!$A$181,"Question 8.7",4,"Question 30",1)</f>
        <v>3</v>
      </c>
      <c r="C139" s="70">
        <f>GETPIVOTDATA("Répondant",Croisements!$A$181,"Question 8.7",3,"Question 30",2)+GETPIVOTDATA("Répondant",Croisements!$A$181,"Question 8.7",4,"Question 30",2)</f>
        <v>1</v>
      </c>
      <c r="D139" s="57">
        <f>B139+C139</f>
        <v>4</v>
      </c>
      <c r="E139" s="62"/>
      <c r="F139" s="65">
        <f>D139*B140/D140</f>
        <v>1.8666666666666667</v>
      </c>
      <c r="G139" s="65">
        <f>D139*C140/D140</f>
        <v>2.1333333333333333</v>
      </c>
      <c r="I139" s="65">
        <f>POWER(B139-F139,2)/F139</f>
        <v>0.68809523809523798</v>
      </c>
      <c r="J139" s="65">
        <f>POWER(C139-G139,2)/G139</f>
        <v>0.6020833333333333</v>
      </c>
    </row>
    <row r="140" spans="1:14">
      <c r="A140" s="46" t="s">
        <v>345</v>
      </c>
      <c r="B140" s="57">
        <f>B138+B139</f>
        <v>7</v>
      </c>
      <c r="C140" s="57">
        <f>C138+C139</f>
        <v>8</v>
      </c>
      <c r="D140" s="57">
        <f>B138+B139+C138+C139</f>
        <v>15</v>
      </c>
      <c r="E140" s="62"/>
    </row>
    <row r="142" spans="1:14">
      <c r="A142" s="366" t="s">
        <v>778</v>
      </c>
      <c r="B142" s="56"/>
      <c r="C142" s="56"/>
      <c r="D142" s="56"/>
      <c r="E142" s="56"/>
    </row>
    <row r="143" spans="1:14">
      <c r="A143" s="613" t="s">
        <v>636</v>
      </c>
      <c r="B143" s="613"/>
      <c r="C143" s="613"/>
      <c r="D143" s="613"/>
      <c r="E143" s="613"/>
    </row>
    <row r="144" spans="1:14">
      <c r="A144" s="671"/>
      <c r="B144" s="70" t="s">
        <v>102</v>
      </c>
      <c r="C144" s="70" t="s">
        <v>55</v>
      </c>
      <c r="D144" s="57" t="s">
        <v>345</v>
      </c>
      <c r="E144" s="62"/>
      <c r="F144" s="57" t="s">
        <v>102</v>
      </c>
      <c r="G144" s="57" t="s">
        <v>55</v>
      </c>
      <c r="I144" s="61" t="s">
        <v>102</v>
      </c>
      <c r="J144" s="57" t="s">
        <v>55</v>
      </c>
    </row>
    <row r="145" spans="1:14">
      <c r="A145" s="671"/>
      <c r="B145" s="70" t="s">
        <v>103</v>
      </c>
      <c r="C145" s="70" t="s">
        <v>103</v>
      </c>
      <c r="D145" s="46"/>
      <c r="E145" s="52"/>
      <c r="F145" s="57" t="s">
        <v>103</v>
      </c>
      <c r="G145" s="57" t="s">
        <v>103</v>
      </c>
      <c r="I145" s="63" t="s">
        <v>103</v>
      </c>
      <c r="J145" s="63" t="s">
        <v>103</v>
      </c>
    </row>
    <row r="146" spans="1:14">
      <c r="A146" s="32" t="s">
        <v>77</v>
      </c>
      <c r="B146" s="70">
        <f>GETPIVOTDATA("Répondant",Croisements!$A$192,"Question 8.8",1,"Question 30",1)+GETPIVOTDATA("Répondant",Croisements!$A$192,"Question 8.8",2,"Question 30",1)</f>
        <v>5</v>
      </c>
      <c r="C146" s="70">
        <f>GETPIVOTDATA("Répondant",Croisements!$A$192,"Question 8.8",1,"Question 30",2)+GETPIVOTDATA("Répondant",Croisements!$A$192,"Question 8.8",2,"Question 30",2)</f>
        <v>6</v>
      </c>
      <c r="D146" s="57">
        <f>B146+C146</f>
        <v>11</v>
      </c>
      <c r="E146" s="62"/>
      <c r="F146" s="65">
        <f>D146*B148/D148</f>
        <v>5.1333333333333337</v>
      </c>
      <c r="G146" s="65">
        <f>D146*C148/D148</f>
        <v>5.8666666666666663</v>
      </c>
      <c r="I146" s="65">
        <f>POWER(B146-F146,2)/F146</f>
        <v>3.4632034632034845E-3</v>
      </c>
      <c r="J146" s="65">
        <f>POWER(C146-G146,2)/G146</f>
        <v>3.0303030303030494E-3</v>
      </c>
      <c r="L146" s="66">
        <f>I146+J146+I147+J147</f>
        <v>2.4350649350649387E-2</v>
      </c>
      <c r="M146" s="66">
        <f>CHIDIST(L146,1)</f>
        <v>0.87599601690249373</v>
      </c>
      <c r="N146" s="93" t="str">
        <f>IF(M146&lt;0.05,ROUND(M146,2),IF(M146&gt;0.051,CONCATENATE(ROUND(M146,2),"*")))</f>
        <v>0.88*</v>
      </c>
    </row>
    <row r="147" spans="1:14">
      <c r="A147" s="32" t="s">
        <v>78</v>
      </c>
      <c r="B147" s="70">
        <f>GETPIVOTDATA("Répondant",Croisements!$A$192,"Question 8.8",3,"Question 30",1)+GETPIVOTDATA("Répondant",Croisements!$A$192,"Question 8.8",4,"Question 30",1)</f>
        <v>2</v>
      </c>
      <c r="C147" s="70">
        <f>GETPIVOTDATA("Répondant",Croisements!$A$192,"Question 8.8",3,"Question 30",2)+GETPIVOTDATA("Répondant",Croisements!$A$192,"Question 8.8",4,"Question 30",2)</f>
        <v>2</v>
      </c>
      <c r="D147" s="57">
        <f>B147+C147</f>
        <v>4</v>
      </c>
      <c r="E147" s="62"/>
      <c r="F147" s="65">
        <f>D147*B148/D148</f>
        <v>1.8666666666666667</v>
      </c>
      <c r="G147" s="65">
        <f>D147*C148/D148</f>
        <v>2.1333333333333333</v>
      </c>
      <c r="I147" s="65">
        <f>POWER(B147-F147,2)/F147</f>
        <v>9.5238095238095195E-3</v>
      </c>
      <c r="J147" s="65">
        <f>POWER(C147-G147,2)/G147</f>
        <v>8.3333333333333297E-3</v>
      </c>
    </row>
    <row r="148" spans="1:14">
      <c r="A148" s="46" t="s">
        <v>345</v>
      </c>
      <c r="B148" s="57">
        <f>B146+B147</f>
        <v>7</v>
      </c>
      <c r="C148" s="57">
        <f>C146+C147</f>
        <v>8</v>
      </c>
      <c r="D148" s="57">
        <f>B146+B147+C146+C147</f>
        <v>15</v>
      </c>
      <c r="E148" s="62"/>
    </row>
    <row r="150" spans="1:14">
      <c r="A150" s="590" t="s">
        <v>740</v>
      </c>
      <c r="B150" s="590"/>
      <c r="C150" s="590"/>
      <c r="D150" s="590"/>
      <c r="E150" s="590"/>
    </row>
    <row r="151" spans="1:14">
      <c r="A151" s="609" t="s">
        <v>636</v>
      </c>
      <c r="B151" s="609"/>
      <c r="C151" s="609"/>
      <c r="D151" s="613"/>
      <c r="E151" s="613"/>
    </row>
    <row r="152" spans="1:14">
      <c r="A152" s="669"/>
      <c r="B152" s="69" t="s">
        <v>102</v>
      </c>
      <c r="C152" s="69" t="s">
        <v>55</v>
      </c>
      <c r="D152" s="57" t="s">
        <v>345</v>
      </c>
      <c r="E152" s="62"/>
      <c r="F152" s="57" t="s">
        <v>102</v>
      </c>
      <c r="G152" s="57" t="s">
        <v>55</v>
      </c>
      <c r="I152" s="61" t="s">
        <v>102</v>
      </c>
      <c r="J152" s="57" t="s">
        <v>55</v>
      </c>
    </row>
    <row r="153" spans="1:14">
      <c r="A153" s="665"/>
      <c r="B153" s="70" t="s">
        <v>103</v>
      </c>
      <c r="C153" s="74" t="s">
        <v>103</v>
      </c>
      <c r="D153" s="46"/>
      <c r="E153" s="52"/>
      <c r="F153" s="57" t="s">
        <v>103</v>
      </c>
      <c r="G153" s="57" t="s">
        <v>103</v>
      </c>
      <c r="I153" s="63" t="s">
        <v>103</v>
      </c>
      <c r="J153" s="63" t="s">
        <v>103</v>
      </c>
    </row>
    <row r="154" spans="1:14">
      <c r="A154" s="32" t="s">
        <v>323</v>
      </c>
      <c r="B154" s="70">
        <f>GETPIVOTDATA("Répondant",Croisements!$A$203,"Question 9.1",1,"Question 30",1)+GETPIVOTDATA("Répondant",Croisements!$A$203,"Question 9.1",2,"Question 30",1)</f>
        <v>3</v>
      </c>
      <c r="C154" s="70">
        <f>GETPIVOTDATA("Répondant",Croisements!$A$203,"Question 9.1",1,"Question 30",2)+GETPIVOTDATA("Répondant",Croisements!$A$203,"Question 9.1",2,"Question 30",2)</f>
        <v>5</v>
      </c>
      <c r="D154" s="57">
        <f>B154+C154</f>
        <v>8</v>
      </c>
      <c r="E154" s="62"/>
      <c r="F154" s="65">
        <f>D154*B156/D156</f>
        <v>3.7333333333333334</v>
      </c>
      <c r="G154" s="65">
        <f>D154*C156/D156</f>
        <v>4.2666666666666666</v>
      </c>
      <c r="I154" s="65">
        <f>POWER(B154-F154,2)/F154</f>
        <v>0.14404761904761909</v>
      </c>
      <c r="J154" s="65">
        <f>POWER(C154-G154,2)/G154</f>
        <v>0.12604166666666669</v>
      </c>
      <c r="L154" s="66">
        <f>I154+J154+I155+J155</f>
        <v>0.578762755102041</v>
      </c>
      <c r="M154" s="66">
        <f>CHIDIST(L154,1)</f>
        <v>0.44679769044778639</v>
      </c>
      <c r="N154" s="93" t="str">
        <f>IF(M154&lt;0.05,ROUND(M154,2),IF(M154&gt;0.051,CONCATENATE(ROUND(M154,2),"*")))</f>
        <v>0.45*</v>
      </c>
    </row>
    <row r="155" spans="1:14">
      <c r="A155" s="32" t="s">
        <v>324</v>
      </c>
      <c r="B155" s="70">
        <f>GETPIVOTDATA("Répondant",Croisements!$A$203,"Question 9.1",3,"Question 30",1)+GETPIVOTDATA("Répondant",Croisements!$A$203,"Question 9.1",4,"Question 30",1)</f>
        <v>4</v>
      </c>
      <c r="C155" s="70">
        <f>GETPIVOTDATA("Répondant",Croisements!$A$203,"Question 9.1",3,"Question 30",2)+GETPIVOTDATA("Répondant",Croisements!$A$203,"Question 9.1",4,"Question 30",2)</f>
        <v>3</v>
      </c>
      <c r="D155" s="57">
        <f>B155+C155</f>
        <v>7</v>
      </c>
      <c r="E155" s="62"/>
      <c r="F155" s="65">
        <f>D155*B156/D156</f>
        <v>3.2666666666666666</v>
      </c>
      <c r="G155" s="65">
        <f>D155*C156/D156</f>
        <v>3.7333333333333334</v>
      </c>
      <c r="I155" s="65">
        <f>POWER(B155-F155,2)/F155</f>
        <v>0.1646258503401361</v>
      </c>
      <c r="J155" s="65">
        <f>POWER(C155-G155,2)/G155</f>
        <v>0.14404761904761909</v>
      </c>
    </row>
    <row r="156" spans="1:14">
      <c r="A156" s="46" t="s">
        <v>345</v>
      </c>
      <c r="B156" s="57">
        <f>B154+B155</f>
        <v>7</v>
      </c>
      <c r="C156" s="57">
        <f>C154+C155</f>
        <v>8</v>
      </c>
      <c r="D156" s="57">
        <f>B154+B155+C154+C155</f>
        <v>15</v>
      </c>
      <c r="E156" s="62"/>
    </row>
    <row r="158" spans="1:14">
      <c r="A158" s="590" t="s">
        <v>779</v>
      </c>
      <c r="B158" s="590"/>
      <c r="C158" s="590"/>
      <c r="D158" s="590"/>
      <c r="E158" s="590"/>
      <c r="F158" s="590"/>
    </row>
    <row r="159" spans="1:14">
      <c r="A159" s="609" t="s">
        <v>636</v>
      </c>
      <c r="B159" s="609"/>
      <c r="C159" s="609"/>
      <c r="D159" s="613"/>
      <c r="E159" s="613"/>
    </row>
    <row r="160" spans="1:14">
      <c r="A160" s="669"/>
      <c r="B160" s="69" t="s">
        <v>102</v>
      </c>
      <c r="C160" s="70" t="s">
        <v>55</v>
      </c>
      <c r="D160" s="57" t="s">
        <v>345</v>
      </c>
      <c r="E160" s="62"/>
      <c r="F160" s="57" t="s">
        <v>102</v>
      </c>
      <c r="G160" s="57" t="s">
        <v>55</v>
      </c>
      <c r="I160" s="61" t="s">
        <v>102</v>
      </c>
      <c r="J160" s="57" t="s">
        <v>55</v>
      </c>
    </row>
    <row r="161" spans="1:14">
      <c r="A161" s="665"/>
      <c r="B161" s="70" t="s">
        <v>103</v>
      </c>
      <c r="C161" s="74" t="s">
        <v>103</v>
      </c>
      <c r="D161" s="46"/>
      <c r="E161" s="52"/>
      <c r="F161" s="57" t="s">
        <v>103</v>
      </c>
      <c r="G161" s="57" t="s">
        <v>103</v>
      </c>
      <c r="I161" s="63" t="s">
        <v>103</v>
      </c>
      <c r="J161" s="63" t="s">
        <v>103</v>
      </c>
    </row>
    <row r="162" spans="1:14">
      <c r="A162" s="32" t="s">
        <v>323</v>
      </c>
      <c r="B162" s="70">
        <f>GETPIVOTDATA("Répondant",Croisements!$A$214,"Question 9.2",1,"Question 30",1)+GETPIVOTDATA("Répondant",Croisements!$A$214,"Question 9.2",2,"Question 30",1)</f>
        <v>3</v>
      </c>
      <c r="C162" s="70">
        <f>GETPIVOTDATA("Répondant",Croisements!$A$214,"Question 9.2",1,"Question 30",2)+GETPIVOTDATA("Répondant",Croisements!$A$214,"Question 9.2",2,"Question 30",2)</f>
        <v>5</v>
      </c>
      <c r="D162" s="57">
        <f>B162+C162</f>
        <v>8</v>
      </c>
      <c r="E162" s="62"/>
      <c r="F162" s="65">
        <f>D162*B164/D164</f>
        <v>3.7333333333333334</v>
      </c>
      <c r="G162" s="65">
        <f>D162*C164/D164</f>
        <v>4.2666666666666666</v>
      </c>
      <c r="I162" s="65">
        <f>POWER(B162-F162,2)/F162</f>
        <v>0.14404761904761909</v>
      </c>
      <c r="J162" s="65">
        <f>POWER(C162-G162,2)/G162</f>
        <v>0.12604166666666669</v>
      </c>
      <c r="L162" s="66">
        <f>I162+J162+I163+J163</f>
        <v>0.578762755102041</v>
      </c>
      <c r="M162" s="66">
        <f>CHIDIST(L162,1)</f>
        <v>0.44679769044778639</v>
      </c>
      <c r="N162" s="93" t="str">
        <f>IF(M162&lt;0.05,ROUND(M162,2),IF(M162&gt;0.051,CONCATENATE(ROUND(M162,2),"*")))</f>
        <v>0.45*</v>
      </c>
    </row>
    <row r="163" spans="1:14">
      <c r="A163" s="32" t="s">
        <v>324</v>
      </c>
      <c r="B163" s="70">
        <f>GETPIVOTDATA("Répondant",Croisements!$A$214,"Question 9.2",3,"Question 30",1)+GETPIVOTDATA("Répondant",Croisements!$A$214,"Question 9.2",4,"Question 30",1)</f>
        <v>4</v>
      </c>
      <c r="C163" s="70">
        <f>GETPIVOTDATA("Répondant",Croisements!$A$214,"Question 9.2",3,"Question 30",2)+GETPIVOTDATA("Répondant",Croisements!$A$214,"Question 9.2",4,"Question 30",2)</f>
        <v>3</v>
      </c>
      <c r="D163" s="57">
        <f>B163+C163</f>
        <v>7</v>
      </c>
      <c r="E163" s="62"/>
      <c r="F163" s="65">
        <f>D163*B164/D164</f>
        <v>3.2666666666666666</v>
      </c>
      <c r="G163" s="65">
        <f>D163*C164/D164</f>
        <v>3.7333333333333334</v>
      </c>
      <c r="I163" s="65">
        <f>POWER(B163-F163,2)/F163</f>
        <v>0.1646258503401361</v>
      </c>
      <c r="J163" s="65">
        <f>POWER(C163-G163,2)/G163</f>
        <v>0.14404761904761909</v>
      </c>
    </row>
    <row r="164" spans="1:14">
      <c r="A164" s="46" t="s">
        <v>345</v>
      </c>
      <c r="B164" s="57">
        <f>B162+B163</f>
        <v>7</v>
      </c>
      <c r="C164" s="57">
        <f>C162+C163</f>
        <v>8</v>
      </c>
      <c r="D164" s="57">
        <f>B162+B163+C162+C163</f>
        <v>15</v>
      </c>
      <c r="E164" s="62"/>
    </row>
    <row r="166" spans="1:14">
      <c r="A166" s="590" t="s">
        <v>780</v>
      </c>
      <c r="B166" s="590"/>
      <c r="C166" s="590"/>
      <c r="D166" s="590"/>
      <c r="E166" s="590"/>
      <c r="F166" s="590"/>
      <c r="G166" s="590"/>
      <c r="H166" s="590"/>
    </row>
    <row r="167" spans="1:14">
      <c r="A167" s="618"/>
      <c r="B167" s="618"/>
      <c r="C167" s="618"/>
      <c r="D167" s="618"/>
      <c r="E167" s="618"/>
    </row>
    <row r="168" spans="1:14">
      <c r="A168" s="609" t="s">
        <v>636</v>
      </c>
      <c r="B168" s="609"/>
      <c r="C168" s="609"/>
      <c r="D168" s="613"/>
      <c r="E168" s="613"/>
    </row>
    <row r="169" spans="1:14">
      <c r="A169" s="669"/>
      <c r="B169" s="69" t="s">
        <v>102</v>
      </c>
      <c r="C169" s="70" t="s">
        <v>55</v>
      </c>
      <c r="D169" s="57" t="s">
        <v>345</v>
      </c>
      <c r="E169" s="62"/>
      <c r="F169" s="57" t="s">
        <v>102</v>
      </c>
      <c r="G169" s="57" t="s">
        <v>55</v>
      </c>
      <c r="I169" s="61" t="s">
        <v>102</v>
      </c>
      <c r="J169" s="57" t="s">
        <v>55</v>
      </c>
    </row>
    <row r="170" spans="1:14">
      <c r="A170" s="665"/>
      <c r="B170" s="70" t="s">
        <v>103</v>
      </c>
      <c r="C170" s="74" t="s">
        <v>103</v>
      </c>
      <c r="D170" s="46"/>
      <c r="E170" s="52"/>
      <c r="F170" s="57" t="s">
        <v>103</v>
      </c>
      <c r="G170" s="57" t="s">
        <v>103</v>
      </c>
      <c r="I170" s="63" t="s">
        <v>103</v>
      </c>
      <c r="J170" s="63" t="s">
        <v>103</v>
      </c>
    </row>
    <row r="171" spans="1:14">
      <c r="A171" s="32" t="s">
        <v>79</v>
      </c>
      <c r="B171" s="70">
        <f>GETPIVOTDATA("Répondant",Croisements!$A$225,"Question 10.1",1,"Question 30",1)+GETPIVOTDATA("Répondant",Croisements!$A$225,"Question 10.1",2,"Question 30",1)</f>
        <v>4</v>
      </c>
      <c r="C171" s="70">
        <f>GETPIVOTDATA("Répondant",Croisements!$A$225,"Question 10.1",1,"Question 30",2)+GETPIVOTDATA("Répondant",Croisements!$A$225,"Question 10.1",2,"Question 30",2)</f>
        <v>5</v>
      </c>
      <c r="D171" s="57">
        <f>B171+C171</f>
        <v>9</v>
      </c>
      <c r="E171" s="62"/>
      <c r="F171" s="65">
        <f>D171*B173/D173</f>
        <v>4.2</v>
      </c>
      <c r="G171" s="65">
        <f>D171*C173/D173</f>
        <v>4.8</v>
      </c>
      <c r="I171" s="65">
        <f>POWER(B171-F171,2)/F171</f>
        <v>9.5238095238095403E-3</v>
      </c>
      <c r="J171" s="65">
        <f>POWER(C171-G171,2)/G171</f>
        <v>8.3333333333333488E-3</v>
      </c>
      <c r="L171" s="66">
        <f>I171+J171+I172+J172</f>
        <v>4.464285714285722E-2</v>
      </c>
      <c r="M171" s="66">
        <f>CHIDIST(L171,1)</f>
        <v>0.83266210635053239</v>
      </c>
      <c r="N171" s="93" t="str">
        <f>IF(M171&lt;0.05,ROUND(M171,2),IF(M171&gt;0.051,CONCATENATE(ROUND(M171,2),"*")))</f>
        <v>0.83*</v>
      </c>
    </row>
    <row r="172" spans="1:14">
      <c r="A172" s="32" t="s">
        <v>80</v>
      </c>
      <c r="B172" s="70">
        <f>GETPIVOTDATA("Répondant",Croisements!$A$225,"Question 10.1",3,"Question 30",1)+GETPIVOTDATA("Répondant",Croisements!$A$225,"Question 10.1",4,"Question 30",1)</f>
        <v>3</v>
      </c>
      <c r="C172" s="70">
        <f>GETPIVOTDATA("Répondant",Croisements!$A$225,"Question 10.1",3,"Question 30",2)+GETPIVOTDATA("Répondant",Croisements!$A$225,"Question 10.1",4,"Question 30",2)</f>
        <v>3</v>
      </c>
      <c r="D172" s="57">
        <f>B172+C172</f>
        <v>6</v>
      </c>
      <c r="E172" s="62"/>
      <c r="F172" s="65">
        <f>D172*B173/D173</f>
        <v>2.8</v>
      </c>
      <c r="G172" s="65">
        <f>D172*C173/D173</f>
        <v>3.2</v>
      </c>
      <c r="I172" s="65">
        <f>POWER(B172-F172,2)/F172</f>
        <v>1.4285714285714311E-2</v>
      </c>
      <c r="J172" s="65">
        <f>POWER(C172-G172,2)/G172</f>
        <v>1.2500000000000022E-2</v>
      </c>
    </row>
    <row r="173" spans="1:14">
      <c r="A173" s="46" t="s">
        <v>345</v>
      </c>
      <c r="B173" s="57">
        <f>B171+B172</f>
        <v>7</v>
      </c>
      <c r="C173" s="57">
        <f>C171+C172</f>
        <v>8</v>
      </c>
      <c r="D173" s="57">
        <f>B171+B172+C171+C172</f>
        <v>15</v>
      </c>
      <c r="E173" s="62"/>
    </row>
    <row r="175" spans="1:14">
      <c r="A175" s="590" t="s">
        <v>781</v>
      </c>
      <c r="B175" s="590"/>
      <c r="C175" s="590"/>
      <c r="D175" s="590"/>
      <c r="E175" s="590"/>
      <c r="F175" s="590"/>
    </row>
    <row r="176" spans="1:14">
      <c r="A176" s="603"/>
      <c r="B176" s="603"/>
      <c r="C176" s="603"/>
      <c r="D176" s="603"/>
      <c r="E176" s="603"/>
    </row>
    <row r="177" spans="1:14">
      <c r="A177" s="609" t="s">
        <v>636</v>
      </c>
      <c r="B177" s="609"/>
      <c r="C177" s="609"/>
      <c r="D177" s="613"/>
      <c r="E177" s="613"/>
    </row>
    <row r="178" spans="1:14">
      <c r="A178" s="669"/>
      <c r="B178" s="69" t="s">
        <v>102</v>
      </c>
      <c r="C178" s="70" t="s">
        <v>55</v>
      </c>
      <c r="D178" s="57" t="s">
        <v>345</v>
      </c>
      <c r="E178" s="62"/>
      <c r="F178" s="57" t="s">
        <v>102</v>
      </c>
      <c r="G178" s="57" t="s">
        <v>55</v>
      </c>
      <c r="I178" s="61" t="s">
        <v>102</v>
      </c>
      <c r="J178" s="57" t="s">
        <v>55</v>
      </c>
    </row>
    <row r="179" spans="1:14">
      <c r="A179" s="665"/>
      <c r="B179" s="70" t="s">
        <v>103</v>
      </c>
      <c r="C179" s="74" t="s">
        <v>103</v>
      </c>
      <c r="D179" s="46"/>
      <c r="E179" s="52"/>
      <c r="F179" s="57" t="s">
        <v>103</v>
      </c>
      <c r="G179" s="57" t="s">
        <v>103</v>
      </c>
      <c r="I179" s="63" t="s">
        <v>103</v>
      </c>
      <c r="J179" s="63" t="s">
        <v>103</v>
      </c>
    </row>
    <row r="180" spans="1:14">
      <c r="A180" s="32" t="s">
        <v>79</v>
      </c>
      <c r="B180" s="70">
        <f>GETPIVOTDATA("Répondant",Croisements!$A$236,"Question 10.2",1,"Question 30",1)+GETPIVOTDATA("Répondant",Croisements!$A$236,"Question 10.2",2,"Question 30",1)</f>
        <v>5</v>
      </c>
      <c r="C180" s="70">
        <f>GETPIVOTDATA("Répondant",Croisements!$A$236,"Question 10.2",1,"Question 30",2)+GETPIVOTDATA("Répondant",Croisements!$A$236,"Question 10.2",2,"Question 30",2)</f>
        <v>6</v>
      </c>
      <c r="D180" s="57">
        <f>B180+C180</f>
        <v>11</v>
      </c>
      <c r="E180" s="62"/>
      <c r="F180" s="65">
        <f>D180*B182/D182</f>
        <v>5.1333333333333337</v>
      </c>
      <c r="G180" s="65">
        <f>D180*C182/D182</f>
        <v>5.8666666666666663</v>
      </c>
      <c r="I180" s="65">
        <f>POWER(B180-F180,2)/F180</f>
        <v>3.4632034632034845E-3</v>
      </c>
      <c r="J180" s="65">
        <f>POWER(C180-G180,2)/G180</f>
        <v>3.0303030303030494E-3</v>
      </c>
      <c r="L180" s="66">
        <f>I180+J180+I181+J181</f>
        <v>2.4350649350649387E-2</v>
      </c>
      <c r="M180" s="66">
        <f>CHIDIST(L180,1)</f>
        <v>0.87599601690249373</v>
      </c>
      <c r="N180" s="93" t="str">
        <f>IF(M180&lt;0.05,ROUND(M180,2),IF(M180&gt;0.051,CONCATENATE(ROUND(M180,2),"*")))</f>
        <v>0.88*</v>
      </c>
    </row>
    <row r="181" spans="1:14">
      <c r="A181" s="32" t="s">
        <v>80</v>
      </c>
      <c r="B181" s="70">
        <f>GETPIVOTDATA("Répondant",Croisements!$A$236,"Question 10.2",3,"Question 30",1)+GETPIVOTDATA("Répondant",Croisements!$A$236,"Question 10.2",4,"Question 30",1)</f>
        <v>2</v>
      </c>
      <c r="C181" s="70">
        <f>GETPIVOTDATA("Répondant",Croisements!$A$236,"Question 10.2",3,"Question 30",2)+GETPIVOTDATA("Répondant",Croisements!$A$236,"Question 10.2",4,"Question 30",2)</f>
        <v>2</v>
      </c>
      <c r="D181" s="57">
        <f>B181+C181</f>
        <v>4</v>
      </c>
      <c r="E181" s="62"/>
      <c r="F181" s="65">
        <f>D181*B182/D182</f>
        <v>1.8666666666666667</v>
      </c>
      <c r="G181" s="65">
        <f>D181*C182/D182</f>
        <v>2.1333333333333333</v>
      </c>
      <c r="I181" s="65">
        <f>POWER(B181-F181,2)/F181</f>
        <v>9.5238095238095195E-3</v>
      </c>
      <c r="J181" s="65">
        <f>POWER(C181-G181,2)/G181</f>
        <v>8.3333333333333297E-3</v>
      </c>
    </row>
    <row r="182" spans="1:14">
      <c r="A182" s="46" t="s">
        <v>345</v>
      </c>
      <c r="B182" s="57">
        <f>B180+B181</f>
        <v>7</v>
      </c>
      <c r="C182" s="57">
        <f>C180+C181</f>
        <v>8</v>
      </c>
      <c r="D182" s="57">
        <f>B180+B181+C180+C181</f>
        <v>15</v>
      </c>
      <c r="E182" s="62"/>
    </row>
    <row r="184" spans="1:14">
      <c r="A184" s="365" t="s">
        <v>782</v>
      </c>
      <c r="B184" s="55"/>
      <c r="C184" s="55"/>
      <c r="D184" s="55"/>
      <c r="E184" s="55"/>
      <c r="F184" s="54"/>
      <c r="G184" s="54"/>
      <c r="H184" s="54"/>
      <c r="I184" s="54"/>
      <c r="J184" s="54"/>
      <c r="K184" s="54"/>
      <c r="L184" s="54"/>
      <c r="M184" s="54"/>
    </row>
    <row r="185" spans="1:14">
      <c r="A185" s="609" t="s">
        <v>636</v>
      </c>
      <c r="B185" s="609"/>
      <c r="C185" s="609"/>
      <c r="D185" s="613"/>
      <c r="E185" s="613"/>
    </row>
    <row r="186" spans="1:14">
      <c r="A186" s="669"/>
      <c r="B186" s="69" t="s">
        <v>102</v>
      </c>
      <c r="C186" s="70" t="s">
        <v>55</v>
      </c>
      <c r="D186" s="57" t="s">
        <v>345</v>
      </c>
      <c r="E186" s="62"/>
      <c r="F186" s="57" t="s">
        <v>102</v>
      </c>
      <c r="G186" s="57" t="s">
        <v>55</v>
      </c>
      <c r="I186" s="61" t="s">
        <v>102</v>
      </c>
      <c r="J186" s="57" t="s">
        <v>55</v>
      </c>
    </row>
    <row r="187" spans="1:14">
      <c r="A187" s="665"/>
      <c r="B187" s="70" t="s">
        <v>103</v>
      </c>
      <c r="C187" s="74" t="s">
        <v>103</v>
      </c>
      <c r="D187" s="46"/>
      <c r="E187" s="52"/>
      <c r="F187" s="57" t="s">
        <v>103</v>
      </c>
      <c r="G187" s="57" t="s">
        <v>103</v>
      </c>
      <c r="I187" s="63" t="s">
        <v>103</v>
      </c>
      <c r="J187" s="63" t="s">
        <v>103</v>
      </c>
    </row>
    <row r="188" spans="1:14">
      <c r="A188" s="32" t="s">
        <v>35</v>
      </c>
      <c r="B188" s="70">
        <f>GETPIVOTDATA("Répondant",Croisements!$A$247,"Question 11",1,"Question 30",1)</f>
        <v>4</v>
      </c>
      <c r="C188" s="70">
        <f>GETPIVOTDATA("Répondant",Croisements!$A$247,"Question 11",1,"Question 30",2)</f>
        <v>4</v>
      </c>
      <c r="D188" s="57">
        <f>B188+C188</f>
        <v>8</v>
      </c>
      <c r="E188" s="62"/>
      <c r="F188" s="65">
        <f>D188*B190/D190</f>
        <v>3.7333333333333334</v>
      </c>
      <c r="G188" s="65">
        <f>D188*C190/D190</f>
        <v>4.2666666666666666</v>
      </c>
      <c r="I188" s="65">
        <f>POWER(B188-F188,2)/F188</f>
        <v>1.9047619047619039E-2</v>
      </c>
      <c r="J188" s="65">
        <f>POWER(C188-G188,2)/G188</f>
        <v>1.6666666666666659E-2</v>
      </c>
      <c r="L188" s="66">
        <f>I188+J188+I189+J189</f>
        <v>7.6530612244897919E-2</v>
      </c>
      <c r="M188" s="66">
        <f>CHIDIST(L188,1)</f>
        <v>0.78205526672157311</v>
      </c>
      <c r="N188" s="93" t="str">
        <f>IF(M188&lt;0.05,ROUND(M188,2),IF(M188&gt;0.051,CONCATENATE(ROUND(M188,2),"*")))</f>
        <v>0.78*</v>
      </c>
    </row>
    <row r="189" spans="1:14">
      <c r="A189" s="32" t="s">
        <v>36</v>
      </c>
      <c r="B189" s="70">
        <f>GETPIVOTDATA("Répondant",Croisements!$A$247,"Question 11",2,"Question 30",1)</f>
        <v>3</v>
      </c>
      <c r="C189" s="70">
        <f>GETPIVOTDATA("Répondant",Croisements!$A$247,"Question 11",2,"Question 30",2)</f>
        <v>4</v>
      </c>
      <c r="D189" s="57">
        <f>B189+C189</f>
        <v>7</v>
      </c>
      <c r="E189" s="62"/>
      <c r="F189" s="65">
        <f>D189*B190/D190</f>
        <v>3.2666666666666666</v>
      </c>
      <c r="G189" s="65">
        <f>D189*C190/D190</f>
        <v>3.7333333333333334</v>
      </c>
      <c r="I189" s="65">
        <f>POWER(B189-F189,2)/F189</f>
        <v>2.1768707482993189E-2</v>
      </c>
      <c r="J189" s="65">
        <f>POWER(C189-G189,2)/G189</f>
        <v>1.9047619047619039E-2</v>
      </c>
    </row>
    <row r="190" spans="1:14">
      <c r="A190" s="46" t="s">
        <v>345</v>
      </c>
      <c r="B190" s="57">
        <f>B188+B189</f>
        <v>7</v>
      </c>
      <c r="C190" s="57">
        <f>C188+C189</f>
        <v>8</v>
      </c>
      <c r="D190" s="57">
        <f>B188+B189+C188+C189</f>
        <v>15</v>
      </c>
      <c r="E190" s="62"/>
    </row>
    <row r="192" spans="1:14">
      <c r="A192" s="590" t="s">
        <v>783</v>
      </c>
      <c r="B192" s="590"/>
      <c r="C192" s="590"/>
      <c r="D192" s="590"/>
      <c r="E192" s="590"/>
      <c r="F192" s="590"/>
      <c r="G192" s="590"/>
      <c r="H192" s="590"/>
      <c r="I192" s="590"/>
      <c r="J192" s="590"/>
      <c r="K192" s="590"/>
      <c r="L192" s="590"/>
      <c r="M192" s="590"/>
    </row>
    <row r="193" spans="1:14">
      <c r="A193" s="633" t="s">
        <v>636</v>
      </c>
      <c r="B193" s="633"/>
      <c r="C193" s="633"/>
      <c r="D193" s="668"/>
      <c r="E193" s="668"/>
    </row>
    <row r="194" spans="1:14">
      <c r="A194" s="669"/>
      <c r="B194" s="69" t="s">
        <v>102</v>
      </c>
      <c r="C194" s="70" t="s">
        <v>55</v>
      </c>
      <c r="D194" s="57" t="s">
        <v>345</v>
      </c>
      <c r="E194" s="62"/>
      <c r="F194" s="57" t="s">
        <v>102</v>
      </c>
      <c r="G194" s="57" t="s">
        <v>55</v>
      </c>
      <c r="I194" s="61" t="s">
        <v>102</v>
      </c>
      <c r="J194" s="57" t="s">
        <v>55</v>
      </c>
    </row>
    <row r="195" spans="1:14">
      <c r="A195" s="665"/>
      <c r="B195" s="70" t="s">
        <v>103</v>
      </c>
      <c r="C195" s="74" t="s">
        <v>103</v>
      </c>
      <c r="D195" s="46"/>
      <c r="E195" s="52"/>
      <c r="F195" s="57" t="s">
        <v>103</v>
      </c>
      <c r="G195" s="57" t="s">
        <v>103</v>
      </c>
      <c r="I195" s="63" t="s">
        <v>103</v>
      </c>
      <c r="J195" s="63" t="s">
        <v>103</v>
      </c>
    </row>
    <row r="196" spans="1:14">
      <c r="A196" s="32" t="s">
        <v>35</v>
      </c>
      <c r="B196" s="70">
        <f>GETPIVOTDATA("Répondant",Croisements!$A$256,"Question 12",1,"Question 30",1)</f>
        <v>2</v>
      </c>
      <c r="C196" s="322">
        <f>GETPIVOTDATA("Répondant",Croisements!$A$256,"Question 12",1,"Question 30",2)</f>
        <v>6</v>
      </c>
      <c r="D196" s="57">
        <f>B196+C196</f>
        <v>8</v>
      </c>
      <c r="E196" s="62"/>
      <c r="F196" s="65">
        <f>D196*B198/D198</f>
        <v>3.7333333333333334</v>
      </c>
      <c r="G196" s="65">
        <f>D196*C198/D198</f>
        <v>4.2666666666666666</v>
      </c>
      <c r="I196" s="65">
        <f>POWER(B196-F196,2)/F196</f>
        <v>0.80476190476190479</v>
      </c>
      <c r="J196" s="65">
        <f>POWER(C196-G196,2)/G196</f>
        <v>0.70416666666666672</v>
      </c>
      <c r="L196" s="66">
        <f>I196+J196+I197+J197</f>
        <v>3.233418367346939</v>
      </c>
      <c r="M196" s="66">
        <f>CHIDIST(L196,1)</f>
        <v>7.2149939115319389E-2</v>
      </c>
      <c r="N196" s="93" t="str">
        <f>IF(M196&lt;0.05,ROUND(M196,2),IF(M196&gt;0.051,CONCATENATE(ROUND(M196,2),"*")))</f>
        <v>0.07*</v>
      </c>
    </row>
    <row r="197" spans="1:14">
      <c r="A197" s="32" t="s">
        <v>36</v>
      </c>
      <c r="B197" s="322">
        <f>GETPIVOTDATA("Répondant",Croisements!$A$256,"Question 12",2,"Question 30",1)</f>
        <v>5</v>
      </c>
      <c r="C197" s="322">
        <f>GETPIVOTDATA("Répondant",Croisements!$A$256,"Question 12",2,"Question 30",2)</f>
        <v>2</v>
      </c>
      <c r="D197" s="57">
        <f>B197+C197</f>
        <v>7</v>
      </c>
      <c r="E197" s="62"/>
      <c r="F197" s="65">
        <f>D197*B198/D198</f>
        <v>3.2666666666666666</v>
      </c>
      <c r="G197" s="65">
        <f>D197*C198/D198</f>
        <v>3.7333333333333334</v>
      </c>
      <c r="I197" s="65">
        <f>POWER(B197-F197,2)/F197</f>
        <v>0.9197278911564627</v>
      </c>
      <c r="J197" s="65">
        <f>POWER(C197-G197,2)/G197</f>
        <v>0.80476190476190479</v>
      </c>
    </row>
    <row r="198" spans="1:14">
      <c r="A198" s="46" t="s">
        <v>345</v>
      </c>
      <c r="B198" s="57">
        <f>B196+B197</f>
        <v>7</v>
      </c>
      <c r="C198" s="57">
        <f>C196+C197</f>
        <v>8</v>
      </c>
      <c r="D198" s="57">
        <f>B196+B197+C196+C197</f>
        <v>15</v>
      </c>
      <c r="E198" s="62"/>
    </row>
    <row r="200" spans="1:14">
      <c r="A200" s="590" t="s">
        <v>784</v>
      </c>
      <c r="B200" s="590"/>
      <c r="C200" s="590"/>
      <c r="D200" s="590"/>
      <c r="E200" s="590"/>
      <c r="F200" s="590"/>
      <c r="G200" s="590"/>
      <c r="H200" s="590"/>
      <c r="I200" s="590"/>
    </row>
    <row r="201" spans="1:14">
      <c r="A201" s="609" t="s">
        <v>636</v>
      </c>
      <c r="B201" s="609"/>
      <c r="C201" s="609"/>
      <c r="D201" s="613"/>
      <c r="E201" s="613"/>
    </row>
    <row r="202" spans="1:14">
      <c r="A202" s="669"/>
      <c r="B202" s="69" t="s">
        <v>102</v>
      </c>
      <c r="C202" s="69" t="s">
        <v>55</v>
      </c>
      <c r="D202" s="57" t="s">
        <v>345</v>
      </c>
      <c r="E202" s="62"/>
      <c r="F202" s="57" t="s">
        <v>102</v>
      </c>
      <c r="G202" s="57" t="s">
        <v>55</v>
      </c>
      <c r="I202" s="61" t="s">
        <v>102</v>
      </c>
      <c r="J202" s="57" t="s">
        <v>55</v>
      </c>
    </row>
    <row r="203" spans="1:14">
      <c r="A203" s="665"/>
      <c r="B203" s="70" t="s">
        <v>103</v>
      </c>
      <c r="C203" s="74" t="s">
        <v>103</v>
      </c>
      <c r="D203" s="46"/>
      <c r="E203" s="52"/>
      <c r="F203" s="57" t="s">
        <v>103</v>
      </c>
      <c r="G203" s="57" t="s">
        <v>103</v>
      </c>
      <c r="I203" s="63" t="s">
        <v>103</v>
      </c>
      <c r="J203" s="63" t="s">
        <v>103</v>
      </c>
    </row>
    <row r="204" spans="1:14">
      <c r="A204" s="32" t="s">
        <v>35</v>
      </c>
      <c r="B204" s="70">
        <f>GETPIVOTDATA("Répondant",Croisements!$A$265,"Question 13",1,"Question 30",1)</f>
        <v>6</v>
      </c>
      <c r="C204" s="322">
        <f>GETPIVOTDATA("Répondant",Croisements!$A$265,"Question 13",1,"Question 30",2)</f>
        <v>1</v>
      </c>
      <c r="D204" s="57">
        <f>B204+C204</f>
        <v>7</v>
      </c>
      <c r="E204" s="62"/>
      <c r="F204" s="65">
        <f>D204*B206/D206</f>
        <v>3.2666666666666666</v>
      </c>
      <c r="G204" s="65">
        <f>D204*C206/D206</f>
        <v>3.7333333333333334</v>
      </c>
      <c r="I204" s="65">
        <f>POWER(B204-F204,2)/F204</f>
        <v>2.287074829931973</v>
      </c>
      <c r="J204" s="65">
        <f>POWER(C204-G204,2)/G204</f>
        <v>2.0011904761904762</v>
      </c>
      <c r="L204" s="66">
        <f>I204+J204+I205+J205</f>
        <v>8.0404974489795933</v>
      </c>
      <c r="M204" s="66">
        <f>CHIDIST(L204,1)</f>
        <v>4.5742973542996206E-3</v>
      </c>
      <c r="N204" s="93">
        <f>IF(M204&lt;0.05,ROUND(M204,2),IF(M204&gt;0.051,CONCATENATE(ROUND(M204,2),"*")))</f>
        <v>0</v>
      </c>
    </row>
    <row r="205" spans="1:14">
      <c r="A205" s="32" t="s">
        <v>36</v>
      </c>
      <c r="B205" s="322">
        <f>GETPIVOTDATA("Répondant",Croisements!$A$265,"Question 13",2,"Question 30",1)</f>
        <v>1</v>
      </c>
      <c r="C205" s="322">
        <f>GETPIVOTDATA("Répondant",Croisements!$A$265,"Question 13",2,"Question 30",2)</f>
        <v>7</v>
      </c>
      <c r="D205" s="57">
        <f>B205+C205</f>
        <v>8</v>
      </c>
      <c r="E205" s="62"/>
      <c r="F205" s="65">
        <f>D205*B206/D206</f>
        <v>3.7333333333333334</v>
      </c>
      <c r="G205" s="65">
        <f>D205*C206/D206</f>
        <v>4.2666666666666666</v>
      </c>
      <c r="I205" s="65">
        <f>POWER(B205-F205,2)/F205</f>
        <v>2.0011904761904762</v>
      </c>
      <c r="J205" s="65">
        <f>POWER(C205-G205,2)/G205</f>
        <v>1.7510416666666666</v>
      </c>
    </row>
    <row r="206" spans="1:14">
      <c r="A206" s="46" t="s">
        <v>345</v>
      </c>
      <c r="B206" s="57">
        <f>B204+B205</f>
        <v>7</v>
      </c>
      <c r="C206" s="57">
        <f>C204+C205</f>
        <v>8</v>
      </c>
      <c r="D206" s="57">
        <f>B204+B205+C204+C205</f>
        <v>15</v>
      </c>
      <c r="E206" s="62"/>
    </row>
    <row r="208" spans="1:14">
      <c r="A208" s="590" t="s">
        <v>785</v>
      </c>
      <c r="B208" s="590"/>
      <c r="C208" s="590"/>
      <c r="D208" s="590"/>
      <c r="E208" s="590"/>
      <c r="F208" s="590"/>
      <c r="G208" s="590"/>
      <c r="H208" s="590"/>
      <c r="I208" s="590"/>
      <c r="J208" s="590"/>
    </row>
    <row r="209" spans="1:14">
      <c r="A209" s="609" t="s">
        <v>636</v>
      </c>
      <c r="B209" s="609"/>
      <c r="C209" s="609"/>
      <c r="D209" s="613"/>
      <c r="E209" s="613"/>
    </row>
    <row r="210" spans="1:14">
      <c r="A210" s="669"/>
      <c r="B210" s="69" t="s">
        <v>102</v>
      </c>
      <c r="C210" s="70" t="s">
        <v>55</v>
      </c>
      <c r="D210" s="57" t="s">
        <v>345</v>
      </c>
      <c r="E210" s="62"/>
      <c r="F210" s="57" t="s">
        <v>102</v>
      </c>
      <c r="G210" s="57" t="s">
        <v>55</v>
      </c>
      <c r="I210" s="61" t="s">
        <v>102</v>
      </c>
      <c r="J210" s="57" t="s">
        <v>55</v>
      </c>
    </row>
    <row r="211" spans="1:14">
      <c r="A211" s="665"/>
      <c r="B211" s="70" t="s">
        <v>103</v>
      </c>
      <c r="C211" s="74" t="s">
        <v>103</v>
      </c>
      <c r="D211" s="46"/>
      <c r="E211" s="52"/>
      <c r="F211" s="57" t="s">
        <v>103</v>
      </c>
      <c r="G211" s="57" t="s">
        <v>103</v>
      </c>
      <c r="I211" s="63" t="s">
        <v>103</v>
      </c>
      <c r="J211" s="63" t="s">
        <v>103</v>
      </c>
    </row>
    <row r="212" spans="1:14">
      <c r="A212" s="32" t="s">
        <v>35</v>
      </c>
      <c r="B212" s="70">
        <f>GETPIVOTDATA("Répondant",Croisements!$A$274,"Question 14.1",1,"Question 30",1)</f>
        <v>1</v>
      </c>
      <c r="C212" s="70">
        <f>GETPIVOTDATA("Répondant",Croisements!$A$274,"Question 14.1",1,"Question 30",2)</f>
        <v>7</v>
      </c>
      <c r="D212" s="57">
        <f>B212+C212</f>
        <v>8</v>
      </c>
      <c r="E212" s="62"/>
      <c r="F212" s="65">
        <f>D212*B214/D214</f>
        <v>3.7333333333333334</v>
      </c>
      <c r="G212" s="65">
        <f>D212*C214/D214</f>
        <v>4.2666666666666666</v>
      </c>
      <c r="I212" s="65">
        <f>POWER(B212-F212,2)/F212</f>
        <v>2.0011904761904762</v>
      </c>
      <c r="J212" s="65">
        <f>POWER(C212-G212,2)/G212</f>
        <v>1.7510416666666666</v>
      </c>
      <c r="L212" s="66">
        <f>I212+J212+I213+J213</f>
        <v>8.0404974489795915</v>
      </c>
      <c r="M212" s="66">
        <f>CHIDIST(L212,1)</f>
        <v>4.5742973542996206E-3</v>
      </c>
      <c r="N212" s="93">
        <f>IF(M212&lt;0.05,ROUND(M212,2),IF(M212&gt;0.051,CONCATENATE(ROUND(M212,2),"*")))</f>
        <v>0</v>
      </c>
    </row>
    <row r="213" spans="1:14">
      <c r="A213" s="32" t="s">
        <v>36</v>
      </c>
      <c r="B213" s="70">
        <f>GETPIVOTDATA("Répondant",Croisements!$A$274,"Question 14.1",2,"Question 30",1)</f>
        <v>6</v>
      </c>
      <c r="C213" s="70">
        <f>GETPIVOTDATA("Répondant",Croisements!$A$274,"Question 14.1",2,"Question 30",2)</f>
        <v>1</v>
      </c>
      <c r="D213" s="57">
        <f>B213+C213</f>
        <v>7</v>
      </c>
      <c r="E213" s="62"/>
      <c r="F213" s="65">
        <f>D213*B214/D214</f>
        <v>3.2666666666666666</v>
      </c>
      <c r="G213" s="65">
        <f>D213*C214/D214</f>
        <v>3.7333333333333334</v>
      </c>
      <c r="I213" s="65">
        <f>POWER(B213-F213,2)/F213</f>
        <v>2.287074829931973</v>
      </c>
      <c r="J213" s="65">
        <f>POWER(C213-G213,2)/G213</f>
        <v>2.0011904761904762</v>
      </c>
    </row>
    <row r="214" spans="1:14">
      <c r="A214" s="46" t="s">
        <v>345</v>
      </c>
      <c r="B214" s="57">
        <f>B212+B213</f>
        <v>7</v>
      </c>
      <c r="C214" s="57">
        <f>C212+C213</f>
        <v>8</v>
      </c>
      <c r="D214" s="57">
        <f>B212+B213+C212+C213</f>
        <v>15</v>
      </c>
      <c r="E214" s="62"/>
    </row>
    <row r="216" spans="1:14">
      <c r="A216" s="590" t="s">
        <v>786</v>
      </c>
      <c r="B216" s="590"/>
      <c r="C216" s="590"/>
      <c r="D216" s="590"/>
      <c r="E216" s="590"/>
      <c r="F216" s="590"/>
      <c r="G216" s="590"/>
      <c r="H216" s="590"/>
      <c r="I216" s="590"/>
    </row>
    <row r="217" spans="1:14">
      <c r="A217" s="609" t="s">
        <v>636</v>
      </c>
      <c r="B217" s="609"/>
      <c r="C217" s="609"/>
      <c r="D217" s="613"/>
      <c r="E217" s="613"/>
    </row>
    <row r="218" spans="1:14">
      <c r="A218" s="669"/>
      <c r="B218" s="69" t="s">
        <v>102</v>
      </c>
      <c r="C218" s="70" t="s">
        <v>55</v>
      </c>
      <c r="D218" s="57" t="s">
        <v>345</v>
      </c>
      <c r="E218" s="62"/>
      <c r="F218" s="57" t="s">
        <v>102</v>
      </c>
      <c r="G218" s="57" t="s">
        <v>55</v>
      </c>
      <c r="I218" s="61" t="s">
        <v>102</v>
      </c>
      <c r="J218" s="57" t="s">
        <v>55</v>
      </c>
    </row>
    <row r="219" spans="1:14">
      <c r="A219" s="665"/>
      <c r="B219" s="70" t="s">
        <v>103</v>
      </c>
      <c r="C219" s="74" t="s">
        <v>103</v>
      </c>
      <c r="D219" s="46"/>
      <c r="E219" s="52"/>
      <c r="F219" s="57" t="s">
        <v>103</v>
      </c>
      <c r="G219" s="57" t="s">
        <v>103</v>
      </c>
      <c r="I219" s="63" t="s">
        <v>103</v>
      </c>
      <c r="J219" s="63" t="s">
        <v>103</v>
      </c>
    </row>
    <row r="220" spans="1:14">
      <c r="A220" s="32" t="s">
        <v>35</v>
      </c>
      <c r="B220" s="70">
        <f>GETPIVOTDATA("Répondant",Croisements!$A$283,"Question 14.2",1,"Question 30",1)</f>
        <v>1</v>
      </c>
      <c r="C220" s="322">
        <f>GETPIVOTDATA("Répondant",Croisements!$A$283,"Question 14.2",1,"Question 30",2)</f>
        <v>5</v>
      </c>
      <c r="D220" s="57">
        <f>B220+C220</f>
        <v>6</v>
      </c>
      <c r="E220" s="62"/>
      <c r="F220" s="65">
        <f>D220*B222/D222</f>
        <v>2.8</v>
      </c>
      <c r="G220" s="65">
        <f>D220*C222/D222</f>
        <v>3.2</v>
      </c>
      <c r="I220" s="65">
        <f>POWER(B220-F220,2)/F220</f>
        <v>1.157142857142857</v>
      </c>
      <c r="J220" s="65">
        <f>POWER(C220-G220,2)/G220</f>
        <v>1.0124999999999997</v>
      </c>
      <c r="L220" s="66">
        <f>I220+J220+I221+J221</f>
        <v>3.6160714285714279</v>
      </c>
      <c r="M220" s="66">
        <f>CHIDIST(L220,1)</f>
        <v>5.7223850877677757E-2</v>
      </c>
      <c r="N220" s="93" t="str">
        <f>IF(M220&lt;0.05,ROUND(M220,2),IF(M220&gt;0.051,CONCATENATE(ROUND(M220,2),"*")))</f>
        <v>0.06*</v>
      </c>
    </row>
    <row r="221" spans="1:14">
      <c r="A221" s="32" t="s">
        <v>36</v>
      </c>
      <c r="B221" s="322">
        <f>GETPIVOTDATA("Répondant",Croisements!$A$283,"Question 14.2",2,"Question 30",1)</f>
        <v>6</v>
      </c>
      <c r="C221" s="322">
        <f>GETPIVOTDATA("Répondant",Croisements!$A$283,"Question 14.2",2,"Question 30",2)</f>
        <v>3</v>
      </c>
      <c r="D221" s="57">
        <f>B221+C221</f>
        <v>9</v>
      </c>
      <c r="E221" s="62"/>
      <c r="F221" s="65">
        <f>D221*B222/D222</f>
        <v>4.2</v>
      </c>
      <c r="G221" s="65">
        <f>D221*C222/D222</f>
        <v>4.8</v>
      </c>
      <c r="I221" s="65">
        <f>POWER(B221-F221,2)/F221</f>
        <v>0.77142857142857124</v>
      </c>
      <c r="J221" s="65">
        <f>POWER(C221-G221,2)/G221</f>
        <v>0.67499999999999993</v>
      </c>
    </row>
    <row r="222" spans="1:14">
      <c r="A222" s="46" t="s">
        <v>345</v>
      </c>
      <c r="B222" s="57">
        <f>B220+B221</f>
        <v>7</v>
      </c>
      <c r="C222" s="57">
        <f>C220+C221</f>
        <v>8</v>
      </c>
      <c r="D222" s="57">
        <f>B220+B221+C220+C221</f>
        <v>15</v>
      </c>
      <c r="E222" s="62"/>
    </row>
    <row r="224" spans="1:14">
      <c r="A224" s="590" t="s">
        <v>787</v>
      </c>
      <c r="B224" s="590"/>
      <c r="C224" s="590"/>
      <c r="D224" s="590"/>
      <c r="E224" s="590"/>
      <c r="F224" s="590"/>
      <c r="G224" s="590"/>
      <c r="H224" s="54"/>
      <c r="I224" s="54"/>
    </row>
    <row r="225" spans="1:14">
      <c r="A225" s="609" t="s">
        <v>636</v>
      </c>
      <c r="B225" s="609"/>
      <c r="C225" s="609"/>
      <c r="D225" s="613"/>
      <c r="E225" s="613"/>
    </row>
    <row r="226" spans="1:14">
      <c r="A226" s="669"/>
      <c r="B226" s="69" t="s">
        <v>102</v>
      </c>
      <c r="C226" s="69" t="s">
        <v>55</v>
      </c>
      <c r="D226" s="57" t="s">
        <v>345</v>
      </c>
      <c r="E226" s="62"/>
      <c r="F226" s="57" t="s">
        <v>102</v>
      </c>
      <c r="G226" s="57" t="s">
        <v>55</v>
      </c>
      <c r="I226" s="61" t="s">
        <v>102</v>
      </c>
      <c r="J226" s="57" t="s">
        <v>55</v>
      </c>
    </row>
    <row r="227" spans="1:14">
      <c r="A227" s="665"/>
      <c r="B227" s="70" t="s">
        <v>103</v>
      </c>
      <c r="C227" s="74" t="s">
        <v>103</v>
      </c>
      <c r="D227" s="46"/>
      <c r="E227" s="52"/>
      <c r="F227" s="57" t="s">
        <v>103</v>
      </c>
      <c r="G227" s="57" t="s">
        <v>103</v>
      </c>
      <c r="I227" s="63" t="s">
        <v>103</v>
      </c>
      <c r="J227" s="63" t="s">
        <v>103</v>
      </c>
    </row>
    <row r="228" spans="1:14">
      <c r="A228" s="32" t="s">
        <v>35</v>
      </c>
      <c r="B228" s="70">
        <f>GETPIVOTDATA("Répondant",Croisements!$A$292,"Question 14.3",1,"Question 30",1)</f>
        <v>4</v>
      </c>
      <c r="C228" s="70">
        <f>GETPIVOTDATA("Répondant",Croisements!$A$292,"Question 14.3",1,"Question 30",2)</f>
        <v>5</v>
      </c>
      <c r="D228" s="57">
        <f>B228+C228</f>
        <v>9</v>
      </c>
      <c r="E228" s="62"/>
      <c r="F228" s="65">
        <f>D228*B230/D230</f>
        <v>4.2</v>
      </c>
      <c r="G228" s="65">
        <f>D228*C230/D230</f>
        <v>4.8</v>
      </c>
      <c r="I228" s="65">
        <f>POWER(B228-F228,2)/F228</f>
        <v>9.5238095238095403E-3</v>
      </c>
      <c r="J228" s="65">
        <f>POWER(C228-G228,2)/G228</f>
        <v>8.3333333333333488E-3</v>
      </c>
      <c r="L228" s="66">
        <f>I228+J228+I229+J229</f>
        <v>4.464285714285722E-2</v>
      </c>
      <c r="M228" s="66">
        <f>CHIDIST(L228,1)</f>
        <v>0.83266210635053239</v>
      </c>
      <c r="N228" s="93" t="str">
        <f>IF(M228&lt;0.05,ROUND(M228,2),IF(M228&gt;0.051,CONCATENATE(ROUND(M228,2),"*")))</f>
        <v>0.83*</v>
      </c>
    </row>
    <row r="229" spans="1:14">
      <c r="A229" s="32" t="s">
        <v>36</v>
      </c>
      <c r="B229" s="70">
        <f>GETPIVOTDATA("Répondant",Croisements!$A$292,"Question 14.3",2,"Question 30",1)</f>
        <v>3</v>
      </c>
      <c r="C229" s="70">
        <f>GETPIVOTDATA("Répondant",Croisements!$A$292,"Question 14.3",2,"Question 30",2)</f>
        <v>3</v>
      </c>
      <c r="D229" s="57">
        <f>B229+C229</f>
        <v>6</v>
      </c>
      <c r="E229" s="62"/>
      <c r="F229" s="65">
        <f>D229*B230/D230</f>
        <v>2.8</v>
      </c>
      <c r="G229" s="65">
        <f>D229*C230/D230</f>
        <v>3.2</v>
      </c>
      <c r="I229" s="65">
        <f>POWER(B229-F229,2)/F229</f>
        <v>1.4285714285714311E-2</v>
      </c>
      <c r="J229" s="65">
        <f>POWER(C229-G229,2)/G229</f>
        <v>1.2500000000000022E-2</v>
      </c>
    </row>
    <row r="230" spans="1:14">
      <c r="A230" s="46" t="s">
        <v>345</v>
      </c>
      <c r="B230" s="57">
        <f>B228+B229</f>
        <v>7</v>
      </c>
      <c r="C230" s="57">
        <f>C228+C229</f>
        <v>8</v>
      </c>
      <c r="D230" s="57">
        <f>B228+B229+C228+C229</f>
        <v>15</v>
      </c>
      <c r="E230" s="62"/>
    </row>
    <row r="232" spans="1:14">
      <c r="A232" s="590" t="s">
        <v>788</v>
      </c>
      <c r="B232" s="590"/>
      <c r="C232" s="590"/>
      <c r="D232" s="590"/>
      <c r="E232" s="590"/>
      <c r="F232" s="590"/>
      <c r="G232" s="590"/>
      <c r="H232" s="590"/>
      <c r="I232" s="590"/>
      <c r="J232" s="590"/>
    </row>
    <row r="233" spans="1:14">
      <c r="A233" s="609" t="s">
        <v>636</v>
      </c>
      <c r="B233" s="609"/>
      <c r="C233" s="609"/>
      <c r="D233" s="613"/>
      <c r="E233" s="613"/>
    </row>
    <row r="234" spans="1:14">
      <c r="A234" s="669"/>
      <c r="B234" s="69" t="s">
        <v>102</v>
      </c>
      <c r="C234" s="70" t="s">
        <v>55</v>
      </c>
      <c r="D234" s="57" t="s">
        <v>345</v>
      </c>
      <c r="E234" s="62"/>
      <c r="F234" s="57" t="s">
        <v>102</v>
      </c>
      <c r="G234" s="57" t="s">
        <v>55</v>
      </c>
      <c r="I234" s="61" t="s">
        <v>102</v>
      </c>
      <c r="J234" s="57" t="s">
        <v>55</v>
      </c>
    </row>
    <row r="235" spans="1:14">
      <c r="A235" s="665"/>
      <c r="B235" s="70" t="s">
        <v>103</v>
      </c>
      <c r="C235" s="74" t="s">
        <v>103</v>
      </c>
      <c r="D235" s="46"/>
      <c r="E235" s="52"/>
      <c r="F235" s="57" t="s">
        <v>103</v>
      </c>
      <c r="G235" s="57" t="s">
        <v>103</v>
      </c>
      <c r="I235" s="63" t="s">
        <v>103</v>
      </c>
      <c r="J235" s="63" t="s">
        <v>103</v>
      </c>
    </row>
    <row r="236" spans="1:14">
      <c r="A236" s="32" t="s">
        <v>35</v>
      </c>
      <c r="B236" s="70">
        <f>GETPIVOTDATA("Répondant",Croisements!$A$301,"Question 14.4",1,"Question 30",1)</f>
        <v>4</v>
      </c>
      <c r="C236" s="70">
        <f>GETPIVOTDATA("Répondant",Croisements!$A$301,"Question 14.4",1,"Question 30",2)</f>
        <v>3</v>
      </c>
      <c r="D236" s="57">
        <f>B236+C236</f>
        <v>7</v>
      </c>
      <c r="E236" s="62"/>
      <c r="F236" s="65">
        <f>D236*B238/D238</f>
        <v>3.2666666666666666</v>
      </c>
      <c r="G236" s="65">
        <f>D236*C238/D238</f>
        <v>3.7333333333333334</v>
      </c>
      <c r="I236" s="65">
        <f>POWER(B236-F236,2)/F236</f>
        <v>0.1646258503401361</v>
      </c>
      <c r="J236" s="65">
        <f>POWER(C236-G236,2)/G236</f>
        <v>0.14404761904761909</v>
      </c>
      <c r="L236" s="66">
        <f>I236+J236+I237+J237</f>
        <v>0.578762755102041</v>
      </c>
      <c r="M236" s="66">
        <f>CHIDIST(L236,1)</f>
        <v>0.44679769044778639</v>
      </c>
      <c r="N236" s="93" t="str">
        <f>IF(M236&lt;0.05,ROUND(M236,2),IF(M236&gt;0.051,CONCATENATE(ROUND(M236,2),"*")))</f>
        <v>0.45*</v>
      </c>
    </row>
    <row r="237" spans="1:14">
      <c r="A237" s="32" t="s">
        <v>36</v>
      </c>
      <c r="B237" s="70">
        <f>GETPIVOTDATA("Répondant",Croisements!$A$301,"Question 14.4",2,"Question 30",1)</f>
        <v>3</v>
      </c>
      <c r="C237" s="70">
        <f>GETPIVOTDATA("Répondant",Croisements!$A$301,"Question 14.4",2,"Question 30",2)</f>
        <v>5</v>
      </c>
      <c r="D237" s="57">
        <f>B237+C237</f>
        <v>8</v>
      </c>
      <c r="E237" s="62"/>
      <c r="F237" s="65">
        <f>D237*B238/D238</f>
        <v>3.7333333333333334</v>
      </c>
      <c r="G237" s="65">
        <f>D237*C238/D238</f>
        <v>4.2666666666666666</v>
      </c>
      <c r="I237" s="65">
        <f>POWER(B237-F237,2)/F237</f>
        <v>0.14404761904761909</v>
      </c>
      <c r="J237" s="65">
        <f>POWER(C237-G237,2)/G237</f>
        <v>0.12604166666666669</v>
      </c>
    </row>
    <row r="238" spans="1:14">
      <c r="A238" s="46" t="s">
        <v>345</v>
      </c>
      <c r="B238" s="57">
        <f>B236+B237</f>
        <v>7</v>
      </c>
      <c r="C238" s="57">
        <f>C236+C237</f>
        <v>8</v>
      </c>
      <c r="D238" s="57">
        <f>B236+B237+C236+C237</f>
        <v>15</v>
      </c>
      <c r="E238" s="62"/>
    </row>
    <row r="240" spans="1:14">
      <c r="A240" s="590" t="s">
        <v>789</v>
      </c>
      <c r="B240" s="590"/>
      <c r="C240" s="590"/>
      <c r="D240" s="590"/>
      <c r="E240" s="590"/>
    </row>
    <row r="241" spans="1:14">
      <c r="A241" s="609" t="s">
        <v>636</v>
      </c>
      <c r="B241" s="609"/>
      <c r="C241" s="609"/>
      <c r="D241" s="613"/>
      <c r="E241" s="613"/>
    </row>
    <row r="242" spans="1:14">
      <c r="A242" s="669"/>
      <c r="B242" s="69" t="s">
        <v>102</v>
      </c>
      <c r="C242" s="69" t="s">
        <v>55</v>
      </c>
      <c r="D242" s="57" t="s">
        <v>345</v>
      </c>
      <c r="E242" s="62"/>
      <c r="F242" s="57" t="s">
        <v>102</v>
      </c>
      <c r="G242" s="57" t="s">
        <v>55</v>
      </c>
      <c r="I242" s="61" t="s">
        <v>102</v>
      </c>
      <c r="J242" s="57" t="s">
        <v>55</v>
      </c>
    </row>
    <row r="243" spans="1:14">
      <c r="A243" s="665"/>
      <c r="B243" s="70" t="s">
        <v>103</v>
      </c>
      <c r="C243" s="74" t="s">
        <v>103</v>
      </c>
      <c r="D243" s="46"/>
      <c r="E243" s="52"/>
      <c r="F243" s="57" t="s">
        <v>103</v>
      </c>
      <c r="G243" s="57" t="s">
        <v>103</v>
      </c>
      <c r="I243" s="63" t="s">
        <v>103</v>
      </c>
      <c r="J243" s="63" t="s">
        <v>103</v>
      </c>
    </row>
    <row r="244" spans="1:14">
      <c r="A244" s="32" t="s">
        <v>35</v>
      </c>
      <c r="B244" s="70">
        <f>GETPIVOTDATA("Répondant",Croisements!$A$310,"Question 14.5",1,"Question 30",1)</f>
        <v>3</v>
      </c>
      <c r="C244" s="70">
        <f>GETPIVOTDATA("Répondant",Croisements!$A$310,"Question 14.5",1,"Question 30",2)</f>
        <v>5</v>
      </c>
      <c r="D244" s="57">
        <f>B244+C244</f>
        <v>8</v>
      </c>
      <c r="E244" s="62"/>
      <c r="F244" s="65">
        <f>D244*B246/D246</f>
        <v>3.7333333333333334</v>
      </c>
      <c r="G244" s="65">
        <f>D244*C246/D246</f>
        <v>4.2666666666666666</v>
      </c>
      <c r="I244" s="65">
        <f>POWER(B244-F244,2)/F244</f>
        <v>0.14404761904761909</v>
      </c>
      <c r="J244" s="65">
        <f>POWER(C244-G244,2)/G244</f>
        <v>0.12604166666666669</v>
      </c>
      <c r="L244" s="66">
        <f>I244+J244+I245+J245</f>
        <v>0.578762755102041</v>
      </c>
      <c r="M244" s="66">
        <f>CHIDIST(L244,1)</f>
        <v>0.44679769044778639</v>
      </c>
      <c r="N244" s="93" t="str">
        <f>IF(M244&lt;0.05,ROUND(M244,2),IF(M244&gt;0.051,CONCATENATE(ROUND(M244,2),"*")))</f>
        <v>0.45*</v>
      </c>
    </row>
    <row r="245" spans="1:14">
      <c r="A245" s="32" t="s">
        <v>36</v>
      </c>
      <c r="B245" s="70">
        <f>GETPIVOTDATA("Répondant",Croisements!$A$310,"Question 14.5",2,"Question 30",1)</f>
        <v>4</v>
      </c>
      <c r="C245" s="70">
        <f>GETPIVOTDATA("Répondant",Croisements!$A$310,"Question 14.5",2,"Question 30",2)</f>
        <v>3</v>
      </c>
      <c r="D245" s="57">
        <f>B245+C245</f>
        <v>7</v>
      </c>
      <c r="E245" s="62"/>
      <c r="F245" s="65">
        <f>D245*B246/D246</f>
        <v>3.2666666666666666</v>
      </c>
      <c r="G245" s="65">
        <f>D245*C246/D246</f>
        <v>3.7333333333333334</v>
      </c>
      <c r="I245" s="65">
        <f>POWER(B245-F245,2)/F245</f>
        <v>0.1646258503401361</v>
      </c>
      <c r="J245" s="65">
        <f>POWER(C245-G245,2)/G245</f>
        <v>0.14404761904761909</v>
      </c>
    </row>
    <row r="246" spans="1:14">
      <c r="A246" s="46" t="s">
        <v>345</v>
      </c>
      <c r="B246" s="57">
        <f>B244+B245</f>
        <v>7</v>
      </c>
      <c r="C246" s="57">
        <f>C244+C245</f>
        <v>8</v>
      </c>
      <c r="D246" s="57">
        <f>B244+B245+C244+C245</f>
        <v>15</v>
      </c>
      <c r="E246" s="62"/>
    </row>
    <row r="248" spans="1:14">
      <c r="A248" s="590" t="s">
        <v>790</v>
      </c>
      <c r="B248" s="590"/>
      <c r="C248" s="590"/>
      <c r="D248" s="590"/>
      <c r="E248" s="590"/>
      <c r="F248" s="590"/>
      <c r="G248" s="590"/>
    </row>
    <row r="249" spans="1:14">
      <c r="A249" s="609" t="s">
        <v>636</v>
      </c>
      <c r="B249" s="609"/>
      <c r="C249" s="609"/>
      <c r="D249" s="613"/>
      <c r="E249" s="613"/>
    </row>
    <row r="250" spans="1:14">
      <c r="A250" s="669"/>
      <c r="B250" s="69" t="s">
        <v>102</v>
      </c>
      <c r="C250" s="69" t="s">
        <v>55</v>
      </c>
      <c r="D250" s="57" t="s">
        <v>345</v>
      </c>
      <c r="E250" s="62"/>
      <c r="F250" s="57" t="s">
        <v>102</v>
      </c>
      <c r="G250" s="57" t="s">
        <v>55</v>
      </c>
      <c r="I250" s="61" t="s">
        <v>102</v>
      </c>
      <c r="J250" s="57" t="s">
        <v>55</v>
      </c>
    </row>
    <row r="251" spans="1:14">
      <c r="A251" s="665"/>
      <c r="B251" s="70" t="s">
        <v>103</v>
      </c>
      <c r="C251" s="74" t="s">
        <v>103</v>
      </c>
      <c r="D251" s="46"/>
      <c r="E251" s="52"/>
      <c r="F251" s="57" t="s">
        <v>103</v>
      </c>
      <c r="G251" s="57" t="s">
        <v>103</v>
      </c>
      <c r="I251" s="63" t="s">
        <v>103</v>
      </c>
      <c r="J251" s="63" t="s">
        <v>103</v>
      </c>
      <c r="N251" s="93"/>
    </row>
    <row r="252" spans="1:14">
      <c r="A252" s="32" t="s">
        <v>35</v>
      </c>
      <c r="B252" s="70">
        <f>GETPIVOTDATA("Répondant",Croisements!$A$319,"Question 14.6",1,"Question 30",1)</f>
        <v>4</v>
      </c>
      <c r="C252" s="70">
        <f>GETPIVOTDATA("Répondant",Croisements!$A$319,"Question 14.6",1,"Question 30",2)</f>
        <v>4</v>
      </c>
      <c r="D252" s="57">
        <f>B252+C252</f>
        <v>8</v>
      </c>
      <c r="E252" s="62"/>
      <c r="F252" s="65">
        <f>D252*B254/D254</f>
        <v>3.7333333333333334</v>
      </c>
      <c r="G252" s="65">
        <f>D252*C254/D254</f>
        <v>4.2666666666666666</v>
      </c>
      <c r="I252" s="65">
        <f>POWER(B252-F252,2)/F252</f>
        <v>1.9047619047619039E-2</v>
      </c>
      <c r="J252" s="65">
        <f>POWER(C252-G252,2)/G252</f>
        <v>1.6666666666666659E-2</v>
      </c>
      <c r="L252" s="66">
        <f>I252+J252+I253+J253</f>
        <v>7.6530612244897919E-2</v>
      </c>
      <c r="M252" s="66">
        <f>CHIDIST(L252,1)</f>
        <v>0.78205526672157311</v>
      </c>
      <c r="N252" s="93" t="str">
        <f>IF(M252&lt;0.05,ROUND(M252,2),IF(M252&gt;0.051,CONCATENATE(ROUND(M252,2),"*")))</f>
        <v>0.78*</v>
      </c>
    </row>
    <row r="253" spans="1:14">
      <c r="A253" s="32" t="s">
        <v>36</v>
      </c>
      <c r="B253" s="70">
        <f>GETPIVOTDATA("Répondant",Croisements!$A$319,"Question 14.6",2,"Question 30",1)</f>
        <v>3</v>
      </c>
      <c r="C253" s="70">
        <f>GETPIVOTDATA("Répondant",Croisements!$A$319,"Question 14.6",2,"Question 30",2)</f>
        <v>4</v>
      </c>
      <c r="D253" s="57">
        <f>B253+C253</f>
        <v>7</v>
      </c>
      <c r="E253" s="62"/>
      <c r="F253" s="65">
        <f>D253*B254/D254</f>
        <v>3.2666666666666666</v>
      </c>
      <c r="G253" s="65">
        <f>D253*C254/D254</f>
        <v>3.7333333333333334</v>
      </c>
      <c r="I253" s="65">
        <f>POWER(B253-F253,2)/F253</f>
        <v>2.1768707482993189E-2</v>
      </c>
      <c r="J253" s="65">
        <f>POWER(C253-G253,2)/G253</f>
        <v>1.9047619047619039E-2</v>
      </c>
    </row>
    <row r="254" spans="1:14">
      <c r="A254" s="46" t="s">
        <v>345</v>
      </c>
      <c r="B254" s="57">
        <f>B252+B253</f>
        <v>7</v>
      </c>
      <c r="C254" s="57">
        <f>C252+C253</f>
        <v>8</v>
      </c>
      <c r="D254" s="57">
        <f>B252+B253+C252+C253</f>
        <v>15</v>
      </c>
      <c r="E254" s="62"/>
    </row>
    <row r="256" spans="1:14">
      <c r="A256" s="590" t="s">
        <v>791</v>
      </c>
      <c r="B256" s="590"/>
      <c r="C256" s="590"/>
      <c r="D256" s="590"/>
      <c r="E256" s="590"/>
    </row>
    <row r="257" spans="1:14">
      <c r="A257" s="609" t="s">
        <v>636</v>
      </c>
      <c r="B257" s="609"/>
      <c r="C257" s="609"/>
      <c r="D257" s="613"/>
      <c r="E257" s="613"/>
    </row>
    <row r="258" spans="1:14">
      <c r="A258" s="669"/>
      <c r="B258" s="69" t="s">
        <v>102</v>
      </c>
      <c r="C258" s="69" t="s">
        <v>55</v>
      </c>
      <c r="D258" s="57" t="s">
        <v>345</v>
      </c>
      <c r="E258" s="62"/>
      <c r="F258" s="57" t="s">
        <v>102</v>
      </c>
      <c r="G258" s="57" t="s">
        <v>55</v>
      </c>
      <c r="I258" s="61" t="s">
        <v>102</v>
      </c>
      <c r="J258" s="57" t="s">
        <v>55</v>
      </c>
    </row>
    <row r="259" spans="1:14">
      <c r="A259" s="665"/>
      <c r="B259" s="70" t="s">
        <v>103</v>
      </c>
      <c r="C259" s="74" t="s">
        <v>103</v>
      </c>
      <c r="D259" s="46"/>
      <c r="E259" s="52"/>
      <c r="F259" s="57" t="s">
        <v>103</v>
      </c>
      <c r="G259" s="57" t="s">
        <v>103</v>
      </c>
      <c r="I259" s="63" t="s">
        <v>103</v>
      </c>
      <c r="J259" s="63" t="s">
        <v>103</v>
      </c>
    </row>
    <row r="260" spans="1:14">
      <c r="A260" s="32" t="s">
        <v>35</v>
      </c>
      <c r="B260" s="70">
        <f>GETPIVOTDATA("Répondant",Croisements!$A$328,"Question 14.7",1,"Question 30",1)</f>
        <v>5</v>
      </c>
      <c r="C260" s="70">
        <f>GETPIVOTDATA("Répondant",Croisements!$A$328,"Question 14.7",1,"Question 30",2)</f>
        <v>3</v>
      </c>
      <c r="D260" s="57">
        <f>B260+C260</f>
        <v>8</v>
      </c>
      <c r="E260" s="62"/>
      <c r="F260" s="65">
        <f>D260*B262/D262</f>
        <v>3.7333333333333334</v>
      </c>
      <c r="G260" s="65">
        <f>D260*C262/D262</f>
        <v>4.2666666666666666</v>
      </c>
      <c r="I260" s="65">
        <f>POWER(B260-F260,2)/F260</f>
        <v>0.42976190476190473</v>
      </c>
      <c r="J260" s="65">
        <f>POWER(C260-G260,2)/G260</f>
        <v>0.37604166666666666</v>
      </c>
      <c r="L260" s="66">
        <f>I260+J260+I261+J261</f>
        <v>1.7267219387755102</v>
      </c>
      <c r="M260" s="66">
        <f>CHIDIST(L260,1)</f>
        <v>0.18883007821588313</v>
      </c>
      <c r="N260" s="93" t="str">
        <f>IF(M260&lt;0.05,ROUND(M260,2),IF(M260&gt;0.051,CONCATENATE(ROUND(M260,2),"*")))</f>
        <v>0.19*</v>
      </c>
    </row>
    <row r="261" spans="1:14">
      <c r="A261" s="32" t="s">
        <v>36</v>
      </c>
      <c r="B261" s="70">
        <f>GETPIVOTDATA("Répondant",Croisements!$A$328,"Question 14.7",2,"Question 30",1)</f>
        <v>2</v>
      </c>
      <c r="C261" s="70">
        <f>GETPIVOTDATA("Répondant",Croisements!$A$328,"Question 14.7",2,"Question 30",2)</f>
        <v>5</v>
      </c>
      <c r="D261" s="57">
        <f>B261+C261</f>
        <v>7</v>
      </c>
      <c r="E261" s="62"/>
      <c r="F261" s="65">
        <f>D261*B262/D262</f>
        <v>3.2666666666666666</v>
      </c>
      <c r="G261" s="65">
        <f>D261*C262/D262</f>
        <v>3.7333333333333334</v>
      </c>
      <c r="I261" s="65">
        <f>POWER(B261-F261,2)/F261</f>
        <v>0.49115646258503398</v>
      </c>
      <c r="J261" s="65">
        <f>POWER(C261-G261,2)/G261</f>
        <v>0.42976190476190473</v>
      </c>
    </row>
    <row r="262" spans="1:14">
      <c r="A262" s="46" t="s">
        <v>345</v>
      </c>
      <c r="B262" s="57">
        <f>B260+B261</f>
        <v>7</v>
      </c>
      <c r="C262" s="57">
        <f>C260+C261</f>
        <v>8</v>
      </c>
      <c r="D262" s="57">
        <f>B260+B261+C260+C261</f>
        <v>15</v>
      </c>
      <c r="E262" s="62"/>
    </row>
    <row r="264" spans="1:14">
      <c r="A264" s="590" t="s">
        <v>792</v>
      </c>
      <c r="B264" s="590"/>
      <c r="C264" s="590"/>
      <c r="D264" s="590"/>
      <c r="E264" s="590"/>
      <c r="F264" s="590"/>
    </row>
    <row r="265" spans="1:14">
      <c r="A265" s="609" t="s">
        <v>636</v>
      </c>
      <c r="B265" s="609"/>
      <c r="C265" s="609"/>
      <c r="D265" s="613"/>
      <c r="E265" s="613"/>
    </row>
    <row r="266" spans="1:14">
      <c r="A266" s="669"/>
      <c r="B266" s="69" t="s">
        <v>102</v>
      </c>
      <c r="C266" s="69" t="s">
        <v>55</v>
      </c>
      <c r="D266" s="57" t="s">
        <v>345</v>
      </c>
      <c r="E266" s="62"/>
      <c r="F266" s="57" t="s">
        <v>102</v>
      </c>
      <c r="G266" s="57" t="s">
        <v>55</v>
      </c>
      <c r="I266" s="61" t="s">
        <v>102</v>
      </c>
      <c r="J266" s="57" t="s">
        <v>55</v>
      </c>
    </row>
    <row r="267" spans="1:14">
      <c r="A267" s="665"/>
      <c r="B267" s="70" t="s">
        <v>103</v>
      </c>
      <c r="C267" s="74" t="s">
        <v>103</v>
      </c>
      <c r="D267" s="46"/>
      <c r="E267" s="52"/>
      <c r="F267" s="57" t="s">
        <v>103</v>
      </c>
      <c r="G267" s="57" t="s">
        <v>103</v>
      </c>
      <c r="I267" s="63" t="s">
        <v>103</v>
      </c>
      <c r="J267" s="63" t="s">
        <v>103</v>
      </c>
    </row>
    <row r="268" spans="1:14">
      <c r="A268" s="32" t="s">
        <v>35</v>
      </c>
      <c r="B268" s="70">
        <f>GETPIVOTDATA("Répondant",Croisements!$A$337,"Question 14.8",1,"Question 30",1)</f>
        <v>2</v>
      </c>
      <c r="C268" s="70">
        <f>GETPIVOTDATA("Répondant",Croisements!$A$337,"Question 14.8",1,"Question 30",2)</f>
        <v>5</v>
      </c>
      <c r="D268" s="57">
        <f>B268+C268</f>
        <v>7</v>
      </c>
      <c r="E268" s="62"/>
      <c r="F268" s="65">
        <f>D268*B270/D270</f>
        <v>3.2666666666666666</v>
      </c>
      <c r="G268" s="65">
        <f>D268*C270/D270</f>
        <v>3.7333333333333334</v>
      </c>
      <c r="I268" s="65">
        <f>POWER(B268-F268,2)/F268</f>
        <v>0.49115646258503398</v>
      </c>
      <c r="J268" s="65">
        <f>POWER(C268-G268,2)/G268</f>
        <v>0.42976190476190473</v>
      </c>
      <c r="L268" s="66">
        <f>I268+J268+I269+J269</f>
        <v>1.7267219387755102</v>
      </c>
      <c r="M268" s="76">
        <f>CHIDIST(L268,1)</f>
        <v>0.18883007821588313</v>
      </c>
      <c r="N268" s="93" t="str">
        <f>IF(M268&lt;0.05,ROUND(M268,2),IF(M268&gt;0.051,CONCATENATE(ROUND(M268,2),"*")))</f>
        <v>0.19*</v>
      </c>
    </row>
    <row r="269" spans="1:14">
      <c r="A269" s="32" t="s">
        <v>36</v>
      </c>
      <c r="B269" s="70">
        <f>GETPIVOTDATA("Répondant",Croisements!$A$337,"Question 14.8",2,"Question 30",1)</f>
        <v>5</v>
      </c>
      <c r="C269" s="70">
        <f>GETPIVOTDATA("Répondant",Croisements!$A$337,"Question 14.8",2,"Question 30",2)</f>
        <v>3</v>
      </c>
      <c r="D269" s="57">
        <f>B269+C269</f>
        <v>8</v>
      </c>
      <c r="E269" s="62"/>
      <c r="F269" s="65">
        <f>D269*B270/D270</f>
        <v>3.7333333333333334</v>
      </c>
      <c r="G269" s="65">
        <f>D269*C270/D270</f>
        <v>4.2666666666666666</v>
      </c>
      <c r="I269" s="65">
        <f>POWER(B269-F269,2)/F269</f>
        <v>0.42976190476190473</v>
      </c>
      <c r="J269" s="65">
        <f>POWER(C269-G269,2)/G269</f>
        <v>0.37604166666666666</v>
      </c>
    </row>
    <row r="270" spans="1:14">
      <c r="A270" s="46" t="s">
        <v>345</v>
      </c>
      <c r="B270" s="57">
        <f>B268+B269</f>
        <v>7</v>
      </c>
      <c r="C270" s="57">
        <f>C268+C269</f>
        <v>8</v>
      </c>
      <c r="D270" s="57">
        <f>B268+B269+C268+C269</f>
        <v>15</v>
      </c>
      <c r="E270" s="62"/>
    </row>
    <row r="272" spans="1:14">
      <c r="A272" s="590" t="s">
        <v>960</v>
      </c>
      <c r="B272" s="590"/>
      <c r="C272" s="590"/>
      <c r="D272" s="590"/>
      <c r="E272" s="590"/>
      <c r="F272" s="590"/>
      <c r="G272" s="590"/>
    </row>
    <row r="273" spans="1:14">
      <c r="A273" s="609" t="s">
        <v>636</v>
      </c>
      <c r="B273" s="609"/>
      <c r="C273" s="609"/>
      <c r="D273" s="613"/>
      <c r="E273" s="613"/>
    </row>
    <row r="274" spans="1:14">
      <c r="A274" s="669"/>
      <c r="B274" s="69" t="s">
        <v>102</v>
      </c>
      <c r="C274" s="70" t="s">
        <v>55</v>
      </c>
      <c r="D274" s="57" t="s">
        <v>345</v>
      </c>
      <c r="E274" s="62"/>
      <c r="F274" s="57" t="s">
        <v>102</v>
      </c>
      <c r="G274" s="57" t="s">
        <v>55</v>
      </c>
      <c r="I274" s="61" t="s">
        <v>102</v>
      </c>
      <c r="J274" s="57" t="s">
        <v>55</v>
      </c>
    </row>
    <row r="275" spans="1:14">
      <c r="A275" s="665"/>
      <c r="B275" s="70" t="s">
        <v>103</v>
      </c>
      <c r="C275" s="74" t="s">
        <v>103</v>
      </c>
      <c r="D275" s="46"/>
      <c r="E275" s="52"/>
      <c r="F275" s="57" t="s">
        <v>103</v>
      </c>
      <c r="G275" s="57" t="s">
        <v>103</v>
      </c>
      <c r="I275" s="63" t="s">
        <v>103</v>
      </c>
      <c r="J275" s="63" t="s">
        <v>103</v>
      </c>
    </row>
    <row r="276" spans="1:14">
      <c r="A276" s="32" t="s">
        <v>35</v>
      </c>
      <c r="B276" s="70">
        <f>GETPIVOTDATA("Répondant",Croisements!$A$346,"Question 15",1,"Question 30",1)</f>
        <v>2</v>
      </c>
      <c r="C276" s="70">
        <f>GETPIVOTDATA("Répondant",Croisements!$A$346,"Question 15",1,"Question 30",2)</f>
        <v>5</v>
      </c>
      <c r="D276" s="57">
        <f>B276+C276</f>
        <v>7</v>
      </c>
      <c r="E276" s="62"/>
      <c r="F276" s="65">
        <f>D276*B278/D278</f>
        <v>3.2666666666666666</v>
      </c>
      <c r="G276" s="65">
        <f>D276*C278/D278</f>
        <v>3.7333333333333334</v>
      </c>
      <c r="I276" s="65">
        <f>POWER(B276-F276,2)/F276</f>
        <v>0.49115646258503398</v>
      </c>
      <c r="J276" s="65">
        <f>POWER(C276-G276,2)/G276</f>
        <v>0.42976190476190473</v>
      </c>
      <c r="L276" s="66">
        <f>I276+J276+I277+J277</f>
        <v>1.7267219387755102</v>
      </c>
      <c r="M276" s="66">
        <f>CHIDIST(L276,1)</f>
        <v>0.18883007821588313</v>
      </c>
      <c r="N276" s="93" t="str">
        <f>IF(M276&lt;0.05,ROUND(M276,2),IF(M276&gt;0.051,CONCATENATE(ROUND(M276,2),"*")))</f>
        <v>0.19*</v>
      </c>
    </row>
    <row r="277" spans="1:14">
      <c r="A277" s="32" t="s">
        <v>36</v>
      </c>
      <c r="B277" s="70">
        <f>GETPIVOTDATA("Répondant",Croisements!$A$346,"Question 15",2,"Question 30",1)</f>
        <v>5</v>
      </c>
      <c r="C277" s="70">
        <f>GETPIVOTDATA("Répondant",Croisements!$A$346,"Question 15",2,"Question 30",2)</f>
        <v>3</v>
      </c>
      <c r="D277" s="57">
        <f>B277+C277</f>
        <v>8</v>
      </c>
      <c r="E277" s="62"/>
      <c r="F277" s="65">
        <f>D277*B278/D278</f>
        <v>3.7333333333333334</v>
      </c>
      <c r="G277" s="65">
        <f>D277*C278/D278</f>
        <v>4.2666666666666666</v>
      </c>
      <c r="I277" s="65">
        <f>POWER(B277-F277,2)/F277</f>
        <v>0.42976190476190473</v>
      </c>
      <c r="J277" s="65">
        <f>POWER(C277-G277,2)/G277</f>
        <v>0.37604166666666666</v>
      </c>
    </row>
    <row r="278" spans="1:14">
      <c r="A278" s="46" t="s">
        <v>345</v>
      </c>
      <c r="B278" s="57">
        <f>B276+B277</f>
        <v>7</v>
      </c>
      <c r="C278" s="57">
        <f>C276+C277</f>
        <v>8</v>
      </c>
      <c r="D278" s="57">
        <f>B276+B277+C276+C277</f>
        <v>15</v>
      </c>
      <c r="E278" s="62"/>
    </row>
    <row r="280" spans="1:14">
      <c r="A280" s="590" t="s">
        <v>793</v>
      </c>
      <c r="B280" s="590"/>
      <c r="C280" s="590"/>
      <c r="D280" s="590"/>
      <c r="E280" s="590"/>
      <c r="F280" s="590"/>
      <c r="G280" s="590"/>
      <c r="H280" s="590"/>
      <c r="I280" s="590"/>
    </row>
    <row r="281" spans="1:14">
      <c r="A281" s="609" t="s">
        <v>636</v>
      </c>
      <c r="B281" s="609"/>
      <c r="C281" s="609"/>
      <c r="D281" s="613"/>
      <c r="E281" s="613"/>
    </row>
    <row r="282" spans="1:14">
      <c r="A282" s="669"/>
      <c r="B282" s="69" t="s">
        <v>102</v>
      </c>
      <c r="C282" s="70" t="s">
        <v>55</v>
      </c>
      <c r="D282" s="57" t="s">
        <v>345</v>
      </c>
      <c r="E282" s="62"/>
      <c r="F282" s="57" t="s">
        <v>102</v>
      </c>
      <c r="G282" s="57" t="s">
        <v>55</v>
      </c>
      <c r="I282" s="61" t="s">
        <v>102</v>
      </c>
      <c r="J282" s="57" t="s">
        <v>55</v>
      </c>
    </row>
    <row r="283" spans="1:14">
      <c r="A283" s="665"/>
      <c r="B283" s="70" t="s">
        <v>103</v>
      </c>
      <c r="C283" s="74" t="s">
        <v>103</v>
      </c>
      <c r="D283" s="46"/>
      <c r="E283" s="52"/>
      <c r="F283" s="57" t="s">
        <v>103</v>
      </c>
      <c r="G283" s="57" t="s">
        <v>103</v>
      </c>
      <c r="I283" s="63" t="s">
        <v>103</v>
      </c>
      <c r="J283" s="63" t="s">
        <v>103</v>
      </c>
    </row>
    <row r="284" spans="1:14">
      <c r="A284" s="32" t="s">
        <v>35</v>
      </c>
      <c r="B284" s="70">
        <f>GETPIVOTDATA("Répondant",Croisements!$A$355,"Question 15A",1,"Question 30",1)</f>
        <v>1</v>
      </c>
      <c r="C284" s="70">
        <f>GETPIVOTDATA("Répondant",Croisements!$A$355,"Question 15A",1,"Question 30",2)</f>
        <v>3</v>
      </c>
      <c r="D284" s="57">
        <f>B284+C284</f>
        <v>4</v>
      </c>
      <c r="E284" s="62"/>
      <c r="F284" s="65">
        <f>D284*B286/D286</f>
        <v>1.1428571428571428</v>
      </c>
      <c r="G284" s="65">
        <f>D284*C286/D286</f>
        <v>2.8571428571428572</v>
      </c>
      <c r="I284" s="65">
        <f>POWER(B284-F284,2)/F284</f>
        <v>1.7857142857142842E-2</v>
      </c>
      <c r="J284" s="65">
        <f>POWER(C284-G284,2)/G284</f>
        <v>7.1428571428571357E-3</v>
      </c>
      <c r="L284" s="66">
        <f>I284+J284+I285+J285</f>
        <v>5.833333333333332E-2</v>
      </c>
      <c r="M284" s="66">
        <f>CHIDIST(L284,1)</f>
        <v>0.80914983463149803</v>
      </c>
      <c r="N284" s="93" t="str">
        <f>IF(M284&lt;0.05,ROUND(M284,2),IF(M284&gt;0.051,CONCATENATE(ROUND(M284,2),"*")))</f>
        <v>0.81*</v>
      </c>
    </row>
    <row r="285" spans="1:14">
      <c r="A285" s="32" t="s">
        <v>36</v>
      </c>
      <c r="B285" s="70">
        <f>GETPIVOTDATA("Répondant",Croisements!$A$355,"Question 15A",2,"Question 30",1)</f>
        <v>1</v>
      </c>
      <c r="C285" s="70">
        <f>GETPIVOTDATA("Répondant",Croisements!$A$355,"Question 15A",2,"Question 30",2)</f>
        <v>2</v>
      </c>
      <c r="D285" s="57">
        <f>B285+C285</f>
        <v>3</v>
      </c>
      <c r="E285" s="62"/>
      <c r="F285" s="65">
        <f>D285*B286/D286</f>
        <v>0.8571428571428571</v>
      </c>
      <c r="G285" s="65">
        <f>D285*C286/D286</f>
        <v>2.1428571428571428</v>
      </c>
      <c r="I285" s="65">
        <f>POWER(B285-F285,2)/F285</f>
        <v>2.3809523809523826E-2</v>
      </c>
      <c r="J285" s="65">
        <f>POWER(C285-G285,2)/G285</f>
        <v>9.523809523809516E-3</v>
      </c>
    </row>
    <row r="286" spans="1:14">
      <c r="A286" s="46" t="s">
        <v>345</v>
      </c>
      <c r="B286" s="57">
        <f>B284+B285</f>
        <v>2</v>
      </c>
      <c r="C286" s="57">
        <f>C284+C285</f>
        <v>5</v>
      </c>
      <c r="D286" s="57">
        <f>B284+B285+C284+C285</f>
        <v>7</v>
      </c>
      <c r="E286" s="62"/>
    </row>
    <row r="288" spans="1:14">
      <c r="A288" s="590" t="s">
        <v>794</v>
      </c>
      <c r="B288" s="590"/>
      <c r="C288" s="590"/>
      <c r="D288" s="590"/>
      <c r="E288" s="590"/>
      <c r="F288" s="590"/>
      <c r="G288" s="590"/>
    </row>
    <row r="289" spans="1:14">
      <c r="A289" s="609" t="s">
        <v>636</v>
      </c>
      <c r="B289" s="609"/>
      <c r="C289" s="609"/>
      <c r="D289" s="613"/>
      <c r="E289" s="613"/>
    </row>
    <row r="290" spans="1:14">
      <c r="A290" s="669"/>
      <c r="B290" s="69" t="s">
        <v>102</v>
      </c>
      <c r="C290" s="69" t="s">
        <v>55</v>
      </c>
      <c r="D290" s="57" t="s">
        <v>345</v>
      </c>
      <c r="E290" s="62"/>
      <c r="F290" s="57" t="s">
        <v>102</v>
      </c>
      <c r="G290" s="57" t="s">
        <v>55</v>
      </c>
      <c r="I290" s="61" t="s">
        <v>102</v>
      </c>
      <c r="J290" s="57" t="s">
        <v>55</v>
      </c>
    </row>
    <row r="291" spans="1:14">
      <c r="A291" s="665"/>
      <c r="B291" s="70" t="s">
        <v>103</v>
      </c>
      <c r="C291" s="74" t="s">
        <v>103</v>
      </c>
      <c r="D291" s="46"/>
      <c r="E291" s="52"/>
      <c r="F291" s="57" t="s">
        <v>103</v>
      </c>
      <c r="G291" s="57" t="s">
        <v>103</v>
      </c>
      <c r="I291" s="63" t="s">
        <v>103</v>
      </c>
      <c r="J291" s="63" t="s">
        <v>103</v>
      </c>
    </row>
    <row r="292" spans="1:14">
      <c r="A292" s="32" t="s">
        <v>81</v>
      </c>
      <c r="B292" s="70">
        <f>GETPIVOTDATA("Répondant",Croisements!$A$365,"Question 16.1",1,"Question 30",1)+GETPIVOTDATA("Répondant",Croisements!$A$365,"Question 16.1",2,"Question 30",1)</f>
        <v>4</v>
      </c>
      <c r="C292" s="70">
        <f>GETPIVOTDATA("Répondant",Croisements!$A$365,"Question 16.1",1,"Question 30",2)+GETPIVOTDATA("Répondant",Croisements!$A$365,"Question 16.1",2,"Question 30",2)</f>
        <v>3</v>
      </c>
      <c r="D292" s="57">
        <f>B292+C292</f>
        <v>7</v>
      </c>
      <c r="E292" s="62"/>
      <c r="F292" s="65">
        <f>D292*B294/D294</f>
        <v>3.5</v>
      </c>
      <c r="G292" s="65">
        <f>D292*C294/D294</f>
        <v>3.5</v>
      </c>
      <c r="I292" s="65">
        <f>POWER(B292-F292,2)/F292</f>
        <v>7.1428571428571425E-2</v>
      </c>
      <c r="J292" s="65">
        <f>POWER(C292-G292,2)/G292</f>
        <v>7.1428571428571425E-2</v>
      </c>
      <c r="L292" s="66">
        <f>I292+J292+I293+J293</f>
        <v>0.2857142857142857</v>
      </c>
      <c r="M292" s="66">
        <f>CHIDIST(L292,1)</f>
        <v>0.59298009801742668</v>
      </c>
      <c r="N292" s="93" t="str">
        <f>IF(M292&lt;0.05,ROUND(M292,2),IF(M292&gt;0.051,CONCATENATE(ROUND(M292,2),"*")))</f>
        <v>0.59*</v>
      </c>
    </row>
    <row r="293" spans="1:14">
      <c r="A293" s="32" t="s">
        <v>82</v>
      </c>
      <c r="B293" s="70">
        <f>GETPIVOTDATA("Répondant",Croisements!$A$365,"Question 16.1",3,"Question 30",1)+GETPIVOTDATA("Répondant",Croisements!$A$365,"Question 16.1",4,"Question 30",1)</f>
        <v>3</v>
      </c>
      <c r="C293" s="70">
        <f>GETPIVOTDATA("Répondant",Croisements!$A$365,"Question 16.1",3,"Question 30",2)+GETPIVOTDATA("Répondant",Croisements!$A$365,"Question 16.1",4,"Question 30",2)</f>
        <v>4</v>
      </c>
      <c r="D293" s="57">
        <f>B293+C293</f>
        <v>7</v>
      </c>
      <c r="E293" s="62"/>
      <c r="F293" s="65">
        <f>D293*B294/D294</f>
        <v>3.5</v>
      </c>
      <c r="G293" s="65">
        <f>D293*C294/D294</f>
        <v>3.5</v>
      </c>
      <c r="I293" s="65">
        <f>POWER(B293-F293,2)/F293</f>
        <v>7.1428571428571425E-2</v>
      </c>
      <c r="J293" s="65">
        <f>POWER(C293-G293,2)/G293</f>
        <v>7.1428571428571425E-2</v>
      </c>
    </row>
    <row r="294" spans="1:14">
      <c r="A294" s="46" t="s">
        <v>345</v>
      </c>
      <c r="B294" s="57">
        <f>B292+B293</f>
        <v>7</v>
      </c>
      <c r="C294" s="57">
        <f>C292+C293</f>
        <v>7</v>
      </c>
      <c r="D294" s="57">
        <f>B292+B293+C292+C293</f>
        <v>14</v>
      </c>
      <c r="E294" s="62"/>
    </row>
    <row r="296" spans="1:14">
      <c r="A296" s="590" t="s">
        <v>962</v>
      </c>
      <c r="B296" s="590"/>
      <c r="C296" s="590"/>
      <c r="D296" s="590"/>
      <c r="E296" s="590"/>
      <c r="F296" s="590"/>
      <c r="G296" s="590"/>
    </row>
    <row r="297" spans="1:14">
      <c r="A297" s="609" t="s">
        <v>636</v>
      </c>
      <c r="B297" s="609"/>
      <c r="C297" s="609"/>
      <c r="D297" s="613"/>
      <c r="E297" s="613"/>
    </row>
    <row r="298" spans="1:14">
      <c r="A298" s="669"/>
      <c r="B298" s="77" t="s">
        <v>102</v>
      </c>
      <c r="C298" s="78" t="s">
        <v>55</v>
      </c>
      <c r="D298" s="57" t="s">
        <v>345</v>
      </c>
      <c r="E298" s="62"/>
      <c r="F298" s="57" t="s">
        <v>102</v>
      </c>
      <c r="G298" s="57" t="s">
        <v>55</v>
      </c>
      <c r="I298" s="61" t="s">
        <v>102</v>
      </c>
      <c r="J298" s="57" t="s">
        <v>55</v>
      </c>
    </row>
    <row r="299" spans="1:14">
      <c r="A299" s="665"/>
      <c r="B299" s="70" t="s">
        <v>103</v>
      </c>
      <c r="C299" s="74" t="s">
        <v>103</v>
      </c>
      <c r="D299" s="46"/>
      <c r="E299" s="52"/>
      <c r="F299" s="57" t="s">
        <v>103</v>
      </c>
      <c r="G299" s="57" t="s">
        <v>103</v>
      </c>
      <c r="I299" s="63" t="s">
        <v>103</v>
      </c>
      <c r="J299" s="63" t="s">
        <v>103</v>
      </c>
    </row>
    <row r="300" spans="1:14">
      <c r="A300" s="32" t="s">
        <v>81</v>
      </c>
      <c r="B300" s="70">
        <f>GETPIVOTDATA("Répondant",Croisements!$A$377,"Question 16.2",1,"Question 30",1)+GETPIVOTDATA("Répondant",Croisements!$A$377,"Question 16.2",2,"Question 30",1)</f>
        <v>5</v>
      </c>
      <c r="C300" s="70">
        <f>GETPIVOTDATA("Répondant",Croisements!$A$377,"Question 16.2",1,"Question 30",2)+GETPIVOTDATA("Répondant",Croisements!$A$377,"Question 16.2",2,"Question 30",2)</f>
        <v>3</v>
      </c>
      <c r="D300" s="57">
        <f>B300+C300</f>
        <v>8</v>
      </c>
      <c r="E300" s="62"/>
      <c r="F300" s="65">
        <f>D300*B302/D302</f>
        <v>3.6923076923076925</v>
      </c>
      <c r="G300" s="65">
        <f>D300*C302/D302</f>
        <v>4.3076923076923075</v>
      </c>
      <c r="I300" s="65">
        <f>POWER(B300-F300,2)/F300</f>
        <v>0.46314102564102544</v>
      </c>
      <c r="J300" s="65">
        <f>POWER(C300-G300,2)/G300</f>
        <v>0.39697802197802184</v>
      </c>
      <c r="L300" s="66">
        <f>I300+J300+I301+J301</f>
        <v>2.2363095238095232</v>
      </c>
      <c r="M300" s="66">
        <f>CHIDIST(L300,1)</f>
        <v>0.13480237464280517</v>
      </c>
      <c r="N300" s="93" t="str">
        <f>IF(M300&lt;0.05,ROUND(M300,2),IF(M300&gt;0.051,CONCATENATE(ROUND(M300,2),"*")))</f>
        <v>0.13*</v>
      </c>
    </row>
    <row r="301" spans="1:14">
      <c r="A301" s="32" t="s">
        <v>82</v>
      </c>
      <c r="B301" s="70">
        <f>GETPIVOTDATA("Répondant",Croisements!$A$377,"Question 16.2",3,"Question 30",1)+GETPIVOTDATA("Répondant",Croisements!$A$377,"Question 16.2",4,"Question 30",1)</f>
        <v>1</v>
      </c>
      <c r="C301" s="70">
        <f>GETPIVOTDATA("Répondant",Croisements!$A$377,"Question 16.2",3,"Question 30",2)+GETPIVOTDATA("Répondant",Croisements!$A$377,"Question 16.2",4,"Question 30",2)</f>
        <v>4</v>
      </c>
      <c r="D301" s="57">
        <f>B301+C301</f>
        <v>5</v>
      </c>
      <c r="E301" s="62"/>
      <c r="F301" s="65">
        <f>D301*B302/D302</f>
        <v>2.3076923076923075</v>
      </c>
      <c r="G301" s="65">
        <f>D301*C302/D302</f>
        <v>2.6923076923076925</v>
      </c>
      <c r="I301" s="65">
        <f>POWER(B301-F301,2)/F301</f>
        <v>0.74102564102564084</v>
      </c>
      <c r="J301" s="65">
        <f>POWER(C301-G301,2)/G301</f>
        <v>0.63516483516483491</v>
      </c>
    </row>
    <row r="302" spans="1:14">
      <c r="A302" s="46" t="s">
        <v>345</v>
      </c>
      <c r="B302" s="57">
        <f>B300+B301</f>
        <v>6</v>
      </c>
      <c r="C302" s="57">
        <f>C300+C301</f>
        <v>7</v>
      </c>
      <c r="D302" s="57">
        <f>B300+B301+C300+C301</f>
        <v>13</v>
      </c>
      <c r="E302" s="62"/>
    </row>
    <row r="304" spans="1:14">
      <c r="A304" s="590" t="s">
        <v>968</v>
      </c>
      <c r="B304" s="590"/>
      <c r="C304" s="590"/>
      <c r="D304" s="590"/>
      <c r="E304" s="590"/>
      <c r="F304" s="590"/>
      <c r="G304" s="590"/>
      <c r="H304" s="590"/>
      <c r="I304" s="590"/>
    </row>
    <row r="305" spans="1:14">
      <c r="A305" s="609" t="s">
        <v>636</v>
      </c>
      <c r="B305" s="609"/>
      <c r="C305" s="609"/>
      <c r="D305" s="613"/>
      <c r="E305" s="613"/>
    </row>
    <row r="306" spans="1:14">
      <c r="A306" s="669"/>
      <c r="B306" s="69" t="s">
        <v>102</v>
      </c>
      <c r="C306" s="70" t="s">
        <v>55</v>
      </c>
      <c r="D306" s="57" t="s">
        <v>345</v>
      </c>
      <c r="E306" s="62"/>
      <c r="F306" s="57" t="s">
        <v>102</v>
      </c>
      <c r="G306" s="57" t="s">
        <v>55</v>
      </c>
      <c r="I306" s="61" t="s">
        <v>102</v>
      </c>
      <c r="J306" s="57" t="s">
        <v>55</v>
      </c>
    </row>
    <row r="307" spans="1:14">
      <c r="A307" s="665"/>
      <c r="B307" s="70" t="s">
        <v>103</v>
      </c>
      <c r="C307" s="74" t="s">
        <v>103</v>
      </c>
      <c r="D307" s="46"/>
      <c r="E307" s="52"/>
      <c r="F307" s="57" t="s">
        <v>103</v>
      </c>
      <c r="G307" s="57" t="s">
        <v>103</v>
      </c>
      <c r="I307" s="63" t="s">
        <v>103</v>
      </c>
      <c r="J307" s="63" t="s">
        <v>103</v>
      </c>
    </row>
    <row r="308" spans="1:14">
      <c r="A308" s="32" t="s">
        <v>81</v>
      </c>
      <c r="B308" s="70">
        <f>GETPIVOTDATA("Répondant",Croisements!$A$389,"Question 16.3",1,"Question 30",1)+GETPIVOTDATA("Répondant",Croisements!$A$389,"Question 16.3",2,"Question 30",1)</f>
        <v>3</v>
      </c>
      <c r="C308" s="70">
        <f>GETPIVOTDATA("Répondant",Croisements!$A$389,"Question 16.3",1,"Question 30",2)+GETPIVOTDATA("Répondant",Croisements!$A$389,"Question 16.3",2,"Question 30",2)</f>
        <v>5</v>
      </c>
      <c r="D308" s="57">
        <f>B308+C308</f>
        <v>8</v>
      </c>
      <c r="E308" s="62"/>
      <c r="F308" s="65">
        <f>D308*B310/D310</f>
        <v>4</v>
      </c>
      <c r="G308" s="65">
        <f>D308*C310/D310</f>
        <v>4</v>
      </c>
      <c r="I308" s="65">
        <f>POWER(B308-F308,2)/F308</f>
        <v>0.25</v>
      </c>
      <c r="J308" s="65">
        <f>POWER(C308-G308,2)/G308</f>
        <v>0.25</v>
      </c>
      <c r="L308" s="66">
        <f>I308+J308+I309+J309</f>
        <v>1.1666666666666665</v>
      </c>
      <c r="M308" s="66">
        <f>CHIDIST(L308,1)</f>
        <v>0.28008721081149757</v>
      </c>
      <c r="N308" s="93" t="str">
        <f>IF(M308&lt;0.05,ROUND(M308,2),IF(M308&gt;0.051,CONCATENATE(ROUND(M308,2),"*")))</f>
        <v>0.28*</v>
      </c>
    </row>
    <row r="309" spans="1:14">
      <c r="A309" s="32" t="s">
        <v>82</v>
      </c>
      <c r="B309" s="70">
        <f>GETPIVOTDATA("Répondant",Croisements!$A$389,"Question 16.3",3,"Question 30",1)+GETPIVOTDATA("Répondant",Croisements!$A$389,"Question 16.3",4,"Question 30",1)</f>
        <v>4</v>
      </c>
      <c r="C309" s="70">
        <f>GETPIVOTDATA("Répondant",Croisements!$A$389,"Question 16.3",3,"Question 30",2)+GETPIVOTDATA("Répondant",Croisements!$A$389,"Question 16.3",4,"Question 30",2)</f>
        <v>2</v>
      </c>
      <c r="D309" s="57">
        <f>B309+C309</f>
        <v>6</v>
      </c>
      <c r="E309" s="62"/>
      <c r="F309" s="65">
        <f>D309*B310/D310</f>
        <v>3</v>
      </c>
      <c r="G309" s="65">
        <f>D309*C310/D310</f>
        <v>3</v>
      </c>
      <c r="I309" s="65">
        <f>POWER(B309-F309,2)/F309</f>
        <v>0.33333333333333331</v>
      </c>
      <c r="J309" s="65">
        <f>POWER(C309-G309,2)/G309</f>
        <v>0.33333333333333331</v>
      </c>
    </row>
    <row r="310" spans="1:14">
      <c r="A310" s="46" t="s">
        <v>345</v>
      </c>
      <c r="B310" s="57">
        <f>B308+B309</f>
        <v>7</v>
      </c>
      <c r="C310" s="57">
        <f>C308+C309</f>
        <v>7</v>
      </c>
      <c r="D310" s="57">
        <f>B308+B309+C308+C309</f>
        <v>14</v>
      </c>
      <c r="E310" s="62"/>
    </row>
    <row r="311" spans="1:14">
      <c r="A311" s="52"/>
      <c r="B311" s="62"/>
      <c r="C311" s="62"/>
      <c r="D311" s="62"/>
      <c r="E311" s="62"/>
    </row>
    <row r="312" spans="1:14">
      <c r="A312" s="590" t="s">
        <v>795</v>
      </c>
      <c r="B312" s="590"/>
      <c r="C312" s="590"/>
      <c r="D312" s="590"/>
      <c r="E312" s="590"/>
      <c r="F312" s="590"/>
      <c r="G312" s="590"/>
      <c r="H312" s="590"/>
      <c r="I312" s="590"/>
    </row>
    <row r="313" spans="1:14">
      <c r="A313" s="609" t="s">
        <v>636</v>
      </c>
      <c r="B313" s="609"/>
      <c r="C313" s="609"/>
      <c r="D313" s="613"/>
      <c r="E313" s="613"/>
    </row>
    <row r="314" spans="1:14">
      <c r="A314" s="669"/>
      <c r="B314" s="69" t="s">
        <v>102</v>
      </c>
      <c r="C314" s="69" t="s">
        <v>55</v>
      </c>
      <c r="D314" s="57" t="s">
        <v>345</v>
      </c>
      <c r="E314" s="62"/>
      <c r="F314" s="57" t="s">
        <v>102</v>
      </c>
      <c r="G314" s="57" t="s">
        <v>55</v>
      </c>
      <c r="I314" s="61" t="s">
        <v>102</v>
      </c>
      <c r="J314" s="57" t="s">
        <v>55</v>
      </c>
    </row>
    <row r="315" spans="1:14">
      <c r="A315" s="665"/>
      <c r="B315" s="370" t="s">
        <v>103</v>
      </c>
      <c r="C315" s="74" t="s">
        <v>103</v>
      </c>
      <c r="D315" s="46"/>
      <c r="E315" s="52"/>
      <c r="F315" s="57" t="s">
        <v>103</v>
      </c>
      <c r="G315" s="57" t="s">
        <v>103</v>
      </c>
      <c r="I315" s="63" t="s">
        <v>103</v>
      </c>
      <c r="J315" s="63" t="s">
        <v>103</v>
      </c>
    </row>
    <row r="316" spans="1:14">
      <c r="A316" s="32" t="s">
        <v>611</v>
      </c>
      <c r="B316" s="370">
        <f>GETPIVOTDATA("Répondant",Croisements!$A$400,"Question 17",1,"Question 30",1)</f>
        <v>1</v>
      </c>
      <c r="C316" s="370">
        <f>GETPIVOTDATA("Répondant",Croisements!$A$400,"Question 17",1,"Question 30",2)</f>
        <v>4</v>
      </c>
      <c r="D316" s="57">
        <f>B316+C316</f>
        <v>5</v>
      </c>
      <c r="E316" s="62"/>
      <c r="F316" s="65">
        <f>D316*B319/D319</f>
        <v>1.4285714285714286</v>
      </c>
      <c r="G316" s="65">
        <f>D316*C319/D319</f>
        <v>2.1428571428571428</v>
      </c>
      <c r="I316" s="65">
        <f t="shared" ref="I316:J318" si="4">POWER(B316-F316,2)/F316</f>
        <v>0.12857142857142859</v>
      </c>
      <c r="J316" s="65">
        <f t="shared" si="4"/>
        <v>1.6095238095238096</v>
      </c>
      <c r="L316" s="66">
        <f>I316+J316+I317+J317+I318+J318</f>
        <v>4.166666666666667</v>
      </c>
      <c r="M316" s="66">
        <f>CHIDIST(L316,1)</f>
        <v>4.1226833337163669E-2</v>
      </c>
      <c r="N316" s="93">
        <f>IF(M316&lt;0.05,ROUND(M316,2),IF(M316&gt;0.051,CONCATENATE(ROUND(M316,2),"*")))</f>
        <v>0.04</v>
      </c>
    </row>
    <row r="317" spans="1:14">
      <c r="A317" s="32" t="s">
        <v>612</v>
      </c>
      <c r="B317" s="370">
        <f>GETPIVOTDATA("Répondant",Croisements!$A$400,"Question 17",2,"Question 30",1)</f>
        <v>3</v>
      </c>
      <c r="C317" s="370">
        <f>GETPIVOTDATA("Répondant",Croisements!$A$400,"Question 17",2,"Question 30",2)</f>
        <v>2</v>
      </c>
      <c r="D317" s="57">
        <f>B317+C317</f>
        <v>5</v>
      </c>
      <c r="E317" s="62"/>
      <c r="F317" s="65">
        <f>D317*B319/D319</f>
        <v>1.4285714285714286</v>
      </c>
      <c r="G317" s="65">
        <f>D317*C319/D319</f>
        <v>2.1428571428571428</v>
      </c>
      <c r="I317" s="65">
        <f t="shared" si="4"/>
        <v>1.7285714285714284</v>
      </c>
      <c r="J317" s="65">
        <f t="shared" si="4"/>
        <v>9.523809523809516E-3</v>
      </c>
    </row>
    <row r="318" spans="1:14">
      <c r="A318" s="32" t="s">
        <v>613</v>
      </c>
      <c r="B318" s="370">
        <f>GETPIVOTDATA("Répondant",Croisements!$A$400,"Question 17",3,"Question 30",1)</f>
        <v>2</v>
      </c>
      <c r="C318" s="370">
        <f>GETPIVOTDATA("Répondant",Croisements!$A$400,"Question 17",3,"Question 30",2)</f>
        <v>2</v>
      </c>
      <c r="D318" s="57">
        <f>B318+C318</f>
        <v>4</v>
      </c>
      <c r="E318" s="62"/>
      <c r="F318" s="65">
        <f>D318*B319/D319</f>
        <v>1.1428571428571428</v>
      </c>
      <c r="G318" s="65">
        <f>D318*C319/D319</f>
        <v>1.7142857142857142</v>
      </c>
      <c r="I318" s="65">
        <f t="shared" si="4"/>
        <v>0.64285714285714302</v>
      </c>
      <c r="J318" s="65">
        <f t="shared" si="4"/>
        <v>4.7619047619047651E-2</v>
      </c>
    </row>
    <row r="319" spans="1:14">
      <c r="A319" s="46" t="s">
        <v>345</v>
      </c>
      <c r="B319" s="57">
        <f>B316+B317</f>
        <v>4</v>
      </c>
      <c r="C319" s="57">
        <f>C316+C317</f>
        <v>6</v>
      </c>
      <c r="D319" s="57">
        <f>B316+B317+C316+C317+B318+C318</f>
        <v>14</v>
      </c>
      <c r="E319" s="62"/>
    </row>
    <row r="320" spans="1:14">
      <c r="A320" s="52"/>
      <c r="B320" s="62"/>
      <c r="C320" s="62"/>
      <c r="D320" s="62"/>
      <c r="E320" s="62"/>
    </row>
    <row r="321" spans="1:14">
      <c r="A321" s="590" t="s">
        <v>504</v>
      </c>
      <c r="B321" s="590"/>
      <c r="C321" s="590"/>
      <c r="D321" s="590"/>
      <c r="E321" s="590"/>
      <c r="F321" s="590"/>
      <c r="G321" s="590"/>
      <c r="H321" s="590"/>
      <c r="I321" s="590"/>
    </row>
    <row r="322" spans="1:14">
      <c r="A322" s="609" t="s">
        <v>636</v>
      </c>
      <c r="B322" s="609"/>
      <c r="C322" s="609"/>
      <c r="D322" s="613"/>
      <c r="E322" s="613"/>
    </row>
    <row r="323" spans="1:14">
      <c r="A323" s="669"/>
      <c r="B323" s="69" t="s">
        <v>102</v>
      </c>
      <c r="C323" s="69" t="s">
        <v>55</v>
      </c>
      <c r="D323" s="57" t="s">
        <v>345</v>
      </c>
      <c r="E323" s="62"/>
      <c r="F323" s="57" t="s">
        <v>102</v>
      </c>
      <c r="G323" s="57" t="s">
        <v>55</v>
      </c>
      <c r="I323" s="61" t="s">
        <v>102</v>
      </c>
      <c r="J323" s="57" t="s">
        <v>55</v>
      </c>
    </row>
    <row r="324" spans="1:14">
      <c r="A324" s="665"/>
      <c r="B324" s="70" t="s">
        <v>103</v>
      </c>
      <c r="C324" s="74" t="s">
        <v>103</v>
      </c>
      <c r="D324" s="46"/>
      <c r="E324" s="52"/>
      <c r="F324" s="57" t="s">
        <v>103</v>
      </c>
      <c r="G324" s="57" t="s">
        <v>103</v>
      </c>
      <c r="I324" s="63" t="s">
        <v>103</v>
      </c>
      <c r="J324" s="63" t="s">
        <v>103</v>
      </c>
    </row>
    <row r="325" spans="1:14">
      <c r="A325" s="32" t="s">
        <v>81</v>
      </c>
      <c r="B325" s="70">
        <f>GETPIVOTDATA("Répondant",Croisements!$A$411,"Question 18",1,"Question 30",1)+GETPIVOTDATA("Répondant",Croisements!$A$411,"Question 18",2,"Question 30",1)</f>
        <v>4</v>
      </c>
      <c r="C325" s="70">
        <f>GETPIVOTDATA("Répondant",Croisements!$A$411,"Question 18",1,"Question 30",2)+GETPIVOTDATA("Répondant",Croisements!$A$411,"Question 18",2,"Question 30",2)</f>
        <v>4</v>
      </c>
      <c r="D325" s="57">
        <f>B325+C325</f>
        <v>8</v>
      </c>
      <c r="E325" s="62"/>
      <c r="F325" s="65">
        <f>D325*B327/D327</f>
        <v>3.7333333333333334</v>
      </c>
      <c r="G325" s="65">
        <f>D325*C327/D327</f>
        <v>4.2666666666666666</v>
      </c>
      <c r="I325" s="65">
        <f>POWER(B325-F325,2)/F325</f>
        <v>1.9047619047619039E-2</v>
      </c>
      <c r="J325" s="65">
        <f>POWER(C325-G325,2)/G325</f>
        <v>1.6666666666666659E-2</v>
      </c>
      <c r="L325" s="66">
        <f>I325+J325+I326+J326</f>
        <v>7.6530612244897919E-2</v>
      </c>
      <c r="M325" s="66">
        <f>CHIDIST(L325,1)</f>
        <v>0.78205526672157311</v>
      </c>
      <c r="N325" s="93" t="str">
        <f>IF(M325&lt;0.05,ROUND(M325,2),IF(M325&gt;0.051,CONCATENATE(ROUND(M325,2),"*")))</f>
        <v>0.78*</v>
      </c>
    </row>
    <row r="326" spans="1:14">
      <c r="A326" s="32" t="s">
        <v>82</v>
      </c>
      <c r="B326" s="70">
        <f>GETPIVOTDATA("Répondant",Croisements!$A$411,"Question 18",3,"Question 30",1)+GETPIVOTDATA("Répondant",Croisements!$A$411,"Question 18",4,"Question 30",1)</f>
        <v>3</v>
      </c>
      <c r="C326" s="70">
        <f>GETPIVOTDATA("Répondant",Croisements!$A$411,"Question 18",3,"Question 30",2)+GETPIVOTDATA("Répondant",Croisements!$A$411,"Question 18",4,"Question 30",2)</f>
        <v>4</v>
      </c>
      <c r="D326" s="57">
        <f>B326+C326</f>
        <v>7</v>
      </c>
      <c r="E326" s="62"/>
      <c r="F326" s="65">
        <f>D326*B327/D327</f>
        <v>3.2666666666666666</v>
      </c>
      <c r="G326" s="65">
        <f>D326*C327/D327</f>
        <v>3.7333333333333334</v>
      </c>
      <c r="I326" s="65">
        <f>POWER(B326-F326,2)/F326</f>
        <v>2.1768707482993189E-2</v>
      </c>
      <c r="J326" s="65">
        <f>POWER(C326-G326,2)/G326</f>
        <v>1.9047619047619039E-2</v>
      </c>
    </row>
    <row r="327" spans="1:14">
      <c r="A327" s="46" t="s">
        <v>345</v>
      </c>
      <c r="B327" s="57">
        <f>B325+B326</f>
        <v>7</v>
      </c>
      <c r="C327" s="57">
        <f>C325+C326</f>
        <v>8</v>
      </c>
      <c r="D327" s="57">
        <f>B325+B326+C325+C326</f>
        <v>15</v>
      </c>
      <c r="E327" s="62"/>
    </row>
    <row r="329" spans="1:14">
      <c r="A329" s="590" t="s">
        <v>505</v>
      </c>
      <c r="B329" s="590"/>
      <c r="C329" s="590"/>
      <c r="D329" s="590"/>
      <c r="E329" s="590"/>
      <c r="F329" s="590"/>
      <c r="G329" s="590"/>
      <c r="H329" s="590"/>
      <c r="I329" s="590"/>
      <c r="J329" s="590"/>
      <c r="K329" s="590"/>
      <c r="L329" s="590"/>
    </row>
    <row r="330" spans="1:14">
      <c r="A330" s="609" t="s">
        <v>636</v>
      </c>
      <c r="B330" s="609"/>
      <c r="C330" s="609"/>
      <c r="D330" s="613"/>
      <c r="E330" s="613"/>
    </row>
    <row r="331" spans="1:14">
      <c r="A331" s="669"/>
      <c r="B331" s="69" t="s">
        <v>102</v>
      </c>
      <c r="C331" s="69" t="s">
        <v>55</v>
      </c>
      <c r="D331" s="57" t="s">
        <v>345</v>
      </c>
      <c r="E331" s="62"/>
      <c r="F331" s="57" t="s">
        <v>102</v>
      </c>
      <c r="G331" s="57" t="s">
        <v>55</v>
      </c>
      <c r="I331" s="61" t="s">
        <v>102</v>
      </c>
      <c r="J331" s="57" t="s">
        <v>55</v>
      </c>
    </row>
    <row r="332" spans="1:14">
      <c r="A332" s="665"/>
      <c r="B332" s="70" t="s">
        <v>103</v>
      </c>
      <c r="C332" s="74" t="s">
        <v>103</v>
      </c>
      <c r="D332" s="46"/>
      <c r="E332" s="52"/>
      <c r="F332" s="57" t="s">
        <v>103</v>
      </c>
      <c r="G332" s="57" t="s">
        <v>103</v>
      </c>
      <c r="I332" s="63" t="s">
        <v>103</v>
      </c>
      <c r="J332" s="63" t="s">
        <v>103</v>
      </c>
    </row>
    <row r="333" spans="1:14">
      <c r="A333" s="32" t="s">
        <v>81</v>
      </c>
      <c r="B333" s="70">
        <f>GETPIVOTDATA("Répondant",Croisements!$A$421,"Question 19",1,"Question 30",1)+GETPIVOTDATA("Répondant",Croisements!$A$421,"Question 19",2,"Question 30",1)</f>
        <v>3</v>
      </c>
      <c r="C333" s="70">
        <f>GETPIVOTDATA("Répondant",Croisements!$A$421,"Question 19",1,"Question 30",2)+GETPIVOTDATA("Répondant",Croisements!$A$421,"Question 19",2,"Question 30",2)</f>
        <v>5</v>
      </c>
      <c r="D333" s="57">
        <f>B333+C333</f>
        <v>8</v>
      </c>
      <c r="E333" s="62"/>
      <c r="F333" s="65">
        <f>D333*B335/D335</f>
        <v>4</v>
      </c>
      <c r="G333" s="65">
        <f>D333*C335/D335</f>
        <v>4</v>
      </c>
      <c r="I333" s="65">
        <f>POWER(B333-F333,2)/F333</f>
        <v>0.25</v>
      </c>
      <c r="J333" s="65">
        <f t="shared" ref="I333:J334" si="5">POWER(C333-G333,2)/G333</f>
        <v>0.25</v>
      </c>
      <c r="L333" s="66">
        <f>I333+J333+I334+J334</f>
        <v>1.1666666666666665</v>
      </c>
      <c r="M333" s="66">
        <f>CHIDIST(L333,1)</f>
        <v>0.28008721081149757</v>
      </c>
      <c r="N333" s="93" t="str">
        <f>IF(M333&lt;0.05,ROUND(M333,2),IF(M333&gt;0.051,CONCATENATE(ROUND(M333,2),"*")))</f>
        <v>0.28*</v>
      </c>
    </row>
    <row r="334" spans="1:14">
      <c r="A334" s="32" t="s">
        <v>82</v>
      </c>
      <c r="B334" s="70">
        <f>GETPIVOTDATA("Répondant",Croisements!$A$421,"Question 19",3,"Question 30",1)+GETPIVOTDATA("Répondant",Croisements!$A$421,"Question 19",4,"Question 30",1)</f>
        <v>4</v>
      </c>
      <c r="C334" s="70">
        <f>GETPIVOTDATA("Répondant",Croisements!$A$421,"Question 19",3,"Question 30",2)+GETPIVOTDATA("Répondant",Croisements!$A$421,"Question 19",4,"Question 30",2)</f>
        <v>2</v>
      </c>
      <c r="D334" s="57">
        <f>B334+C334</f>
        <v>6</v>
      </c>
      <c r="E334" s="62"/>
      <c r="F334" s="65">
        <f>D334*B335/D335</f>
        <v>3</v>
      </c>
      <c r="G334" s="65">
        <f>D334*C335/D335</f>
        <v>3</v>
      </c>
      <c r="I334" s="65">
        <f t="shared" si="5"/>
        <v>0.33333333333333331</v>
      </c>
      <c r="J334" s="65">
        <f t="shared" si="5"/>
        <v>0.33333333333333331</v>
      </c>
    </row>
    <row r="335" spans="1:14">
      <c r="A335" s="46" t="s">
        <v>345</v>
      </c>
      <c r="B335" s="57">
        <f>B333+B334</f>
        <v>7</v>
      </c>
      <c r="C335" s="57">
        <f>C333+C334</f>
        <v>7</v>
      </c>
      <c r="D335" s="57">
        <f>B333+B334+C333+C334</f>
        <v>14</v>
      </c>
      <c r="E335" s="62"/>
    </row>
    <row r="337" spans="1:14">
      <c r="A337" s="590" t="s">
        <v>796</v>
      </c>
      <c r="B337" s="590"/>
      <c r="C337" s="590"/>
      <c r="D337" s="590"/>
      <c r="E337" s="590"/>
      <c r="F337" s="590"/>
      <c r="G337" s="590"/>
      <c r="H337" s="590"/>
      <c r="I337" s="590"/>
      <c r="J337" s="590"/>
      <c r="K337" s="590"/>
      <c r="L337" s="590"/>
    </row>
    <row r="338" spans="1:14">
      <c r="A338" s="609" t="s">
        <v>636</v>
      </c>
      <c r="B338" s="609"/>
      <c r="C338" s="609"/>
      <c r="D338" s="613"/>
      <c r="E338" s="613"/>
    </row>
    <row r="339" spans="1:14">
      <c r="A339" s="669"/>
      <c r="B339" s="69" t="s">
        <v>102</v>
      </c>
      <c r="C339" s="70" t="s">
        <v>55</v>
      </c>
      <c r="D339" s="57" t="s">
        <v>345</v>
      </c>
      <c r="E339" s="62"/>
      <c r="F339" s="57" t="s">
        <v>102</v>
      </c>
      <c r="G339" s="57" t="s">
        <v>55</v>
      </c>
      <c r="I339" s="61" t="s">
        <v>102</v>
      </c>
      <c r="J339" s="57" t="s">
        <v>55</v>
      </c>
    </row>
    <row r="340" spans="1:14">
      <c r="A340" s="665"/>
      <c r="B340" s="70" t="s">
        <v>103</v>
      </c>
      <c r="C340" s="74" t="s">
        <v>103</v>
      </c>
      <c r="D340" s="46"/>
      <c r="E340" s="52"/>
      <c r="F340" s="57" t="s">
        <v>103</v>
      </c>
      <c r="G340" s="57" t="s">
        <v>103</v>
      </c>
      <c r="I340" s="63" t="s">
        <v>103</v>
      </c>
      <c r="J340" s="63" t="s">
        <v>103</v>
      </c>
    </row>
    <row r="341" spans="1:14">
      <c r="A341" s="32" t="s">
        <v>81</v>
      </c>
      <c r="B341" s="70">
        <f>GETPIVOTDATA("Répondant",Croisements!$A$432,"Question 20.1",1,"Question 30",1)+GETPIVOTDATA("Répondant",Croisements!$A$432,"Question 20.1",2,"Question 30",1)</f>
        <v>3</v>
      </c>
      <c r="C341" s="70">
        <f>GETPIVOTDATA("Répondant",Croisements!$A$432,"Question 20.1",1,"Question 30",2)+GETPIVOTDATA("Répondant",Croisements!$A$432,"Question 20.1",2,"Question 30",2)</f>
        <v>6</v>
      </c>
      <c r="D341" s="57">
        <f>B341+C341</f>
        <v>9</v>
      </c>
      <c r="E341" s="62"/>
      <c r="F341" s="65">
        <f>D341*B343/D343</f>
        <v>3.8571428571428572</v>
      </c>
      <c r="G341" s="65">
        <f>D341*C343/D343</f>
        <v>5.1428571428571432</v>
      </c>
      <c r="I341" s="65">
        <f>POWER(B341-F341,2)/F341</f>
        <v>0.19047619047619052</v>
      </c>
      <c r="J341" s="65">
        <f>POWER(C341-G341,2)/G341</f>
        <v>0.14285714285714274</v>
      </c>
      <c r="L341" s="66">
        <f>I341+J341+I342+J342</f>
        <v>0.93333333333333335</v>
      </c>
      <c r="M341" s="66">
        <f>CHIDIST(L341,1)</f>
        <v>0.33399825582199799</v>
      </c>
      <c r="N341" s="93" t="str">
        <f>IF(M341&lt;0.05,ROUND(M341,2),IF(M341&gt;0.051,CONCATENATE(ROUND(M341,2),"*")))</f>
        <v>0.33*</v>
      </c>
    </row>
    <row r="342" spans="1:14">
      <c r="A342" s="32" t="s">
        <v>82</v>
      </c>
      <c r="B342" s="70">
        <f>GETPIVOTDATA("Répondant",Croisements!$A$432,"Question 20.1",3,"Question 30",1)+GETPIVOTDATA("Répondant",Croisements!$A$432,"Question 20.1",4,"Question 30",1)</f>
        <v>3</v>
      </c>
      <c r="C342" s="70">
        <f>GETPIVOTDATA("Répondant",Croisements!$A$432,"Question 20.1",3,"Question 30",2)+GETPIVOTDATA("Répondant",Croisements!$A$432,"Question 20.1",4,"Question 30",2)</f>
        <v>2</v>
      </c>
      <c r="D342" s="57">
        <f>B342+C342</f>
        <v>5</v>
      </c>
      <c r="E342" s="62"/>
      <c r="F342" s="65">
        <f>D342*B343/D343</f>
        <v>2.1428571428571428</v>
      </c>
      <c r="G342" s="65">
        <f>D342*C343/D343</f>
        <v>2.8571428571428572</v>
      </c>
      <c r="I342" s="65">
        <f>POWER(B342-F342,2)/F342</f>
        <v>0.34285714285714292</v>
      </c>
      <c r="J342" s="65">
        <f>POWER(C342-G342,2)/G342</f>
        <v>0.25714285714285717</v>
      </c>
    </row>
    <row r="343" spans="1:14">
      <c r="A343" s="46" t="s">
        <v>345</v>
      </c>
      <c r="B343" s="57">
        <f>B341+B342</f>
        <v>6</v>
      </c>
      <c r="C343" s="57">
        <f>C341+C342</f>
        <v>8</v>
      </c>
      <c r="D343" s="57">
        <f>B341+B342+C341+C342</f>
        <v>14</v>
      </c>
      <c r="E343" s="62"/>
    </row>
    <row r="345" spans="1:14">
      <c r="A345" s="590" t="s">
        <v>797</v>
      </c>
      <c r="B345" s="590"/>
      <c r="C345" s="590"/>
      <c r="D345" s="590"/>
      <c r="E345" s="590"/>
      <c r="F345" s="590"/>
      <c r="G345" s="590"/>
      <c r="H345" s="590"/>
      <c r="I345" s="590"/>
      <c r="J345" s="590"/>
      <c r="K345" s="590"/>
      <c r="L345" s="590"/>
      <c r="M345" s="590"/>
    </row>
    <row r="346" spans="1:14">
      <c r="A346" s="609" t="s">
        <v>636</v>
      </c>
      <c r="B346" s="609"/>
      <c r="C346" s="609"/>
      <c r="D346" s="613"/>
      <c r="E346" s="613"/>
    </row>
    <row r="347" spans="1:14">
      <c r="A347" s="669"/>
      <c r="B347" s="69" t="s">
        <v>102</v>
      </c>
      <c r="C347" s="69" t="s">
        <v>55</v>
      </c>
      <c r="D347" s="57" t="s">
        <v>345</v>
      </c>
      <c r="E347" s="62"/>
      <c r="F347" s="57" t="s">
        <v>102</v>
      </c>
      <c r="G347" s="57" t="s">
        <v>55</v>
      </c>
      <c r="I347" s="61" t="s">
        <v>102</v>
      </c>
      <c r="J347" s="57" t="s">
        <v>55</v>
      </c>
    </row>
    <row r="348" spans="1:14">
      <c r="A348" s="665"/>
      <c r="B348" s="70" t="s">
        <v>103</v>
      </c>
      <c r="C348" s="74" t="s">
        <v>103</v>
      </c>
      <c r="D348" s="46"/>
      <c r="E348" s="52"/>
      <c r="F348" s="57" t="s">
        <v>103</v>
      </c>
      <c r="G348" s="57" t="s">
        <v>103</v>
      </c>
      <c r="I348" s="63" t="s">
        <v>103</v>
      </c>
      <c r="J348" s="63" t="s">
        <v>103</v>
      </c>
    </row>
    <row r="349" spans="1:14">
      <c r="A349" s="32" t="s">
        <v>81</v>
      </c>
      <c r="B349" s="70">
        <f>GETPIVOTDATA("Répondant",Croisements!$A$443,"Question 20.2",1,"Question 30",1)+GETPIVOTDATA("Répondant",Croisements!$A$443,"Question 20.2",2,"Question 30",1)</f>
        <v>3</v>
      </c>
      <c r="C349" s="70">
        <f>GETPIVOTDATA("Répondant",Croisements!$A$443,"Question 20.2",1,"Question 30",2)+GETPIVOTDATA("Répondant",Croisements!$A$443,"Question 20.2",2,"Question 30",2)</f>
        <v>3</v>
      </c>
      <c r="D349" s="57">
        <f>B349+C349</f>
        <v>6</v>
      </c>
      <c r="E349" s="62"/>
      <c r="F349" s="65">
        <f>D349*B351/D351</f>
        <v>2.1818181818181817</v>
      </c>
      <c r="G349" s="65">
        <f>D349*C351/D351</f>
        <v>3.8181818181818183</v>
      </c>
      <c r="I349" s="65">
        <f>POWER(B349-F349,2)/F349</f>
        <v>0.30681818181818193</v>
      </c>
      <c r="J349" s="65">
        <f>POWER(C349-G349,2)/G349</f>
        <v>0.17532467532467538</v>
      </c>
      <c r="L349" s="66">
        <f>I349+J349+I350+J350</f>
        <v>1.0607142857142859</v>
      </c>
      <c r="M349" s="66">
        <f>CHIDIST(L349,1)</f>
        <v>0.30305232949008282</v>
      </c>
      <c r="N349" s="93" t="str">
        <f>IF(M349&lt;0.05,ROUND(M349,2),IF(M349&gt;0.051,CONCATENATE(ROUND(M349,2),"*")))</f>
        <v>0.3*</v>
      </c>
    </row>
    <row r="350" spans="1:14">
      <c r="A350" s="32" t="s">
        <v>82</v>
      </c>
      <c r="B350" s="70">
        <f>GETPIVOTDATA("Répondant",Croisements!$A$443,"Question 20.2",3,"Question 30",1)+GETPIVOTDATA("Répondant",Croisements!$A$443,"Question 20.2",4,"Question 30",1)</f>
        <v>1</v>
      </c>
      <c r="C350" s="70">
        <f>GETPIVOTDATA("Répondant",Croisements!$A$443,"Question 20.2",3,"Question 30",2)+GETPIVOTDATA("Répondant",Croisements!$A$443,"Question 20.2",4,"Question 30",2)</f>
        <v>4</v>
      </c>
      <c r="D350" s="57">
        <f>B350+C350</f>
        <v>5</v>
      </c>
      <c r="E350" s="62"/>
      <c r="F350" s="65">
        <f>D350*B351/D351</f>
        <v>1.8181818181818181</v>
      </c>
      <c r="G350" s="65">
        <f>D350*C351/D351</f>
        <v>3.1818181818181817</v>
      </c>
      <c r="I350" s="65">
        <f>POWER(B350-F350,2)/F350</f>
        <v>0.36818181818181811</v>
      </c>
      <c r="J350" s="65">
        <f>POWER(C350-G350,2)/G350</f>
        <v>0.21038961038961046</v>
      </c>
    </row>
    <row r="351" spans="1:14">
      <c r="A351" s="46" t="s">
        <v>345</v>
      </c>
      <c r="B351" s="57">
        <f>B349+B350</f>
        <v>4</v>
      </c>
      <c r="C351" s="57">
        <f>C349+C350</f>
        <v>7</v>
      </c>
      <c r="D351" s="57">
        <f>B349+B350+C349+C350</f>
        <v>11</v>
      </c>
      <c r="E351" s="62"/>
    </row>
    <row r="353" spans="1:14">
      <c r="A353" s="590" t="s">
        <v>798</v>
      </c>
      <c r="B353" s="590"/>
      <c r="C353" s="590"/>
      <c r="D353" s="590"/>
      <c r="E353" s="590"/>
      <c r="F353" s="590"/>
      <c r="G353" s="590"/>
    </row>
    <row r="354" spans="1:14">
      <c r="A354" s="609" t="s">
        <v>636</v>
      </c>
      <c r="B354" s="609"/>
      <c r="C354" s="609"/>
      <c r="D354" s="613"/>
      <c r="E354" s="613"/>
    </row>
    <row r="355" spans="1:14">
      <c r="A355" s="669"/>
      <c r="B355" s="69" t="s">
        <v>102</v>
      </c>
      <c r="C355" s="69" t="s">
        <v>55</v>
      </c>
      <c r="D355" s="57" t="s">
        <v>345</v>
      </c>
      <c r="E355" s="62"/>
      <c r="F355" s="57" t="s">
        <v>102</v>
      </c>
      <c r="G355" s="57" t="s">
        <v>55</v>
      </c>
      <c r="I355" s="61" t="s">
        <v>102</v>
      </c>
      <c r="J355" s="57" t="s">
        <v>55</v>
      </c>
    </row>
    <row r="356" spans="1:14">
      <c r="A356" s="665"/>
      <c r="B356" s="70" t="s">
        <v>103</v>
      </c>
      <c r="C356" s="74" t="s">
        <v>103</v>
      </c>
      <c r="D356" s="46"/>
      <c r="E356" s="52"/>
      <c r="F356" s="57" t="s">
        <v>103</v>
      </c>
      <c r="G356" s="57" t="s">
        <v>103</v>
      </c>
      <c r="I356" s="63" t="s">
        <v>103</v>
      </c>
      <c r="J356" s="63" t="s">
        <v>103</v>
      </c>
    </row>
    <row r="357" spans="1:14">
      <c r="A357" s="32" t="s">
        <v>81</v>
      </c>
      <c r="B357" s="70">
        <f>GETPIVOTDATA("Répondant",Croisements!$A$454,"Question 20.3",1,"Question 30",1)+GETPIVOTDATA("Répondant",Croisements!$A$454,"Question 20.3",2,"Question 30",1)</f>
        <v>3</v>
      </c>
      <c r="C357" s="70">
        <f>GETPIVOTDATA("Répondant",Croisements!$A$454,"Question 20.3",1,"Question 30",2)+GETPIVOTDATA("Répondant",Croisements!$A$454,"Question 20.3",2,"Question 30",2)</f>
        <v>5</v>
      </c>
      <c r="D357" s="57">
        <f>B357+C357</f>
        <v>8</v>
      </c>
      <c r="E357" s="62"/>
      <c r="F357" s="65">
        <f>D357*B359/D359</f>
        <v>3.0769230769230771</v>
      </c>
      <c r="G357" s="65">
        <f>D357*C359/D359</f>
        <v>4.9230769230769234</v>
      </c>
      <c r="I357" s="65">
        <f>POWER(B357-F357,2)/F357</f>
        <v>1.9230769230769314E-3</v>
      </c>
      <c r="J357" s="65">
        <f>POWER(C357-G357,2)/G357</f>
        <v>1.2019230769230683E-3</v>
      </c>
      <c r="L357" s="66">
        <f>I357+J357+I358+J358</f>
        <v>8.1250000000000037E-3</v>
      </c>
      <c r="M357" s="66">
        <f>CHIDIST(L357,1)</f>
        <v>0.92817693115149547</v>
      </c>
      <c r="N357" s="93" t="str">
        <f>IF(M357&lt;0.05,ROUND(M357,2),IF(M357&gt;0.051,CONCATENATE(ROUND(M357,2),"*")))</f>
        <v>0.93*</v>
      </c>
    </row>
    <row r="358" spans="1:14">
      <c r="A358" s="32" t="s">
        <v>82</v>
      </c>
      <c r="B358" s="70">
        <f>GETPIVOTDATA("Répondant",Croisements!$A$454,"Question 20.3",3,"Question 30",1)+GETPIVOTDATA("Répondant",Croisements!$A$454,"Question 20.3",4,"Question 30",1)</f>
        <v>2</v>
      </c>
      <c r="C358" s="70">
        <f>GETPIVOTDATA("Répondant",Croisements!$A$454,"Question 20.3",3,"Question 30",2)+GETPIVOTDATA("Répondant",Croisements!$A$454,"Question 20.3",4,"Question 30",2)</f>
        <v>3</v>
      </c>
      <c r="D358" s="57">
        <f>B358+C358</f>
        <v>5</v>
      </c>
      <c r="E358" s="62"/>
      <c r="F358" s="65">
        <f>D358*B359/D359</f>
        <v>1.9230769230769231</v>
      </c>
      <c r="G358" s="65">
        <f>D358*C359/D359</f>
        <v>3.0769230769230771</v>
      </c>
      <c r="I358" s="65">
        <f>POWER(B358-F358,2)/F358</f>
        <v>3.0769230769230726E-3</v>
      </c>
      <c r="J358" s="65">
        <f>POWER(C358-G358,2)/G358</f>
        <v>1.9230769230769314E-3</v>
      </c>
    </row>
    <row r="359" spans="1:14">
      <c r="A359" s="46" t="s">
        <v>345</v>
      </c>
      <c r="B359" s="57">
        <f>B357+B358</f>
        <v>5</v>
      </c>
      <c r="C359" s="57">
        <f>C357+C358</f>
        <v>8</v>
      </c>
      <c r="D359" s="57">
        <f>B357+B358+C357+C358</f>
        <v>13</v>
      </c>
      <c r="E359" s="62"/>
    </row>
    <row r="361" spans="1:14">
      <c r="A361" s="590" t="s">
        <v>506</v>
      </c>
      <c r="B361" s="590"/>
      <c r="C361" s="590"/>
      <c r="D361" s="590"/>
      <c r="E361" s="590"/>
      <c r="F361" s="590"/>
      <c r="G361" s="590"/>
      <c r="H361" s="590"/>
      <c r="I361" s="590"/>
      <c r="J361" s="590"/>
      <c r="K361" s="590"/>
      <c r="L361" s="590"/>
    </row>
    <row r="362" spans="1:14">
      <c r="A362" s="602" t="s">
        <v>636</v>
      </c>
      <c r="B362" s="602"/>
      <c r="C362" s="602"/>
      <c r="D362" s="638"/>
      <c r="E362" s="638"/>
    </row>
    <row r="363" spans="1:14">
      <c r="A363" s="669"/>
      <c r="B363" s="69" t="s">
        <v>102</v>
      </c>
      <c r="C363" s="70" t="s">
        <v>55</v>
      </c>
      <c r="D363" s="57" t="s">
        <v>345</v>
      </c>
      <c r="E363" s="62"/>
      <c r="F363" s="57" t="s">
        <v>102</v>
      </c>
      <c r="G363" s="57" t="s">
        <v>55</v>
      </c>
      <c r="I363" s="61" t="s">
        <v>102</v>
      </c>
      <c r="J363" s="57" t="s">
        <v>55</v>
      </c>
    </row>
    <row r="364" spans="1:14">
      <c r="A364" s="665"/>
      <c r="B364" s="70" t="s">
        <v>103</v>
      </c>
      <c r="C364" s="74" t="s">
        <v>103</v>
      </c>
      <c r="D364" s="46"/>
      <c r="E364" s="52"/>
      <c r="F364" s="57" t="s">
        <v>103</v>
      </c>
      <c r="G364" s="57" t="s">
        <v>103</v>
      </c>
      <c r="I364" s="63" t="s">
        <v>103</v>
      </c>
      <c r="J364" s="63" t="s">
        <v>103</v>
      </c>
    </row>
    <row r="365" spans="1:14">
      <c r="A365" s="32" t="s">
        <v>307</v>
      </c>
      <c r="B365" s="70">
        <f>GETPIVOTDATA("Répondant",Croisements!$A$465,"Question 21",1,"Question 30",1)</f>
        <v>4</v>
      </c>
      <c r="C365" s="70">
        <f>GETPIVOTDATA("Répondant",Croisements!$A$465,"Question 21",1,"Question 30",2)</f>
        <v>1</v>
      </c>
      <c r="D365" s="57">
        <f>B365+C365</f>
        <v>5</v>
      </c>
      <c r="E365" s="62"/>
      <c r="F365" s="65">
        <f>D365*$B$369/$D$369</f>
        <v>2.3333333333333335</v>
      </c>
      <c r="G365" s="65">
        <f>D365*$C$369/$D$369</f>
        <v>2.6666666666666665</v>
      </c>
      <c r="I365" s="65">
        <f t="shared" ref="I365:J368" si="6">POWER(B365-F365,2)/F365</f>
        <v>1.1904761904761902</v>
      </c>
      <c r="J365" s="65">
        <f t="shared" si="6"/>
        <v>1.0416666666666665</v>
      </c>
      <c r="L365" s="66">
        <f>I365+J365+I366+J366+I367+J367+I368+J368</f>
        <v>4.7544642857142847</v>
      </c>
      <c r="M365" s="66">
        <f>CHIDIST(L365,1)</f>
        <v>2.9222387852322819E-2</v>
      </c>
      <c r="N365" s="93">
        <f>IF(M365&lt;0.05,ROUND(M365,2),IF(M365&gt;0.051,CONCATENATE(ROUND(M365,2),"*")))</f>
        <v>0.03</v>
      </c>
    </row>
    <row r="366" spans="1:14">
      <c r="A366" s="32" t="s">
        <v>48</v>
      </c>
      <c r="B366" s="70">
        <f>GETPIVOTDATA("Répondant",Croisements!$A$465,"Question 21",2,"Question 30",1)</f>
        <v>1</v>
      </c>
      <c r="C366" s="70">
        <f>GETPIVOTDATA("Répondant",Croisements!$A$465,"Question 21",2,"Question 30",2)</f>
        <v>3</v>
      </c>
      <c r="D366" s="57">
        <f>B366+C366</f>
        <v>4</v>
      </c>
      <c r="E366" s="62"/>
      <c r="F366" s="65">
        <f>D366*$B$369/$D$369</f>
        <v>1.8666666666666667</v>
      </c>
      <c r="G366" s="65">
        <f t="shared" ref="G366:G367" si="7">D366*$C$369/$D$369</f>
        <v>2.1333333333333333</v>
      </c>
      <c r="I366" s="65">
        <f t="shared" si="6"/>
        <v>0.40238095238095239</v>
      </c>
      <c r="J366" s="65">
        <f t="shared" si="6"/>
        <v>0.35208333333333336</v>
      </c>
    </row>
    <row r="367" spans="1:14">
      <c r="A367" s="32" t="s">
        <v>49</v>
      </c>
      <c r="B367" s="70">
        <f>GETPIVOTDATA("Répondant",Croisements!$A$465,"Question 21",3,"Question 30",1)</f>
        <v>2</v>
      </c>
      <c r="C367" s="70">
        <f>GETPIVOTDATA("Répondant",Croisements!$A$465,"Question 21",3,"Question 30",2)</f>
        <v>2</v>
      </c>
      <c r="D367" s="57">
        <f>B367+C367</f>
        <v>4</v>
      </c>
      <c r="E367" s="62"/>
      <c r="F367" s="65">
        <f>D367*$B$369/$D$369</f>
        <v>1.8666666666666667</v>
      </c>
      <c r="G367" s="65">
        <f t="shared" si="7"/>
        <v>2.1333333333333333</v>
      </c>
      <c r="I367" s="65">
        <f t="shared" si="6"/>
        <v>9.5238095238095195E-3</v>
      </c>
      <c r="J367" s="65">
        <f t="shared" si="6"/>
        <v>8.3333333333333297E-3</v>
      </c>
    </row>
    <row r="368" spans="1:14">
      <c r="A368" s="32" t="s">
        <v>50</v>
      </c>
      <c r="B368" s="70">
        <f>GETPIVOTDATA("Répondant",Croisements!$A$465,"Question 21",4,"Question 30",1)</f>
        <v>0</v>
      </c>
      <c r="C368" s="70">
        <f>GETPIVOTDATA("Répondant",Croisements!$A$465,"Question 21",4,"Question 30",2)</f>
        <v>2</v>
      </c>
      <c r="D368" s="57">
        <f>B368+C368</f>
        <v>2</v>
      </c>
      <c r="E368" s="62"/>
      <c r="F368" s="65">
        <f>D368*$B$369/$D$369</f>
        <v>0.93333333333333335</v>
      </c>
      <c r="G368" s="65">
        <f>D368*$C$369/$D$369</f>
        <v>1.0666666666666667</v>
      </c>
      <c r="I368" s="65">
        <f t="shared" si="6"/>
        <v>0.93333333333333335</v>
      </c>
      <c r="J368" s="65">
        <f t="shared" si="6"/>
        <v>0.81666666666666676</v>
      </c>
    </row>
    <row r="369" spans="1:14">
      <c r="A369" s="46" t="s">
        <v>345</v>
      </c>
      <c r="B369" s="57">
        <f>B367+B368+B366+B365</f>
        <v>7</v>
      </c>
      <c r="C369" s="57">
        <f>C367+C368+C366+C365</f>
        <v>8</v>
      </c>
      <c r="D369" s="57">
        <f>B367+B368+C367+C368+B366+C366+B365+C365</f>
        <v>15</v>
      </c>
      <c r="E369" s="62"/>
    </row>
    <row r="371" spans="1:14">
      <c r="A371" s="590" t="s">
        <v>507</v>
      </c>
      <c r="B371" s="590"/>
      <c r="C371" s="590"/>
      <c r="D371" s="590"/>
      <c r="E371" s="590"/>
      <c r="F371" s="590"/>
      <c r="G371" s="590"/>
      <c r="H371" s="590"/>
      <c r="I371" s="590"/>
      <c r="J371" s="590"/>
      <c r="K371" s="590"/>
      <c r="L371" s="590"/>
      <c r="M371" s="590"/>
    </row>
    <row r="372" spans="1:14">
      <c r="A372" s="602" t="s">
        <v>636</v>
      </c>
      <c r="B372" s="602"/>
      <c r="C372" s="602"/>
      <c r="D372" s="638"/>
      <c r="E372" s="638"/>
    </row>
    <row r="373" spans="1:14">
      <c r="A373" s="669"/>
      <c r="B373" s="69" t="s">
        <v>102</v>
      </c>
      <c r="C373" s="69" t="s">
        <v>55</v>
      </c>
      <c r="D373" s="57" t="s">
        <v>345</v>
      </c>
      <c r="E373" s="62"/>
      <c r="F373" s="57" t="s">
        <v>102</v>
      </c>
      <c r="G373" s="57" t="s">
        <v>55</v>
      </c>
      <c r="I373" s="61" t="s">
        <v>102</v>
      </c>
      <c r="J373" s="57" t="s">
        <v>55</v>
      </c>
    </row>
    <row r="374" spans="1:14">
      <c r="A374" s="665"/>
      <c r="B374" s="70" t="s">
        <v>103</v>
      </c>
      <c r="C374" s="74" t="s">
        <v>103</v>
      </c>
      <c r="D374" s="46"/>
      <c r="E374" s="52"/>
      <c r="F374" s="57" t="s">
        <v>103</v>
      </c>
      <c r="G374" s="57" t="s">
        <v>103</v>
      </c>
      <c r="I374" s="63" t="s">
        <v>103</v>
      </c>
      <c r="J374" s="63" t="s">
        <v>103</v>
      </c>
      <c r="L374" s="79"/>
    </row>
    <row r="375" spans="1:14">
      <c r="A375" s="32" t="s">
        <v>81</v>
      </c>
      <c r="B375" s="70">
        <f>GETPIVOTDATA("Répondant",Croisements!$A$477,"Question 21A",1,"Question 30",1)+GETPIVOTDATA("Répondant",Croisements!$A$477,"Question 21A",2,"Question 30",1)</f>
        <v>2</v>
      </c>
      <c r="C375" s="70">
        <f>GETPIVOTDATA("Répondant",Croisements!$A$477,"Question 21A",1,"Question 30",2)+GETPIVOTDATA("Répondant",Croisements!$A$477,"Question 21A",2,"Question 30",2)</f>
        <v>3</v>
      </c>
      <c r="D375" s="57">
        <f>B375+C375</f>
        <v>5</v>
      </c>
      <c r="E375" s="62"/>
      <c r="F375" s="65">
        <f>D375*B377/D377</f>
        <v>1.5</v>
      </c>
      <c r="G375" s="65">
        <f>D375*C377/D377</f>
        <v>3.5</v>
      </c>
      <c r="I375" s="65">
        <f>POWER(B375-F375,2)/F375</f>
        <v>0.16666666666666666</v>
      </c>
      <c r="J375" s="65">
        <f>POWER(C375-G375,2)/G375</f>
        <v>7.1428571428571425E-2</v>
      </c>
      <c r="L375" s="66">
        <f>I375+J375+I376+J376</f>
        <v>0.47619047619047616</v>
      </c>
      <c r="M375" s="66">
        <f>CHIDIST(L375,1)</f>
        <v>0.4901529604158249</v>
      </c>
      <c r="N375" s="93" t="str">
        <f>IF(M375&lt;0.05,ROUND(M375,2),IF(M375&gt;0.051,CONCATENATE(ROUND(M375,2),"*")))</f>
        <v>0.49*</v>
      </c>
    </row>
    <row r="376" spans="1:14">
      <c r="A376" s="32" t="s">
        <v>82</v>
      </c>
      <c r="B376" s="70">
        <f>GETPIVOTDATA("Répondant",Croisements!$A$477,"Question 21A",3,"Question 30",1)+GETPIVOTDATA("Répondant",Croisements!$A$477,"Question 21A",4,"Question 30",1)</f>
        <v>1</v>
      </c>
      <c r="C376" s="70">
        <f>GETPIVOTDATA("Répondant",Croisements!$A$477,"Question 21A",3,"Question 30",2)+GETPIVOTDATA("Répondant",Croisements!$A$477,"Question 21A",4,"Question 30",2)</f>
        <v>4</v>
      </c>
      <c r="D376" s="57">
        <f>B376+C376</f>
        <v>5</v>
      </c>
      <c r="E376" s="62"/>
      <c r="F376" s="65">
        <f>D376*B377/D377</f>
        <v>1.5</v>
      </c>
      <c r="G376" s="65">
        <f>D376*C377/D377</f>
        <v>3.5</v>
      </c>
      <c r="I376" s="65">
        <f>POWER(B376-F376,2)/F376</f>
        <v>0.16666666666666666</v>
      </c>
      <c r="J376" s="65">
        <f>POWER(C376-G376,2)/G376</f>
        <v>7.1428571428571425E-2</v>
      </c>
    </row>
    <row r="377" spans="1:14">
      <c r="A377" s="46" t="s">
        <v>345</v>
      </c>
      <c r="B377" s="57">
        <f>B375+B376</f>
        <v>3</v>
      </c>
      <c r="C377" s="57">
        <f>C375+C376</f>
        <v>7</v>
      </c>
      <c r="D377" s="57">
        <f>B375+B376+C375+C376</f>
        <v>10</v>
      </c>
      <c r="E377" s="62"/>
    </row>
    <row r="378" spans="1:14">
      <c r="A378" s="52"/>
      <c r="B378" s="62"/>
      <c r="C378" s="80"/>
      <c r="D378" s="62"/>
      <c r="E378" s="62"/>
    </row>
    <row r="379" spans="1:14">
      <c r="A379" s="590" t="s">
        <v>799</v>
      </c>
      <c r="B379" s="590"/>
      <c r="C379" s="590"/>
      <c r="D379" s="590"/>
      <c r="E379" s="590"/>
      <c r="F379" s="590"/>
      <c r="G379" s="590"/>
      <c r="H379" s="590"/>
      <c r="I379" s="590"/>
    </row>
    <row r="380" spans="1:14">
      <c r="A380" s="602" t="s">
        <v>636</v>
      </c>
      <c r="B380" s="602"/>
      <c r="C380" s="602"/>
      <c r="D380" s="638"/>
      <c r="E380" s="638"/>
    </row>
    <row r="381" spans="1:14">
      <c r="A381" s="669"/>
      <c r="B381" s="69" t="s">
        <v>102</v>
      </c>
      <c r="C381" s="69" t="s">
        <v>55</v>
      </c>
      <c r="D381" s="57" t="s">
        <v>345</v>
      </c>
      <c r="E381" s="62"/>
      <c r="F381" s="57" t="s">
        <v>102</v>
      </c>
      <c r="G381" s="57" t="s">
        <v>55</v>
      </c>
      <c r="I381" s="61" t="s">
        <v>102</v>
      </c>
      <c r="J381" s="57" t="s">
        <v>55</v>
      </c>
    </row>
    <row r="382" spans="1:14">
      <c r="A382" s="665"/>
      <c r="B382" s="70" t="s">
        <v>103</v>
      </c>
      <c r="C382" s="74" t="s">
        <v>103</v>
      </c>
      <c r="D382" s="46"/>
      <c r="E382" s="52"/>
      <c r="F382" s="57" t="s">
        <v>103</v>
      </c>
      <c r="G382" s="57" t="s">
        <v>103</v>
      </c>
      <c r="I382" s="63" t="s">
        <v>103</v>
      </c>
      <c r="J382" s="63" t="s">
        <v>103</v>
      </c>
    </row>
    <row r="383" spans="1:14">
      <c r="A383" s="32" t="s">
        <v>35</v>
      </c>
      <c r="B383" s="70">
        <f>GETPIVOTDATA("Répondant",Croisements!$A$488,"Question 22.1",1,"Question 30",1)</f>
        <v>4</v>
      </c>
      <c r="C383" s="70">
        <f>GETPIVOTDATA("Répondant",Croisements!$A$488,"Question 22.1",1,"Question 30",2)</f>
        <v>4</v>
      </c>
      <c r="D383" s="57">
        <f>B383+C383</f>
        <v>8</v>
      </c>
      <c r="E383" s="62"/>
      <c r="F383" s="65">
        <f>D383*B385/D385</f>
        <v>3.7333333333333334</v>
      </c>
      <c r="G383" s="65">
        <f>D383*C385/D385</f>
        <v>4.2666666666666666</v>
      </c>
      <c r="I383" s="65">
        <f>POWER(B383-F383,2)/F383</f>
        <v>1.9047619047619039E-2</v>
      </c>
      <c r="J383" s="65">
        <f>POWER(C383-G383,2)/G383</f>
        <v>1.6666666666666659E-2</v>
      </c>
      <c r="L383" s="66">
        <f>I383+J383+I384+J384</f>
        <v>7.6530612244897919E-2</v>
      </c>
      <c r="M383" s="66">
        <f>CHIDIST(L383,1)</f>
        <v>0.78205526672157311</v>
      </c>
      <c r="N383" s="93" t="str">
        <f>IF(M383&lt;0.05,ROUND(M383,2),IF(M383&gt;0.051,CONCATENATE(ROUND(M383,2),"*")))</f>
        <v>0.78*</v>
      </c>
    </row>
    <row r="384" spans="1:14">
      <c r="A384" s="32" t="s">
        <v>36</v>
      </c>
      <c r="B384" s="70">
        <f>GETPIVOTDATA("Répondant",Croisements!$A$488,"Question 22.1",2,"Question 30",1)</f>
        <v>3</v>
      </c>
      <c r="C384" s="70">
        <f>GETPIVOTDATA("Répondant",Croisements!$A$488,"Question 22.1",2,"Question 30",2)</f>
        <v>4</v>
      </c>
      <c r="D384" s="57">
        <f>B384+C384</f>
        <v>7</v>
      </c>
      <c r="E384" s="62"/>
      <c r="F384" s="65">
        <f>D384*B385/D385</f>
        <v>3.2666666666666666</v>
      </c>
      <c r="G384" s="65">
        <f>D384*C385/D385</f>
        <v>3.7333333333333334</v>
      </c>
      <c r="I384" s="65">
        <f>POWER(B384-F384,2)/F384</f>
        <v>2.1768707482993189E-2</v>
      </c>
      <c r="J384" s="65">
        <f>POWER(C384-G384,2)/G384</f>
        <v>1.9047619047619039E-2</v>
      </c>
    </row>
    <row r="385" spans="1:14">
      <c r="A385" s="46" t="s">
        <v>345</v>
      </c>
      <c r="B385" s="57">
        <f>B383+B384</f>
        <v>7</v>
      </c>
      <c r="C385" s="57">
        <f>C383+C384</f>
        <v>8</v>
      </c>
      <c r="D385" s="57">
        <f>B383+B384+C383+C384</f>
        <v>15</v>
      </c>
      <c r="E385" s="62"/>
    </row>
    <row r="387" spans="1:14">
      <c r="A387" s="590" t="s">
        <v>761</v>
      </c>
      <c r="B387" s="590"/>
      <c r="C387" s="590"/>
      <c r="D387" s="590"/>
      <c r="E387" s="590"/>
    </row>
    <row r="388" spans="1:14">
      <c r="A388" s="602" t="s">
        <v>636</v>
      </c>
      <c r="B388" s="602"/>
      <c r="C388" s="602"/>
      <c r="D388" s="638"/>
      <c r="E388" s="638"/>
    </row>
    <row r="389" spans="1:14">
      <c r="A389" s="669"/>
      <c r="B389" s="69" t="s">
        <v>102</v>
      </c>
      <c r="C389" s="69" t="s">
        <v>55</v>
      </c>
      <c r="D389" s="57" t="s">
        <v>345</v>
      </c>
      <c r="E389" s="62"/>
      <c r="F389" s="57" t="s">
        <v>102</v>
      </c>
      <c r="G389" s="57" t="s">
        <v>55</v>
      </c>
      <c r="I389" s="61" t="s">
        <v>102</v>
      </c>
      <c r="J389" s="57" t="s">
        <v>55</v>
      </c>
    </row>
    <row r="390" spans="1:14">
      <c r="A390" s="665"/>
      <c r="B390" s="70" t="s">
        <v>103</v>
      </c>
      <c r="C390" s="74" t="s">
        <v>103</v>
      </c>
      <c r="D390" s="46"/>
      <c r="E390" s="52"/>
      <c r="F390" s="57" t="s">
        <v>103</v>
      </c>
      <c r="G390" s="57" t="s">
        <v>103</v>
      </c>
      <c r="I390" s="63" t="s">
        <v>103</v>
      </c>
      <c r="J390" s="63" t="s">
        <v>103</v>
      </c>
    </row>
    <row r="391" spans="1:14">
      <c r="A391" s="32" t="s">
        <v>35</v>
      </c>
      <c r="B391" s="70">
        <f>GETPIVOTDATA("Répondant",Croisements!$A$500,"Question 22.2",1,"Question 30",1)</f>
        <v>2</v>
      </c>
      <c r="C391" s="70">
        <f>GETPIVOTDATA("Répondant",Croisements!$A$500,"Question 22.2",1,"Question 30",2)</f>
        <v>5</v>
      </c>
      <c r="D391" s="57">
        <f>B391+C391</f>
        <v>7</v>
      </c>
      <c r="E391" s="62"/>
      <c r="F391" s="65">
        <f>D391*B393/D393</f>
        <v>3.2666666666666666</v>
      </c>
      <c r="G391" s="65">
        <f>D391*C393/D393</f>
        <v>3.7333333333333334</v>
      </c>
      <c r="I391" s="65">
        <f>POWER(B391-F391,2)/F391</f>
        <v>0.49115646258503398</v>
      </c>
      <c r="J391" s="65">
        <f>POWER(C391-G391,2)/G391</f>
        <v>0.42976190476190473</v>
      </c>
      <c r="L391" s="66">
        <f>I391+J391+I392+J392</f>
        <v>1.7267219387755102</v>
      </c>
      <c r="M391" s="66">
        <f>CHIDIST(L391,1)</f>
        <v>0.18883007821588313</v>
      </c>
      <c r="N391" s="93" t="str">
        <f>IF(M391&lt;0.05,ROUND(M391,2),IF(M391&gt;0.051,CONCATENATE(ROUND(M391,2),"*")))</f>
        <v>0.19*</v>
      </c>
    </row>
    <row r="392" spans="1:14">
      <c r="A392" s="32" t="s">
        <v>36</v>
      </c>
      <c r="B392" s="70">
        <f>GETPIVOTDATA("Répondant",Croisements!$A$500,"Question 22.2",2,"Question 30",1)</f>
        <v>5</v>
      </c>
      <c r="C392" s="70">
        <f>GETPIVOTDATA("Répondant",Croisements!$A$500,"Question 22.2",2,"Question 30",2)</f>
        <v>3</v>
      </c>
      <c r="D392" s="57">
        <f>B392+C392</f>
        <v>8</v>
      </c>
      <c r="E392" s="62"/>
      <c r="F392" s="65">
        <f>D392*B393/D393</f>
        <v>3.7333333333333334</v>
      </c>
      <c r="G392" s="65">
        <f>D392*C393/D393</f>
        <v>4.2666666666666666</v>
      </c>
      <c r="I392" s="65">
        <f>POWER(B392-F392,2)/F392</f>
        <v>0.42976190476190473</v>
      </c>
      <c r="J392" s="65">
        <f>POWER(C392-G392,2)/G392</f>
        <v>0.37604166666666666</v>
      </c>
    </row>
    <row r="393" spans="1:14">
      <c r="A393" s="46" t="s">
        <v>345</v>
      </c>
      <c r="B393" s="57">
        <f>B391+B392</f>
        <v>7</v>
      </c>
      <c r="C393" s="57">
        <f>C391+C392</f>
        <v>8</v>
      </c>
      <c r="D393" s="57">
        <f>B391+B392+C391+C392</f>
        <v>15</v>
      </c>
      <c r="E393" s="62"/>
    </row>
    <row r="395" spans="1:14">
      <c r="A395" s="590" t="s">
        <v>762</v>
      </c>
      <c r="B395" s="590"/>
      <c r="C395" s="590"/>
      <c r="D395" s="590"/>
      <c r="E395" s="590"/>
    </row>
    <row r="396" spans="1:14">
      <c r="A396" s="602" t="s">
        <v>636</v>
      </c>
      <c r="B396" s="602"/>
      <c r="C396" s="602"/>
      <c r="D396" s="638"/>
      <c r="E396" s="638"/>
    </row>
    <row r="397" spans="1:14">
      <c r="A397" s="669"/>
      <c r="B397" s="69" t="s">
        <v>102</v>
      </c>
      <c r="C397" s="70" t="s">
        <v>55</v>
      </c>
      <c r="D397" s="57" t="s">
        <v>345</v>
      </c>
      <c r="E397" s="62"/>
      <c r="F397" s="57" t="s">
        <v>102</v>
      </c>
      <c r="G397" s="57" t="s">
        <v>55</v>
      </c>
      <c r="I397" s="61" t="s">
        <v>102</v>
      </c>
      <c r="J397" s="57" t="s">
        <v>55</v>
      </c>
    </row>
    <row r="398" spans="1:14">
      <c r="A398" s="665"/>
      <c r="B398" s="70" t="s">
        <v>103</v>
      </c>
      <c r="C398" s="74" t="s">
        <v>103</v>
      </c>
      <c r="D398" s="46"/>
      <c r="E398" s="52"/>
      <c r="F398" s="57" t="s">
        <v>103</v>
      </c>
      <c r="G398" s="57" t="s">
        <v>103</v>
      </c>
      <c r="I398" s="63" t="s">
        <v>103</v>
      </c>
      <c r="J398" s="63" t="s">
        <v>103</v>
      </c>
    </row>
    <row r="399" spans="1:14">
      <c r="A399" s="32" t="s">
        <v>35</v>
      </c>
      <c r="B399" s="70">
        <f>GETPIVOTDATA("Répondant",Croisements!$A$510,"Question 22.3",1,"Question 30",1)</f>
        <v>3</v>
      </c>
      <c r="C399" s="70">
        <f>GETPIVOTDATA("Répondant",Croisements!$A$510,"Question 22.3",1,"Question 30",2)</f>
        <v>5</v>
      </c>
      <c r="D399" s="57">
        <f>B399+C399</f>
        <v>8</v>
      </c>
      <c r="E399" s="62"/>
      <c r="F399" s="65">
        <f>D399*B401/D401</f>
        <v>3.7333333333333334</v>
      </c>
      <c r="G399" s="65">
        <f>D399*C401/D401</f>
        <v>4.2666666666666666</v>
      </c>
      <c r="I399" s="65">
        <f>POWER(B399-F399,2)/F399</f>
        <v>0.14404761904761909</v>
      </c>
      <c r="J399" s="65">
        <f>POWER(C399-G399,2)/G399</f>
        <v>0.12604166666666669</v>
      </c>
      <c r="L399" s="66">
        <f>I399+J399+I400+J400</f>
        <v>0.578762755102041</v>
      </c>
      <c r="M399" s="66">
        <f>CHIDIST(L399,1)</f>
        <v>0.44679769044778639</v>
      </c>
      <c r="N399" s="93" t="str">
        <f>IF(M399&lt;0.05,ROUND(M399,2),IF(M399&gt;0.051,CONCATENATE(ROUND(M399,2),"*")))</f>
        <v>0.45*</v>
      </c>
    </row>
    <row r="400" spans="1:14">
      <c r="A400" s="32" t="s">
        <v>36</v>
      </c>
      <c r="B400" s="70">
        <f>GETPIVOTDATA("Répondant",Croisements!$A$510,"Question 22.3",2,"Question 30",1)</f>
        <v>4</v>
      </c>
      <c r="C400" s="70">
        <f>GETPIVOTDATA("Répondant",Croisements!$A$510,"Question 22.3",2,"Question 30",2)</f>
        <v>3</v>
      </c>
      <c r="D400" s="57">
        <f>B400+C400</f>
        <v>7</v>
      </c>
      <c r="E400" s="62"/>
      <c r="F400" s="65">
        <f>D400*B401/D401</f>
        <v>3.2666666666666666</v>
      </c>
      <c r="G400" s="65">
        <f>D400*C401/D401</f>
        <v>3.7333333333333334</v>
      </c>
      <c r="I400" s="65">
        <f>POWER(B400-F400,2)/F400</f>
        <v>0.1646258503401361</v>
      </c>
      <c r="J400" s="65">
        <f>POWER(C400-G400,2)/G400</f>
        <v>0.14404761904761909</v>
      </c>
    </row>
    <row r="401" spans="1:14">
      <c r="A401" s="46" t="s">
        <v>345</v>
      </c>
      <c r="B401" s="57">
        <f>B399+B400</f>
        <v>7</v>
      </c>
      <c r="C401" s="57">
        <f>C399+C400</f>
        <v>8</v>
      </c>
      <c r="D401" s="57">
        <f>B399+B400+C399+C400</f>
        <v>15</v>
      </c>
      <c r="E401" s="62"/>
    </row>
    <row r="403" spans="1:14">
      <c r="A403" s="597" t="s">
        <v>899</v>
      </c>
      <c r="B403" s="597"/>
      <c r="C403" s="597"/>
      <c r="D403" s="597"/>
      <c r="E403" s="597"/>
    </row>
    <row r="404" spans="1:14">
      <c r="A404" s="602" t="s">
        <v>636</v>
      </c>
      <c r="B404" s="602"/>
      <c r="C404" s="602"/>
      <c r="D404" s="638"/>
      <c r="E404" s="638"/>
    </row>
    <row r="405" spans="1:14">
      <c r="A405" s="669"/>
      <c r="B405" s="69" t="s">
        <v>102</v>
      </c>
      <c r="C405" s="69" t="s">
        <v>55</v>
      </c>
      <c r="D405" s="57" t="s">
        <v>345</v>
      </c>
      <c r="E405" s="62"/>
      <c r="F405" s="57" t="s">
        <v>102</v>
      </c>
      <c r="G405" s="57" t="s">
        <v>55</v>
      </c>
      <c r="I405" s="61" t="s">
        <v>102</v>
      </c>
      <c r="J405" s="57" t="s">
        <v>55</v>
      </c>
    </row>
    <row r="406" spans="1:14">
      <c r="A406" s="665"/>
      <c r="B406" s="70" t="s">
        <v>103</v>
      </c>
      <c r="C406" s="74" t="s">
        <v>103</v>
      </c>
      <c r="D406" s="46"/>
      <c r="E406" s="52"/>
      <c r="F406" s="57" t="s">
        <v>103</v>
      </c>
      <c r="G406" s="57" t="s">
        <v>103</v>
      </c>
      <c r="I406" s="63" t="s">
        <v>103</v>
      </c>
      <c r="J406" s="63" t="s">
        <v>103</v>
      </c>
    </row>
    <row r="407" spans="1:14">
      <c r="A407" s="32" t="s">
        <v>35</v>
      </c>
      <c r="B407" s="70">
        <f>GETPIVOTDATA("Répondant",Croisements!$A$521,"Question 22.5",1,"Question 30",1)</f>
        <v>3</v>
      </c>
      <c r="C407" s="70">
        <f>GETPIVOTDATA("Répondant",Croisements!$A$521,"Question 22.5",1,"Question 30",2)</f>
        <v>3</v>
      </c>
      <c r="D407" s="57">
        <f>B407+C407</f>
        <v>6</v>
      </c>
      <c r="E407" s="62"/>
      <c r="F407" s="65">
        <f>D407*B409/D409</f>
        <v>2.8</v>
      </c>
      <c r="G407" s="65">
        <f>D407*C409/D409</f>
        <v>3.2</v>
      </c>
      <c r="I407" s="65">
        <f>POWER(B407-F407,2)/F407</f>
        <v>1.4285714285714311E-2</v>
      </c>
      <c r="J407" s="65">
        <f>POWER(C407-G407,2)/G407</f>
        <v>1.2500000000000022E-2</v>
      </c>
      <c r="L407" s="66">
        <f>I407+J407+I408+J408</f>
        <v>4.464285714285722E-2</v>
      </c>
      <c r="M407" s="66">
        <f>CHIDIST(L407,1)</f>
        <v>0.83266210635053239</v>
      </c>
      <c r="N407" s="93" t="str">
        <f>IF(M407&lt;0.05,ROUND(M407,2),IF(M407&gt;0.051,CONCATENATE(ROUND(M407,2),"*")))</f>
        <v>0.83*</v>
      </c>
    </row>
    <row r="408" spans="1:14">
      <c r="A408" s="32" t="s">
        <v>36</v>
      </c>
      <c r="B408" s="70">
        <f>GETPIVOTDATA("Répondant",Croisements!$A$521,"Question 22.5",2,"Question 30",1)</f>
        <v>4</v>
      </c>
      <c r="C408" s="70">
        <f>GETPIVOTDATA("Répondant",Croisements!$A$521,"Question 22.5",2,"Question 30",2)</f>
        <v>5</v>
      </c>
      <c r="D408" s="57">
        <f>B408+C408</f>
        <v>9</v>
      </c>
      <c r="E408" s="62"/>
      <c r="F408" s="65">
        <f>D408*B409/D409</f>
        <v>4.2</v>
      </c>
      <c r="G408" s="65">
        <f>D408*C409/D409</f>
        <v>4.8</v>
      </c>
      <c r="I408" s="65">
        <f>POWER(B408-F408,2)/F408</f>
        <v>9.5238095238095403E-3</v>
      </c>
      <c r="J408" s="65">
        <f>POWER(C408-G408,2)/G408</f>
        <v>8.3333333333333488E-3</v>
      </c>
    </row>
    <row r="409" spans="1:14">
      <c r="A409" s="46" t="s">
        <v>345</v>
      </c>
      <c r="B409" s="57">
        <f>B407+B408</f>
        <v>7</v>
      </c>
      <c r="C409" s="57">
        <f>C407+C408</f>
        <v>8</v>
      </c>
      <c r="D409" s="57">
        <f>B407+B408+C407+C408</f>
        <v>15</v>
      </c>
      <c r="E409" s="62"/>
    </row>
    <row r="411" spans="1:14">
      <c r="A411" s="590" t="s">
        <v>902</v>
      </c>
      <c r="B411" s="590"/>
      <c r="C411" s="590"/>
      <c r="D411" s="590"/>
      <c r="E411" s="590"/>
      <c r="F411" s="590"/>
      <c r="G411" s="590"/>
      <c r="H411" s="590"/>
      <c r="I411" s="590"/>
    </row>
    <row r="412" spans="1:14">
      <c r="A412" s="602" t="s">
        <v>636</v>
      </c>
      <c r="B412" s="602"/>
      <c r="C412" s="602"/>
      <c r="D412" s="638"/>
      <c r="E412" s="638"/>
    </row>
    <row r="413" spans="1:14">
      <c r="A413" s="669"/>
      <c r="B413" s="69" t="s">
        <v>102</v>
      </c>
      <c r="C413" s="69" t="s">
        <v>55</v>
      </c>
      <c r="D413" s="57" t="s">
        <v>345</v>
      </c>
      <c r="E413" s="62"/>
      <c r="F413" s="57" t="s">
        <v>102</v>
      </c>
      <c r="G413" s="57" t="s">
        <v>55</v>
      </c>
      <c r="I413" s="61" t="s">
        <v>102</v>
      </c>
      <c r="J413" s="57" t="s">
        <v>55</v>
      </c>
    </row>
    <row r="414" spans="1:14">
      <c r="A414" s="665"/>
      <c r="B414" s="70" t="s">
        <v>103</v>
      </c>
      <c r="C414" s="74" t="s">
        <v>103</v>
      </c>
      <c r="D414" s="46"/>
      <c r="E414" s="52"/>
      <c r="F414" s="57" t="s">
        <v>103</v>
      </c>
      <c r="G414" s="57" t="s">
        <v>103</v>
      </c>
      <c r="I414" s="63" t="s">
        <v>103</v>
      </c>
      <c r="J414" s="63" t="s">
        <v>103</v>
      </c>
    </row>
    <row r="415" spans="1:14">
      <c r="A415" s="32" t="s">
        <v>35</v>
      </c>
      <c r="B415" s="70">
        <f>GETPIVOTDATA("Répondant",Croisements!$A$531,"Question 22.6",1,"Question 30",1)</f>
        <v>3</v>
      </c>
      <c r="C415" s="70">
        <f>GETPIVOTDATA("Répondant",Croisements!$A$531,"Question 22.6",1,"Question 30",2)</f>
        <v>4</v>
      </c>
      <c r="D415" s="57">
        <f>B415+C415</f>
        <v>7</v>
      </c>
      <c r="E415" s="62"/>
      <c r="F415" s="65">
        <f>D415*B417/D417</f>
        <v>3.2666666666666666</v>
      </c>
      <c r="G415" s="65">
        <f>D415*C417/D417</f>
        <v>3.7333333333333334</v>
      </c>
      <c r="I415" s="65">
        <f>POWER(B415-F415,2)/F415</f>
        <v>2.1768707482993189E-2</v>
      </c>
      <c r="J415" s="65">
        <f>POWER(C415-G415,2)/G415</f>
        <v>1.9047619047619039E-2</v>
      </c>
      <c r="L415" s="66">
        <f>I415+J415+I416+J416</f>
        <v>7.6530612244897933E-2</v>
      </c>
      <c r="M415" s="66">
        <f>CHIDIST(L415,1)</f>
        <v>0.78205526672157299</v>
      </c>
      <c r="N415" s="93" t="str">
        <f>IF(M415&lt;0.05,ROUND(M415,2),IF(M415&gt;0.051,CONCATENATE(ROUND(M415,2),"*")))</f>
        <v>0.78*</v>
      </c>
    </row>
    <row r="416" spans="1:14">
      <c r="A416" s="32" t="s">
        <v>36</v>
      </c>
      <c r="B416" s="70">
        <f>GETPIVOTDATA("Répondant",Croisements!$A$531,"Question 22.6",2,"Question 30",1)</f>
        <v>4</v>
      </c>
      <c r="C416" s="70">
        <f>GETPIVOTDATA("Répondant",Croisements!$A$531,"Question 22.6",2,"Question 30",2)</f>
        <v>4</v>
      </c>
      <c r="D416" s="57">
        <f>B416+C416</f>
        <v>8</v>
      </c>
      <c r="E416" s="62"/>
      <c r="F416" s="65">
        <f>D416*B417/D417</f>
        <v>3.7333333333333334</v>
      </c>
      <c r="G416" s="65">
        <f>D416*C417/D417</f>
        <v>4.2666666666666666</v>
      </c>
      <c r="I416" s="65">
        <f>POWER(B416-F416,2)/F416</f>
        <v>1.9047619047619039E-2</v>
      </c>
      <c r="J416" s="65">
        <f>POWER(C416-G416,2)/G416</f>
        <v>1.6666666666666659E-2</v>
      </c>
    </row>
    <row r="417" spans="1:14">
      <c r="A417" s="46" t="s">
        <v>345</v>
      </c>
      <c r="B417" s="57">
        <f>B415+B416</f>
        <v>7</v>
      </c>
      <c r="C417" s="57">
        <f>C415+C416</f>
        <v>8</v>
      </c>
      <c r="D417" s="57">
        <f>B415+B416+C415+C416</f>
        <v>15</v>
      </c>
      <c r="E417" s="62"/>
    </row>
    <row r="419" spans="1:14">
      <c r="A419" s="590" t="s">
        <v>508</v>
      </c>
      <c r="B419" s="590"/>
      <c r="C419" s="590"/>
      <c r="D419" s="590"/>
      <c r="E419" s="590"/>
      <c r="F419" s="590"/>
      <c r="G419" s="590"/>
      <c r="H419" s="590"/>
      <c r="I419" s="590"/>
      <c r="J419" s="590"/>
    </row>
    <row r="420" spans="1:14">
      <c r="A420" s="602" t="s">
        <v>636</v>
      </c>
      <c r="B420" s="602"/>
      <c r="C420" s="602"/>
      <c r="D420" s="638"/>
      <c r="E420" s="638"/>
    </row>
    <row r="421" spans="1:14">
      <c r="A421" s="669"/>
      <c r="B421" s="69" t="s">
        <v>102</v>
      </c>
      <c r="C421" s="70" t="s">
        <v>55</v>
      </c>
      <c r="D421" s="57" t="s">
        <v>345</v>
      </c>
      <c r="E421" s="62"/>
      <c r="F421" s="57" t="s">
        <v>102</v>
      </c>
      <c r="G421" s="57" t="s">
        <v>55</v>
      </c>
      <c r="I421" s="61" t="s">
        <v>102</v>
      </c>
      <c r="J421" s="57" t="s">
        <v>55</v>
      </c>
    </row>
    <row r="422" spans="1:14">
      <c r="A422" s="665"/>
      <c r="B422" s="70" t="s">
        <v>103</v>
      </c>
      <c r="C422" s="74" t="s">
        <v>103</v>
      </c>
      <c r="D422" s="46"/>
      <c r="E422" s="52"/>
      <c r="F422" s="57" t="s">
        <v>103</v>
      </c>
      <c r="G422" s="57" t="s">
        <v>103</v>
      </c>
      <c r="I422" s="63" t="s">
        <v>103</v>
      </c>
      <c r="J422" s="63" t="s">
        <v>103</v>
      </c>
    </row>
    <row r="423" spans="1:14">
      <c r="A423" s="32" t="s">
        <v>35</v>
      </c>
      <c r="B423" s="70">
        <f>GETPIVOTDATA("Répondant",Croisements!$A$540,"Question 23",1,"Question 30",1)</f>
        <v>6</v>
      </c>
      <c r="C423" s="70">
        <f>GETPIVOTDATA("Répondant",Croisements!$A$540,"Question 23",1,"Question 30",2)</f>
        <v>2</v>
      </c>
      <c r="D423" s="57">
        <f>B423+C423</f>
        <v>8</v>
      </c>
      <c r="E423" s="62"/>
      <c r="F423" s="65">
        <f>D423*B425/D425</f>
        <v>3.7333333333333334</v>
      </c>
      <c r="G423" s="65">
        <f>D423*C425/D425</f>
        <v>4.2666666666666666</v>
      </c>
      <c r="I423" s="65">
        <f>POWER(B423-F423,2)/F423</f>
        <v>1.376190476190476</v>
      </c>
      <c r="J423" s="65">
        <f>POWER(C423-G423,2)/G423</f>
        <v>1.2041666666666666</v>
      </c>
      <c r="L423" s="66">
        <f>I423+J423+I424+J424</f>
        <v>5.5293367346938762</v>
      </c>
      <c r="M423" s="66">
        <f>CHIDIST(L423,1)</f>
        <v>1.870019288755333E-2</v>
      </c>
      <c r="N423" s="93">
        <f>IF(M423&lt;0.05,ROUND(M423,2),IF(M423&gt;0.051,CONCATENATE(ROUND(M423,2),"*")))</f>
        <v>0.02</v>
      </c>
    </row>
    <row r="424" spans="1:14">
      <c r="A424" s="32" t="s">
        <v>36</v>
      </c>
      <c r="B424" s="70">
        <f>GETPIVOTDATA("Répondant",Croisements!$A$540,"Question 23",2,"Question 30",1)</f>
        <v>1</v>
      </c>
      <c r="C424" s="70">
        <f>GETPIVOTDATA("Répondant",Croisements!$A$540,"Question 23",2,"Question 30",2)</f>
        <v>6</v>
      </c>
      <c r="D424" s="57">
        <f>B424+C424</f>
        <v>7</v>
      </c>
      <c r="E424" s="62"/>
      <c r="F424" s="65">
        <f>D424*B425/D425</f>
        <v>3.2666666666666666</v>
      </c>
      <c r="G424" s="65">
        <f>D424*C425/D425</f>
        <v>3.7333333333333334</v>
      </c>
      <c r="I424" s="65">
        <f>POWER(B424-F424,2)/F424</f>
        <v>1.5727891156462583</v>
      </c>
      <c r="J424" s="65">
        <f>POWER(C424-G424,2)/G424</f>
        <v>1.376190476190476</v>
      </c>
    </row>
    <row r="425" spans="1:14">
      <c r="A425" s="46" t="s">
        <v>345</v>
      </c>
      <c r="B425" s="57">
        <f>B423+B424</f>
        <v>7</v>
      </c>
      <c r="C425" s="57">
        <f>C423+C424</f>
        <v>8</v>
      </c>
      <c r="D425" s="57">
        <f>B423+B424+C423+C424</f>
        <v>15</v>
      </c>
      <c r="E425" s="62"/>
    </row>
    <row r="427" spans="1:14">
      <c r="A427" s="590" t="s">
        <v>510</v>
      </c>
      <c r="B427" s="590"/>
      <c r="C427" s="590"/>
      <c r="D427" s="590"/>
      <c r="E427" s="590"/>
      <c r="F427" s="590"/>
      <c r="G427" s="590"/>
      <c r="H427" s="590"/>
      <c r="I427" s="590"/>
      <c r="J427" s="590"/>
    </row>
    <row r="428" spans="1:14">
      <c r="A428" s="602" t="s">
        <v>636</v>
      </c>
      <c r="B428" s="602"/>
      <c r="C428" s="602"/>
      <c r="D428" s="638"/>
      <c r="E428" s="638"/>
    </row>
    <row r="429" spans="1:14">
      <c r="A429" s="669"/>
      <c r="B429" s="69" t="s">
        <v>102</v>
      </c>
      <c r="C429" s="69" t="s">
        <v>55</v>
      </c>
      <c r="D429" s="57" t="s">
        <v>345</v>
      </c>
      <c r="E429" s="62"/>
      <c r="F429" s="57" t="s">
        <v>102</v>
      </c>
      <c r="G429" s="57" t="s">
        <v>55</v>
      </c>
      <c r="I429" s="61" t="s">
        <v>102</v>
      </c>
      <c r="J429" s="57" t="s">
        <v>55</v>
      </c>
    </row>
    <row r="430" spans="1:14">
      <c r="A430" s="665"/>
      <c r="B430" s="70" t="s">
        <v>103</v>
      </c>
      <c r="C430" s="74" t="s">
        <v>103</v>
      </c>
      <c r="D430" s="46"/>
      <c r="E430" s="52"/>
      <c r="F430" s="57" t="s">
        <v>103</v>
      </c>
      <c r="G430" s="57" t="s">
        <v>103</v>
      </c>
      <c r="I430" s="63" t="s">
        <v>103</v>
      </c>
      <c r="J430" s="63" t="s">
        <v>103</v>
      </c>
    </row>
    <row r="431" spans="1:14">
      <c r="A431" s="32" t="s">
        <v>35</v>
      </c>
      <c r="B431" s="70">
        <f>GETPIVOTDATA("Répondant",Croisements!$A$550,"Question 24",1,"Question 30",1)</f>
        <v>4</v>
      </c>
      <c r="C431" s="70">
        <f>GETPIVOTDATA("Répondant",Croisements!$A$550,"Question 24",1,"Question 30",2)</f>
        <v>4</v>
      </c>
      <c r="D431" s="57">
        <f>B431+C431</f>
        <v>8</v>
      </c>
      <c r="E431" s="62"/>
      <c r="F431" s="65">
        <f>D431*B433/D433</f>
        <v>3.7333333333333334</v>
      </c>
      <c r="G431" s="65">
        <f>D431*C433/D433</f>
        <v>4.2666666666666666</v>
      </c>
      <c r="I431" s="65">
        <f>POWER(B431-F431,2)/F431</f>
        <v>1.9047619047619039E-2</v>
      </c>
      <c r="J431" s="65">
        <f>POWER(C431-G431,2)/G431</f>
        <v>1.6666666666666659E-2</v>
      </c>
      <c r="L431" s="66">
        <f>I431+J431+I432+J432</f>
        <v>7.6530612244897919E-2</v>
      </c>
      <c r="M431" s="66">
        <f>CHIDIST(L431,1)</f>
        <v>0.78205526672157311</v>
      </c>
      <c r="N431" s="93" t="str">
        <f>IF(M431&lt;0.05,ROUND(M431,2),IF(M431&gt;0.051,CONCATENATE(ROUND(M431,2),"*")))</f>
        <v>0.78*</v>
      </c>
    </row>
    <row r="432" spans="1:14">
      <c r="A432" s="32" t="s">
        <v>36</v>
      </c>
      <c r="B432" s="70">
        <f>GETPIVOTDATA("Répondant",Croisements!$A$550,"Question 24",2,"Question 30",1)</f>
        <v>3</v>
      </c>
      <c r="C432" s="70">
        <f>GETPIVOTDATA("Répondant",Croisements!$A$550,"Question 24",2,"Question 30",2)</f>
        <v>4</v>
      </c>
      <c r="D432" s="57">
        <f>B432+C432</f>
        <v>7</v>
      </c>
      <c r="E432" s="62"/>
      <c r="F432" s="65">
        <f>D432*B433/D433</f>
        <v>3.2666666666666666</v>
      </c>
      <c r="G432" s="65">
        <f>D432*C433/D433</f>
        <v>3.7333333333333334</v>
      </c>
      <c r="I432" s="65">
        <f>POWER(B432-F432,2)/F432</f>
        <v>2.1768707482993189E-2</v>
      </c>
      <c r="J432" s="65">
        <f>POWER(C432-G432,2)/G432</f>
        <v>1.9047619047619039E-2</v>
      </c>
    </row>
    <row r="433" spans="1:14">
      <c r="A433" s="46" t="s">
        <v>345</v>
      </c>
      <c r="B433" s="57">
        <f>B431+B432</f>
        <v>7</v>
      </c>
      <c r="C433" s="57">
        <f>C431+C432</f>
        <v>8</v>
      </c>
      <c r="D433" s="57">
        <f>B431+B432+C431+C432</f>
        <v>15</v>
      </c>
      <c r="E433" s="62"/>
    </row>
    <row r="435" spans="1:14">
      <c r="A435" s="590" t="s">
        <v>511</v>
      </c>
      <c r="B435" s="590"/>
      <c r="C435" s="590"/>
      <c r="D435" s="590"/>
      <c r="E435" s="590"/>
      <c r="F435" s="590"/>
      <c r="G435" s="590"/>
      <c r="H435" s="590"/>
      <c r="I435" s="590"/>
      <c r="J435" s="590"/>
      <c r="K435" s="590"/>
      <c r="L435" s="590"/>
      <c r="M435" s="590"/>
    </row>
    <row r="436" spans="1:14">
      <c r="A436" s="602" t="s">
        <v>636</v>
      </c>
      <c r="B436" s="602"/>
      <c r="C436" s="602"/>
      <c r="D436" s="638"/>
      <c r="E436" s="638"/>
    </row>
    <row r="437" spans="1:14">
      <c r="A437" s="669"/>
      <c r="B437" s="81" t="s">
        <v>102</v>
      </c>
      <c r="C437" s="81" t="s">
        <v>55</v>
      </c>
      <c r="D437" s="57" t="s">
        <v>345</v>
      </c>
      <c r="E437" s="62"/>
      <c r="F437" s="57" t="s">
        <v>102</v>
      </c>
      <c r="G437" s="57" t="s">
        <v>55</v>
      </c>
      <c r="I437" s="61" t="s">
        <v>102</v>
      </c>
      <c r="J437" s="57" t="s">
        <v>55</v>
      </c>
    </row>
    <row r="438" spans="1:14">
      <c r="A438" s="665"/>
      <c r="B438" s="70" t="s">
        <v>103</v>
      </c>
      <c r="C438" s="74" t="s">
        <v>103</v>
      </c>
      <c r="D438" s="46"/>
      <c r="E438" s="52"/>
      <c r="F438" s="57" t="s">
        <v>103</v>
      </c>
      <c r="G438" s="57" t="s">
        <v>103</v>
      </c>
      <c r="I438" s="63" t="s">
        <v>103</v>
      </c>
      <c r="J438" s="63" t="s">
        <v>103</v>
      </c>
    </row>
    <row r="439" spans="1:14">
      <c r="A439" s="32" t="s">
        <v>75</v>
      </c>
      <c r="B439" s="70">
        <f>GETPIVOTDATA("Répondant",Croisements!$A$559,"Question 25",1,"Question 30",1)+GETPIVOTDATA("Répondant",Croisements!$A$559,"Question 25",2,"Question 30",1)</f>
        <v>5</v>
      </c>
      <c r="C439" s="70">
        <f>GETPIVOTDATA("Répondant",Croisements!$A$559,"Question 25",1,"Question 30",2)+GETPIVOTDATA("Répondant",Croisements!$A$559,"Question 25",2,"Question 30",2)</f>
        <v>3</v>
      </c>
      <c r="D439" s="57">
        <f>B439+C439</f>
        <v>8</v>
      </c>
      <c r="E439" s="62"/>
      <c r="F439" s="65">
        <f>D439*B441/D441</f>
        <v>3.7333333333333334</v>
      </c>
      <c r="G439" s="65">
        <f>D439*C441/D441</f>
        <v>4.2666666666666666</v>
      </c>
      <c r="I439" s="65">
        <f>POWER(B439-F439,2)/F439</f>
        <v>0.42976190476190473</v>
      </c>
      <c r="J439" s="65">
        <f>POWER(C439-G439,2)/G439</f>
        <v>0.37604166666666666</v>
      </c>
      <c r="L439" s="66">
        <f>I439+J439+I440+J440</f>
        <v>1.7267219387755102</v>
      </c>
      <c r="M439" s="66">
        <f>CHIDIST(L439,1)</f>
        <v>0.18883007821588313</v>
      </c>
      <c r="N439" s="93" t="str">
        <f>IF(M439&lt;0.05,ROUND(M439,2),IF(M439&gt;0.051,CONCATENATE(ROUND(M439,2),"*")))</f>
        <v>0.19*</v>
      </c>
    </row>
    <row r="440" spans="1:14">
      <c r="A440" s="32" t="s">
        <v>76</v>
      </c>
      <c r="B440" s="70">
        <f>GETPIVOTDATA("Répondant",Croisements!$A$559,"Question 25",3,"Question 30",1)+GETPIVOTDATA("Répondant",Croisements!$A$559,"Question 25",4,"Question 30",1)</f>
        <v>2</v>
      </c>
      <c r="C440" s="70">
        <f>GETPIVOTDATA("Répondant",Croisements!$A$559,"Question 25",3,"Question 30",2)+GETPIVOTDATA("Répondant",Croisements!$A$559,"Question 25",4,"Question 30",2)</f>
        <v>5</v>
      </c>
      <c r="D440" s="57">
        <f>B440+C440</f>
        <v>7</v>
      </c>
      <c r="E440" s="62"/>
      <c r="F440" s="65">
        <f>D440*B441/D441</f>
        <v>3.2666666666666666</v>
      </c>
      <c r="G440" s="65">
        <f>D440*C441/D441</f>
        <v>3.7333333333333334</v>
      </c>
      <c r="I440" s="65">
        <f>POWER(B440-F440,2)/F440</f>
        <v>0.49115646258503398</v>
      </c>
      <c r="J440" s="65">
        <f>POWER(C440-G440,2)/G440</f>
        <v>0.42976190476190473</v>
      </c>
    </row>
    <row r="441" spans="1:14">
      <c r="A441" s="46" t="s">
        <v>345</v>
      </c>
      <c r="B441" s="57">
        <f>B439+B440</f>
        <v>7</v>
      </c>
      <c r="C441" s="57">
        <f>C439+C440</f>
        <v>8</v>
      </c>
      <c r="D441" s="57">
        <f>B439+B440+C439+C440</f>
        <v>15</v>
      </c>
      <c r="E441" s="62"/>
    </row>
    <row r="443" spans="1:14">
      <c r="A443" s="590" t="s">
        <v>512</v>
      </c>
      <c r="B443" s="590"/>
      <c r="C443" s="590"/>
      <c r="D443" s="590"/>
      <c r="E443" s="590"/>
      <c r="F443" s="590"/>
      <c r="G443" s="590"/>
      <c r="H443" s="590"/>
      <c r="I443" s="590"/>
      <c r="J443" s="590"/>
      <c r="K443" s="590"/>
      <c r="L443" s="590"/>
      <c r="M443" s="590"/>
      <c r="N443" s="590"/>
    </row>
    <row r="444" spans="1:14">
      <c r="A444" s="602" t="s">
        <v>636</v>
      </c>
      <c r="B444" s="602"/>
      <c r="C444" s="602"/>
      <c r="D444" s="638"/>
      <c r="E444" s="638"/>
    </row>
    <row r="445" spans="1:14">
      <c r="A445" s="669"/>
      <c r="B445" s="69" t="s">
        <v>102</v>
      </c>
      <c r="C445" s="69" t="s">
        <v>55</v>
      </c>
      <c r="D445" s="57" t="s">
        <v>345</v>
      </c>
      <c r="E445" s="62"/>
      <c r="F445" s="57" t="s">
        <v>102</v>
      </c>
      <c r="G445" s="57" t="s">
        <v>55</v>
      </c>
      <c r="I445" s="61" t="s">
        <v>102</v>
      </c>
      <c r="J445" s="57" t="s">
        <v>55</v>
      </c>
    </row>
    <row r="446" spans="1:14">
      <c r="A446" s="665"/>
      <c r="B446" s="70" t="s">
        <v>103</v>
      </c>
      <c r="C446" s="74" t="s">
        <v>103</v>
      </c>
      <c r="D446" s="46"/>
      <c r="E446" s="52"/>
      <c r="F446" s="57" t="s">
        <v>103</v>
      </c>
      <c r="G446" s="57" t="s">
        <v>103</v>
      </c>
      <c r="I446" s="63" t="s">
        <v>103</v>
      </c>
      <c r="J446" s="63" t="s">
        <v>103</v>
      </c>
    </row>
    <row r="447" spans="1:14">
      <c r="A447" s="32" t="s">
        <v>35</v>
      </c>
      <c r="B447" s="70">
        <f>GETPIVOTDATA("Répondant",Croisements!$A$571,"Question 26",1,"Question 30",1)</f>
        <v>4</v>
      </c>
      <c r="C447" s="70">
        <f>GETPIVOTDATA("Répondant",Croisements!$A$571,"Question 26",1,"Question 30",2)</f>
        <v>4</v>
      </c>
      <c r="D447" s="57">
        <f>B447+C447</f>
        <v>8</v>
      </c>
      <c r="E447" s="62"/>
      <c r="F447" s="65">
        <f>D447*B449/D449</f>
        <v>3.7333333333333334</v>
      </c>
      <c r="G447" s="65">
        <f>D447*C449/D449</f>
        <v>4.2666666666666666</v>
      </c>
      <c r="I447" s="65">
        <f>POWER(B447-F447,2)/F447</f>
        <v>1.9047619047619039E-2</v>
      </c>
      <c r="J447" s="65">
        <f>POWER(C447-G447,2)/G447</f>
        <v>1.6666666666666659E-2</v>
      </c>
      <c r="L447" s="66">
        <f>I447+J447+I448+J448</f>
        <v>7.6530612244897919E-2</v>
      </c>
      <c r="M447" s="66">
        <f>CHIDIST(L447,1)</f>
        <v>0.78205526672157311</v>
      </c>
      <c r="N447" s="93" t="str">
        <f>IF(M447&lt;0.05,ROUND(M447,2),IF(M447&gt;0.051,CONCATENATE(ROUND(M447,2),"*")))</f>
        <v>0.78*</v>
      </c>
    </row>
    <row r="448" spans="1:14">
      <c r="A448" s="32" t="s">
        <v>36</v>
      </c>
      <c r="B448" s="70">
        <f>GETPIVOTDATA("Répondant",Croisements!$A$571,"Question 26",2,"Question 30",1)</f>
        <v>3</v>
      </c>
      <c r="C448" s="70">
        <f>GETPIVOTDATA("Répondant",Croisements!$A$571,"Question 26",2,"Question 30",2)</f>
        <v>4</v>
      </c>
      <c r="D448" s="57">
        <f>B448+C448</f>
        <v>7</v>
      </c>
      <c r="E448" s="62"/>
      <c r="F448" s="65">
        <f>D448*B449/D449</f>
        <v>3.2666666666666666</v>
      </c>
      <c r="G448" s="65">
        <f>D448*C449/D449</f>
        <v>3.7333333333333334</v>
      </c>
      <c r="I448" s="65">
        <f>POWER(B448-F448,2)/F448</f>
        <v>2.1768707482993189E-2</v>
      </c>
      <c r="J448" s="65">
        <f>POWER(C448-G448,2)/G448</f>
        <v>1.9047619047619039E-2</v>
      </c>
    </row>
    <row r="449" spans="1:17">
      <c r="A449" s="46" t="s">
        <v>345</v>
      </c>
      <c r="B449" s="57">
        <f>B447+B448</f>
        <v>7</v>
      </c>
      <c r="C449" s="57">
        <f>C447+C448</f>
        <v>8</v>
      </c>
      <c r="D449" s="57">
        <f>B447+B448+C447+C448</f>
        <v>15</v>
      </c>
      <c r="E449" s="62"/>
    </row>
    <row r="451" spans="1:17">
      <c r="A451" s="324" t="s">
        <v>513</v>
      </c>
      <c r="B451" s="54"/>
      <c r="C451" s="54"/>
      <c r="D451" s="54"/>
      <c r="E451" s="54"/>
      <c r="F451" s="54"/>
      <c r="G451" s="54"/>
      <c r="H451" s="54"/>
      <c r="I451" s="54"/>
    </row>
    <row r="452" spans="1:17">
      <c r="A452" s="367" t="s">
        <v>636</v>
      </c>
      <c r="B452" s="82"/>
      <c r="C452" s="82"/>
      <c r="D452" s="83"/>
      <c r="E452" s="83"/>
    </row>
    <row r="453" spans="1:17">
      <c r="A453" s="669"/>
      <c r="B453" s="69" t="s">
        <v>102</v>
      </c>
      <c r="C453" s="69" t="s">
        <v>55</v>
      </c>
      <c r="D453" s="57" t="s">
        <v>345</v>
      </c>
      <c r="E453" s="62"/>
      <c r="F453" s="57" t="s">
        <v>102</v>
      </c>
      <c r="G453" s="57" t="s">
        <v>55</v>
      </c>
      <c r="I453" s="61" t="s">
        <v>102</v>
      </c>
      <c r="J453" s="57" t="s">
        <v>55</v>
      </c>
    </row>
    <row r="454" spans="1:17">
      <c r="A454" s="665"/>
      <c r="B454" s="70" t="s">
        <v>103</v>
      </c>
      <c r="C454" s="74" t="s">
        <v>103</v>
      </c>
      <c r="D454" s="46"/>
      <c r="E454" s="52"/>
      <c r="F454" s="57" t="s">
        <v>103</v>
      </c>
      <c r="G454" s="57" t="s">
        <v>103</v>
      </c>
      <c r="I454" s="63" t="s">
        <v>103</v>
      </c>
      <c r="J454" s="63" t="s">
        <v>103</v>
      </c>
    </row>
    <row r="455" spans="1:17">
      <c r="A455" s="32" t="s">
        <v>254</v>
      </c>
      <c r="B455" s="70">
        <f>GETPIVOTDATA("Répondant",Croisements!$A$582,"Question 27",1,"Question 30",1)</f>
        <v>1</v>
      </c>
      <c r="C455" s="70">
        <f>GETPIVOTDATA("Répondant",Croisements!$A$582,"Question 27",1,"Question 30",2)</f>
        <v>2</v>
      </c>
      <c r="D455" s="57">
        <f>B455+C455</f>
        <v>3</v>
      </c>
      <c r="E455" s="62"/>
      <c r="F455" s="65">
        <f>D455*$B$460/$D$460</f>
        <v>1.2857142857142858</v>
      </c>
      <c r="G455" s="65">
        <f>D455*$C$460/$D$460</f>
        <v>1.7142857142857142</v>
      </c>
      <c r="I455" s="65">
        <f t="shared" ref="I455:J459" si="8">POWER(B455-F455,2)/F455</f>
        <v>6.349206349206353E-2</v>
      </c>
      <c r="J455" s="65">
        <f t="shared" si="8"/>
        <v>4.7619047619047651E-2</v>
      </c>
      <c r="L455" s="66">
        <f>I455+J455+I456+J456+I457+J457+I458+J458+I459+J459</f>
        <v>4.1319444444444446</v>
      </c>
      <c r="M455" s="66">
        <f>CHIDIST(L455,1)</f>
        <v>4.2080972528571799E-2</v>
      </c>
      <c r="N455" s="93">
        <f>IF(M455&lt;0.05,ROUND(M455,2),IF(M455&gt;0.051,CONCATENATE(ROUND(M455,2),"*")))</f>
        <v>0.04</v>
      </c>
    </row>
    <row r="456" spans="1:17">
      <c r="A456" s="32" t="s">
        <v>255</v>
      </c>
      <c r="B456" s="70">
        <f>GETPIVOTDATA("Répondant",Croisements!$A$582,"Question 27",2,"Question 30",1)</f>
        <v>2</v>
      </c>
      <c r="C456" s="70">
        <f>GETPIVOTDATA("Répondant",Croisements!$A$582,"Question 27",2,"Question 30",2)</f>
        <v>2</v>
      </c>
      <c r="D456" s="57">
        <f t="shared" ref="D456:D458" si="9">B456+C456</f>
        <v>4</v>
      </c>
      <c r="E456" s="62"/>
      <c r="F456" s="65">
        <f>D456*$B$460/$D$460</f>
        <v>1.7142857142857142</v>
      </c>
      <c r="G456" s="65">
        <f>D456*$C$460/$D$460</f>
        <v>2.2857142857142856</v>
      </c>
      <c r="I456" s="65">
        <f t="shared" si="8"/>
        <v>4.7619047619047651E-2</v>
      </c>
      <c r="J456" s="65">
        <f t="shared" si="8"/>
        <v>3.5714285714285685E-2</v>
      </c>
    </row>
    <row r="457" spans="1:17">
      <c r="A457" s="46" t="s">
        <v>256</v>
      </c>
      <c r="B457" s="57">
        <f>GETPIVOTDATA("Répondant",Croisements!$A$582,"Question 27",3,"Question 30",1)</f>
        <v>3</v>
      </c>
      <c r="C457" s="57">
        <f>GETPIVOTDATA("Répondant",Croisements!$A$582,"Question 27",3,"Question 30",2)</f>
        <v>1</v>
      </c>
      <c r="D457" s="57">
        <f t="shared" si="9"/>
        <v>4</v>
      </c>
      <c r="E457" s="62"/>
      <c r="F457" s="65">
        <f t="shared" ref="F457:F459" si="10">D457*$B$460/$D$460</f>
        <v>1.7142857142857142</v>
      </c>
      <c r="G457" s="65">
        <f t="shared" ref="G457:G459" si="11">D457*$C$460/$D$460</f>
        <v>2.2857142857142856</v>
      </c>
      <c r="I457" s="65">
        <f>POWER(B457-F457,2)/F457</f>
        <v>0.96428571428571452</v>
      </c>
      <c r="J457" s="65">
        <f>POWER(C457-G457,2)/G457</f>
        <v>0.72321428571428559</v>
      </c>
    </row>
    <row r="458" spans="1:17">
      <c r="A458" s="46" t="s">
        <v>257</v>
      </c>
      <c r="B458" s="57">
        <f>GETPIVOTDATA("Répondant",Croisements!$A$582,"Question 27",4,"Question 30",1)</f>
        <v>0</v>
      </c>
      <c r="C458" s="57">
        <f>GETPIVOTDATA("Répondant",Croisements!$A$582,"Question 27",4,"Question 30",2)</f>
        <v>1</v>
      </c>
      <c r="D458" s="57">
        <f t="shared" si="9"/>
        <v>1</v>
      </c>
      <c r="E458" s="62"/>
      <c r="F458" s="65">
        <f t="shared" si="10"/>
        <v>0.42857142857142855</v>
      </c>
      <c r="G458" s="65">
        <f t="shared" si="11"/>
        <v>0.5714285714285714</v>
      </c>
      <c r="I458" s="65">
        <f t="shared" si="8"/>
        <v>0.42857142857142855</v>
      </c>
      <c r="J458" s="65">
        <f t="shared" si="8"/>
        <v>0.32142857142857151</v>
      </c>
    </row>
    <row r="459" spans="1:17">
      <c r="A459" s="46" t="s">
        <v>258</v>
      </c>
      <c r="B459" s="57">
        <f>GETPIVOTDATA("Répondant",Croisements!$A$582,"Question 27",5,"Question 30",1)</f>
        <v>0</v>
      </c>
      <c r="C459" s="57">
        <f>GETPIVOTDATA("Répondant",Croisements!$A$582,"Question 27",5,"Question 30",2)</f>
        <v>2</v>
      </c>
      <c r="D459" s="57">
        <f>B459+C459</f>
        <v>2</v>
      </c>
      <c r="E459" s="62"/>
      <c r="F459" s="65">
        <f t="shared" si="10"/>
        <v>0.8571428571428571</v>
      </c>
      <c r="G459" s="65">
        <f t="shared" si="11"/>
        <v>1.1428571428571428</v>
      </c>
      <c r="I459" s="65">
        <f t="shared" si="8"/>
        <v>0.8571428571428571</v>
      </c>
      <c r="J459" s="65">
        <f t="shared" si="8"/>
        <v>0.64285714285714302</v>
      </c>
    </row>
    <row r="460" spans="1:17">
      <c r="A460" s="46" t="s">
        <v>345</v>
      </c>
      <c r="B460" s="57">
        <f>B458+B459+B457+B456+B455</f>
        <v>6</v>
      </c>
      <c r="C460" s="57">
        <f>C458+C459+C457+C456+C455</f>
        <v>8</v>
      </c>
      <c r="D460" s="57">
        <f>B455+C455+B456+C456+B457+C457+B458+C458+B459+C459</f>
        <v>14</v>
      </c>
      <c r="E460" s="62"/>
    </row>
    <row r="463" spans="1:17" ht="15">
      <c r="A463" s="58" t="s">
        <v>348</v>
      </c>
      <c r="Q463" s="60" t="s">
        <v>346</v>
      </c>
    </row>
    <row r="464" spans="1:17">
      <c r="A464" s="613" t="s">
        <v>635</v>
      </c>
      <c r="B464" s="613"/>
      <c r="C464" s="613"/>
      <c r="D464" s="613"/>
      <c r="E464" s="613"/>
      <c r="F464" s="613"/>
      <c r="G464" s="613"/>
    </row>
    <row r="465" spans="1:18">
      <c r="A465" s="609" t="s">
        <v>637</v>
      </c>
      <c r="B465" s="613"/>
      <c r="C465" s="613"/>
      <c r="D465" s="613"/>
      <c r="E465" s="613"/>
      <c r="F465" s="613"/>
      <c r="G465" s="613"/>
    </row>
    <row r="466" spans="1:18">
      <c r="A466" s="664"/>
      <c r="B466" s="84" t="s">
        <v>86</v>
      </c>
      <c r="C466" s="84" t="s">
        <v>87</v>
      </c>
      <c r="D466" s="84" t="s">
        <v>90</v>
      </c>
      <c r="E466" s="57" t="s">
        <v>345</v>
      </c>
      <c r="F466" s="52"/>
      <c r="G466" s="84" t="s">
        <v>86</v>
      </c>
      <c r="H466" s="84" t="s">
        <v>87</v>
      </c>
      <c r="I466" s="84" t="s">
        <v>90</v>
      </c>
      <c r="K466" s="84" t="s">
        <v>86</v>
      </c>
      <c r="L466" s="84" t="s">
        <v>87</v>
      </c>
      <c r="M466" s="84" t="s">
        <v>90</v>
      </c>
    </row>
    <row r="467" spans="1:18">
      <c r="A467" s="665"/>
      <c r="B467" s="70" t="s">
        <v>103</v>
      </c>
      <c r="C467" s="70" t="s">
        <v>103</v>
      </c>
      <c r="D467" s="70" t="s">
        <v>103</v>
      </c>
      <c r="E467" s="70"/>
      <c r="G467" s="70" t="s">
        <v>103</v>
      </c>
      <c r="H467" s="70" t="s">
        <v>103</v>
      </c>
      <c r="I467" s="70" t="s">
        <v>103</v>
      </c>
      <c r="K467" s="70" t="s">
        <v>103</v>
      </c>
      <c r="L467" s="70" t="s">
        <v>103</v>
      </c>
      <c r="M467" s="70" t="s">
        <v>103</v>
      </c>
    </row>
    <row r="468" spans="1:18">
      <c r="A468" s="32" t="s">
        <v>1</v>
      </c>
      <c r="B468" s="70">
        <f>GETPIVOTDATA("Répondant",Croisements!$H$4,"Question E1",1,"L'âge regrouper",1)</f>
        <v>3</v>
      </c>
      <c r="C468" s="70">
        <f>GETPIVOTDATA("Répondant",Croisements!$H$4,"Question E1",1,"L'âge regrouper",2)</f>
        <v>0</v>
      </c>
      <c r="D468" s="70">
        <f>GETPIVOTDATA("Répondant",Croisements!$H$4,"Question E1",1,"L'âge regrouper",3)</f>
        <v>0</v>
      </c>
      <c r="E468" s="70">
        <f>B468+C468+D468</f>
        <v>3</v>
      </c>
      <c r="G468" s="65">
        <f>E468*B471/E471</f>
        <v>1.95</v>
      </c>
      <c r="H468" s="65">
        <f>E468*C471/E471</f>
        <v>0.75</v>
      </c>
      <c r="I468" s="65">
        <f>E468*D471/E471</f>
        <v>0.3</v>
      </c>
      <c r="K468" s="65">
        <f>POWER(B468-G468,2)/G468</f>
        <v>0.56538461538461537</v>
      </c>
      <c r="L468" s="65">
        <f>POWER(C468-H468,2)/H468</f>
        <v>0.75</v>
      </c>
      <c r="M468" s="65">
        <f t="shared" ref="M468" si="12">POWER(D468-I468,2)/I468</f>
        <v>0.3</v>
      </c>
      <c r="O468" s="66">
        <f>SUM(K468:M470)</f>
        <v>10.32167832167832</v>
      </c>
      <c r="Q468" s="66">
        <f>CHIDIST(O468,1)</f>
        <v>1.3147667407651272E-3</v>
      </c>
      <c r="R468" s="93">
        <f>IF(Q468&lt;0.05,ROUND(Q468,2),IF(Q468&gt;0.051,CONCATENATE(ROUND(Q468,2),"*")))</f>
        <v>0</v>
      </c>
    </row>
    <row r="469" spans="1:18">
      <c r="A469" s="32" t="s">
        <v>935</v>
      </c>
      <c r="B469" s="70">
        <f>GETPIVOTDATA("Répondant",Croisements!$H$4,"Question E1",2,"L'âge regrouper",1)</f>
        <v>9</v>
      </c>
      <c r="C469" s="70">
        <f>GETPIVOTDATA("Répondant",Croisements!$H$4,"Question E1",2,"L'âge regrouper",2)</f>
        <v>2</v>
      </c>
      <c r="D469" s="70">
        <f>GETPIVOTDATA("Répondant",Croisements!$H$4,"Question E1",2,"L'âge regrouper",3)</f>
        <v>0</v>
      </c>
      <c r="E469" s="70">
        <f t="shared" ref="E469:E470" si="13">B469+C469+D469</f>
        <v>11</v>
      </c>
      <c r="G469" s="65">
        <f>E469*B471/E471</f>
        <v>7.15</v>
      </c>
      <c r="H469" s="65">
        <f>E469*C471/E471</f>
        <v>2.75</v>
      </c>
      <c r="I469" s="65">
        <f>E469*D471/E471</f>
        <v>1.1000000000000001</v>
      </c>
      <c r="K469" s="65">
        <f t="shared" ref="K469:K470" si="14">POWER(B469-G469,2)/G469</f>
        <v>0.47867132867132844</v>
      </c>
      <c r="L469" s="65">
        <f>POWER(C469-H469,2)/H469</f>
        <v>0.20454545454545456</v>
      </c>
      <c r="M469" s="65">
        <f t="shared" ref="M469:M470" si="15">POWER(D469-I469,2)/I469</f>
        <v>1.1000000000000001</v>
      </c>
    </row>
    <row r="470" spans="1:18">
      <c r="A470" s="32" t="s">
        <v>2</v>
      </c>
      <c r="B470" s="70">
        <f>GETPIVOTDATA("Répondant",Croisements!$H$4,"Question E1",3,"L'âge regrouper",1)</f>
        <v>1</v>
      </c>
      <c r="C470" s="70">
        <f>GETPIVOTDATA("Répondant",Croisements!$H$4,"Question E1",3,"L'âge regrouper",2)</f>
        <v>3</v>
      </c>
      <c r="D470" s="70">
        <f>GETPIVOTDATA("Répondant",Croisements!$H$4,"Question E1",3,"L'âge regrouper",3)</f>
        <v>2</v>
      </c>
      <c r="E470" s="70">
        <f t="shared" si="13"/>
        <v>6</v>
      </c>
      <c r="G470" s="65">
        <f>E470*B471/E471</f>
        <v>3.9</v>
      </c>
      <c r="H470" s="65">
        <f>E470*C471/E471</f>
        <v>1.5</v>
      </c>
      <c r="I470" s="65">
        <f>E470*D471/E471</f>
        <v>0.6</v>
      </c>
      <c r="K470" s="65">
        <f t="shared" si="14"/>
        <v>2.1564102564102563</v>
      </c>
      <c r="L470" s="65">
        <f t="shared" ref="L470" si="16">POWER(C470-H470,2)/H470</f>
        <v>1.5</v>
      </c>
      <c r="M470" s="65">
        <f t="shared" si="15"/>
        <v>3.2666666666666662</v>
      </c>
    </row>
    <row r="471" spans="1:18">
      <c r="A471" s="46" t="s">
        <v>345</v>
      </c>
      <c r="B471" s="70">
        <f>B468+B469+B470</f>
        <v>13</v>
      </c>
      <c r="C471" s="70">
        <f t="shared" ref="C471:D471" si="17">C468+C469+C470</f>
        <v>5</v>
      </c>
      <c r="D471" s="70">
        <f t="shared" si="17"/>
        <v>2</v>
      </c>
      <c r="E471" s="70">
        <f>B468+B469+B470+C470+C469+C468+D468+D469+D470</f>
        <v>20</v>
      </c>
    </row>
    <row r="472" spans="1:18">
      <c r="A472" s="52"/>
      <c r="B472" s="62"/>
      <c r="C472" s="62"/>
      <c r="D472" s="62"/>
      <c r="E472" s="88"/>
    </row>
    <row r="473" spans="1:18">
      <c r="A473" s="613" t="s">
        <v>800</v>
      </c>
      <c r="B473" s="613"/>
      <c r="C473" s="613"/>
      <c r="D473" s="613"/>
      <c r="E473" s="613"/>
      <c r="F473" s="613"/>
      <c r="G473" s="613"/>
    </row>
    <row r="474" spans="1:18">
      <c r="A474" s="609" t="s">
        <v>637</v>
      </c>
      <c r="B474" s="613"/>
      <c r="C474" s="613"/>
      <c r="D474" s="613"/>
      <c r="E474" s="613"/>
      <c r="F474" s="613"/>
      <c r="G474" s="613"/>
    </row>
    <row r="475" spans="1:18">
      <c r="A475" s="664"/>
      <c r="B475" s="84" t="s">
        <v>86</v>
      </c>
      <c r="C475" s="84" t="s">
        <v>87</v>
      </c>
      <c r="D475" s="84" t="s">
        <v>90</v>
      </c>
      <c r="E475" s="57" t="s">
        <v>345</v>
      </c>
      <c r="F475" s="52"/>
      <c r="G475" s="84" t="s">
        <v>86</v>
      </c>
      <c r="H475" s="84" t="s">
        <v>87</v>
      </c>
      <c r="I475" s="84" t="s">
        <v>90</v>
      </c>
      <c r="K475" s="84" t="s">
        <v>86</v>
      </c>
      <c r="L475" s="84" t="s">
        <v>87</v>
      </c>
      <c r="M475" s="84" t="s">
        <v>90</v>
      </c>
    </row>
    <row r="476" spans="1:18">
      <c r="A476" s="665"/>
      <c r="B476" s="370" t="s">
        <v>103</v>
      </c>
      <c r="C476" s="370" t="s">
        <v>103</v>
      </c>
      <c r="D476" s="370" t="s">
        <v>103</v>
      </c>
      <c r="E476" s="370"/>
      <c r="G476" s="370" t="s">
        <v>103</v>
      </c>
      <c r="H476" s="370" t="s">
        <v>103</v>
      </c>
      <c r="I476" s="370" t="s">
        <v>103</v>
      </c>
      <c r="K476" s="370" t="s">
        <v>103</v>
      </c>
      <c r="L476" s="370" t="s">
        <v>103</v>
      </c>
      <c r="M476" s="370" t="s">
        <v>103</v>
      </c>
    </row>
    <row r="477" spans="1:18">
      <c r="A477" s="32" t="s">
        <v>175</v>
      </c>
      <c r="B477" s="370">
        <f>GETPIVOTDATA("Répondant",Croisements!$H$14,"Question E2",1,"L'âge regrouper",1)</f>
        <v>5</v>
      </c>
      <c r="C477" s="370">
        <f>GETPIVOTDATA("Répondant",Croisements!$H$14,"Question E2",1,"L'âge regrouper",2)</f>
        <v>3</v>
      </c>
      <c r="D477" s="370">
        <f>GETPIVOTDATA("Répondant",Croisements!$H$14,"Question E2",1,"L'âge regrouper",3)</f>
        <v>0</v>
      </c>
      <c r="E477" s="370">
        <f>B477+C477+D477</f>
        <v>8</v>
      </c>
      <c r="G477" s="65">
        <f>E477*B481/E481</f>
        <v>4.6315789473684212</v>
      </c>
      <c r="H477" s="65">
        <f>E477*C481/E481</f>
        <v>1.6842105263157894</v>
      </c>
      <c r="I477" s="65">
        <f>E477*D481/E481</f>
        <v>0.84210526315789469</v>
      </c>
      <c r="K477" s="65">
        <f t="shared" ref="K477:L479" si="18">POWER(B477-G477,2)/G477</f>
        <v>2.9306220095693749E-2</v>
      </c>
      <c r="L477" s="65">
        <f t="shared" si="18"/>
        <v>1.0279605263157898</v>
      </c>
      <c r="M477" s="65">
        <f t="shared" ref="M477:M480" si="19">POWER(D477-I477,2)/I477</f>
        <v>0.84210526315789469</v>
      </c>
      <c r="O477" s="66">
        <f>SUM(K477:M480)</f>
        <v>6.705762987012986</v>
      </c>
      <c r="Q477" s="66">
        <f>CHIDIST(O477,1)</f>
        <v>9.6101800606117893E-3</v>
      </c>
      <c r="R477" s="93">
        <f>IF(Q477&lt;0.05,ROUND(Q477,2),IF(Q477&gt;0.051,CONCATENATE(ROUND(Q477,2),"*")))</f>
        <v>0.01</v>
      </c>
    </row>
    <row r="478" spans="1:18">
      <c r="A478" s="32" t="s">
        <v>176</v>
      </c>
      <c r="B478" s="370">
        <f>GETPIVOTDATA("Répondant",Croisements!$H$14,"Question E2",2,"L'âge regrouper",1)</f>
        <v>4</v>
      </c>
      <c r="C478" s="370">
        <f>GETPIVOTDATA("Répondant",Croisements!$H$14,"Question E2",2,"L'âge regrouper",2)</f>
        <v>1</v>
      </c>
      <c r="D478" s="370">
        <f>GETPIVOTDATA("Répondant",Croisements!$H$14,"Question E2",2,"L'âge regrouper",3)</f>
        <v>2</v>
      </c>
      <c r="E478" s="370">
        <f t="shared" ref="E478:E480" si="20">B478+C478+D478</f>
        <v>7</v>
      </c>
      <c r="G478" s="65">
        <f>E478*B481/E481</f>
        <v>4.0526315789473681</v>
      </c>
      <c r="H478" s="65">
        <f>E478*C481/E481</f>
        <v>1.4736842105263157</v>
      </c>
      <c r="I478" s="65">
        <f>E478*$D$481/$E$481</f>
        <v>0.73684210526315785</v>
      </c>
      <c r="K478" s="65">
        <f t="shared" si="18"/>
        <v>6.8352699931646579E-4</v>
      </c>
      <c r="L478" s="65">
        <f t="shared" si="18"/>
        <v>0.15225563909774431</v>
      </c>
      <c r="M478" s="65">
        <f t="shared" si="19"/>
        <v>2.1654135338345863</v>
      </c>
    </row>
    <row r="479" spans="1:18">
      <c r="A479" s="32" t="s">
        <v>177</v>
      </c>
      <c r="B479" s="370">
        <f>GETPIVOTDATA("Répondant",Croisements!$H$14,"Question E2",3,"L'âge regrouper",1)</f>
        <v>2</v>
      </c>
      <c r="C479" s="370">
        <f>GETPIVOTDATA("Répondant",Croisements!$H$14,"Question E2",3,"L'âge regrouper",2)</f>
        <v>0</v>
      </c>
      <c r="D479" s="370">
        <f>GETPIVOTDATA("Répondant",Croisements!$H$14,"Question E2",3,"L'âge regrouper",3)</f>
        <v>0</v>
      </c>
      <c r="E479" s="370">
        <f t="shared" si="20"/>
        <v>2</v>
      </c>
      <c r="G479" s="65">
        <f>E479*B481/E481</f>
        <v>1.1578947368421053</v>
      </c>
      <c r="H479" s="65">
        <f>E479*C481/E481</f>
        <v>0.42105263157894735</v>
      </c>
      <c r="I479" s="65">
        <f>E479*$D$481/$E$481</f>
        <v>0.21052631578947367</v>
      </c>
      <c r="K479" s="65">
        <f t="shared" si="18"/>
        <v>0.61244019138755967</v>
      </c>
      <c r="L479" s="65">
        <f t="shared" si="18"/>
        <v>0.42105263157894735</v>
      </c>
      <c r="M479" s="65">
        <f t="shared" si="19"/>
        <v>0.21052631578947367</v>
      </c>
    </row>
    <row r="480" spans="1:18">
      <c r="A480" s="32" t="s">
        <v>801</v>
      </c>
      <c r="B480" s="370">
        <f>GETPIVOTDATA("Répondant",Croisements!$H$14,"Question E2",4,"L'âge regrouper",1)</f>
        <v>2</v>
      </c>
      <c r="C480" s="370">
        <f>GETPIVOTDATA("Répondant",Croisements!$H$14,"Question E2",4,"L'âge regrouper",2)</f>
        <v>0</v>
      </c>
      <c r="D480" s="370">
        <f>GETPIVOTDATA("Répondant",Croisements!$H$14,"Question E2",4,"L'âge regrouper",3)</f>
        <v>0</v>
      </c>
      <c r="E480" s="370">
        <f t="shared" si="20"/>
        <v>2</v>
      </c>
      <c r="G480" s="65">
        <f>E480*B481/E481</f>
        <v>1.1578947368421053</v>
      </c>
      <c r="H480" s="65">
        <f>E480*C481/E481</f>
        <v>0.42105263157894735</v>
      </c>
      <c r="I480" s="65">
        <f>E480*D481/E481</f>
        <v>0.21052631578947367</v>
      </c>
      <c r="K480" s="65">
        <f t="shared" ref="K480" si="21">POWER(B480-G480,2)/G480</f>
        <v>0.61244019138755967</v>
      </c>
      <c r="L480" s="65">
        <f t="shared" ref="L480" si="22">POWER(C480-H480,2)/H480</f>
        <v>0.42105263157894735</v>
      </c>
      <c r="M480" s="65">
        <f t="shared" si="19"/>
        <v>0.21052631578947367</v>
      </c>
    </row>
    <row r="481" spans="1:18">
      <c r="A481" s="46" t="s">
        <v>345</v>
      </c>
      <c r="B481" s="370">
        <f>B477+B478+B480</f>
        <v>11</v>
      </c>
      <c r="C481" s="370">
        <f t="shared" ref="C481:D481" si="23">C477+C478+C480</f>
        <v>4</v>
      </c>
      <c r="D481" s="370">
        <f t="shared" si="23"/>
        <v>2</v>
      </c>
      <c r="E481" s="370">
        <f>B477+B478+B480+C480+C478+C477+D477+D478+D480+B479+C479+D479</f>
        <v>19</v>
      </c>
    </row>
    <row r="482" spans="1:18">
      <c r="A482" s="52"/>
      <c r="B482" s="62"/>
      <c r="C482" s="62"/>
      <c r="D482" s="62"/>
      <c r="E482" s="62"/>
    </row>
    <row r="483" spans="1:18">
      <c r="A483" s="623" t="s">
        <v>725</v>
      </c>
      <c r="B483" s="623"/>
      <c r="C483" s="623"/>
      <c r="D483" s="623"/>
      <c r="E483" s="623"/>
      <c r="F483" s="623"/>
      <c r="G483" s="623"/>
    </row>
    <row r="484" spans="1:18">
      <c r="A484" s="609" t="s">
        <v>637</v>
      </c>
      <c r="B484" s="609"/>
      <c r="C484" s="609"/>
      <c r="D484" s="609"/>
      <c r="E484" s="613"/>
      <c r="F484" s="613"/>
      <c r="G484" s="613"/>
    </row>
    <row r="485" spans="1:18">
      <c r="A485" s="664"/>
      <c r="B485" s="81" t="s">
        <v>86</v>
      </c>
      <c r="C485" s="81" t="s">
        <v>87</v>
      </c>
      <c r="D485" s="84" t="s">
        <v>90</v>
      </c>
      <c r="E485" s="57" t="s">
        <v>345</v>
      </c>
      <c r="F485" s="52"/>
      <c r="G485" s="84" t="s">
        <v>86</v>
      </c>
      <c r="H485" s="84" t="s">
        <v>87</v>
      </c>
      <c r="I485" s="84" t="s">
        <v>90</v>
      </c>
      <c r="K485" s="84" t="s">
        <v>86</v>
      </c>
      <c r="L485" s="84" t="s">
        <v>87</v>
      </c>
      <c r="M485" s="84" t="s">
        <v>90</v>
      </c>
    </row>
    <row r="486" spans="1:18">
      <c r="A486" s="665"/>
      <c r="B486" s="70" t="s">
        <v>103</v>
      </c>
      <c r="C486" s="74" t="s">
        <v>103</v>
      </c>
      <c r="D486" s="74" t="s">
        <v>103</v>
      </c>
      <c r="E486" s="70"/>
      <c r="G486" s="70" t="s">
        <v>103</v>
      </c>
      <c r="H486" s="70" t="s">
        <v>103</v>
      </c>
      <c r="I486" s="70" t="s">
        <v>103</v>
      </c>
      <c r="K486" s="70" t="s">
        <v>103</v>
      </c>
      <c r="L486" s="70" t="s">
        <v>103</v>
      </c>
      <c r="M486" s="70" t="s">
        <v>103</v>
      </c>
    </row>
    <row r="487" spans="1:18">
      <c r="A487" s="40" t="s">
        <v>71</v>
      </c>
      <c r="B487" s="70">
        <f>GETPIVOTDATA("Répondant",Croisements!$H$25,"Question 1",1,"L'âge regrouper",1)+GETPIVOTDATA("Répondant",Croisements!$H$25,"Question 1",2,"L'âge regrouper",1)</f>
        <v>7</v>
      </c>
      <c r="C487" s="70">
        <f>GETPIVOTDATA("Répondant",Croisements!$H$25,"Question 1",1,"L'âge regrouper",2)+GETPIVOTDATA("Répondant",Croisements!$H$25,"Question 1",2,"L'âge regrouper",2)</f>
        <v>4</v>
      </c>
      <c r="D487" s="70">
        <f>GETPIVOTDATA("Répondant",Croisements!$H$25,"Question 1",1,"L'âge regrouper",3)+GETPIVOTDATA("Répondant",Croisements!$H$25,"Question 1",2,"L'âge regrouper",3)</f>
        <v>0</v>
      </c>
      <c r="E487" s="70">
        <f>B487+C487+D487</f>
        <v>11</v>
      </c>
      <c r="G487" s="65">
        <f>E487*B489/E489</f>
        <v>7.15</v>
      </c>
      <c r="H487" s="65">
        <f>E487*C489/E489</f>
        <v>2.75</v>
      </c>
      <c r="I487" s="65">
        <f>E487*D489/E489</f>
        <v>1.1000000000000001</v>
      </c>
      <c r="K487" s="65">
        <f>POWER(B487-G487,2)/G487</f>
        <v>3.1468531468531618E-3</v>
      </c>
      <c r="L487" s="65">
        <f t="shared" ref="L487:M488" si="24">POWER(C487-H487,2)/H487</f>
        <v>0.56818181818181823</v>
      </c>
      <c r="M487" s="65">
        <f t="shared" si="24"/>
        <v>1.1000000000000001</v>
      </c>
      <c r="O487" s="66">
        <f>SUM(K487:M488)</f>
        <v>3.7140637140637143</v>
      </c>
      <c r="Q487" s="66">
        <f>CHIDIST(O487,1)</f>
        <v>5.3955877600413968E-2</v>
      </c>
      <c r="R487" s="93" t="str">
        <f>IF(Q487&lt;0.05,ROUND(Q487,2),IF(Q487&gt;0.051,CONCATENATE(ROUND(Q487,2),"*")))</f>
        <v>0.05*</v>
      </c>
    </row>
    <row r="488" spans="1:18">
      <c r="A488" s="42" t="s">
        <v>72</v>
      </c>
      <c r="B488" s="70">
        <f>GETPIVOTDATA("Répondant",Croisements!$H$25,"Question 1",3,"L'âge regrouper",1)+GETPIVOTDATA("Répondant",Croisements!$H$25,"Question 1",4,"L'âge regrouper",1)</f>
        <v>6</v>
      </c>
      <c r="C488" s="327">
        <f>GETPIVOTDATA("Répondant",Croisements!$H$25,"Question 1",3,"L'âge regrouper",2)+GETPIVOTDATA("Répondant",Croisements!$H$25,"Question 1",4,"L'âge regrouper",2)</f>
        <v>1</v>
      </c>
      <c r="D488" s="327">
        <f>GETPIVOTDATA("Répondant",Croisements!$H$25,"Question 1",3,"L'âge regrouper",3)+GETPIVOTDATA("Répondant",Croisements!$H$25,"Question 1",4,"L'âge regrouper",3)</f>
        <v>2</v>
      </c>
      <c r="E488" s="70">
        <f t="shared" ref="E488" si="25">B488+C488+D488</f>
        <v>9</v>
      </c>
      <c r="G488" s="65">
        <f>E488*B489/E489</f>
        <v>5.85</v>
      </c>
      <c r="H488" s="65">
        <f>E488*C489/E489</f>
        <v>2.25</v>
      </c>
      <c r="I488" s="65">
        <f>E488*D489/E489</f>
        <v>0.9</v>
      </c>
      <c r="K488" s="65">
        <f>POWER(B488-G488,2)/G488</f>
        <v>3.8461538461538646E-3</v>
      </c>
      <c r="L488" s="65">
        <f t="shared" si="24"/>
        <v>0.69444444444444442</v>
      </c>
      <c r="M488" s="65">
        <f t="shared" si="24"/>
        <v>1.3444444444444446</v>
      </c>
    </row>
    <row r="489" spans="1:18">
      <c r="A489" s="46" t="s">
        <v>345</v>
      </c>
      <c r="B489" s="70">
        <f>B487+B488</f>
        <v>13</v>
      </c>
      <c r="C489" s="70">
        <f>C487+C488</f>
        <v>5</v>
      </c>
      <c r="D489" s="70">
        <f>D487+D488</f>
        <v>2</v>
      </c>
      <c r="E489" s="70">
        <f>B487+B488+C487+C488+D488+D487</f>
        <v>20</v>
      </c>
      <c r="G489" s="52"/>
      <c r="H489" s="52"/>
      <c r="I489" s="52"/>
    </row>
    <row r="491" spans="1:18">
      <c r="A491" s="590" t="s">
        <v>802</v>
      </c>
      <c r="B491" s="590"/>
      <c r="C491" s="590"/>
      <c r="D491" s="590"/>
      <c r="E491" s="590"/>
      <c r="F491" s="590"/>
      <c r="G491" s="590"/>
    </row>
    <row r="492" spans="1:18">
      <c r="A492" s="609" t="s">
        <v>637</v>
      </c>
      <c r="B492" s="609"/>
      <c r="C492" s="609"/>
      <c r="D492" s="609"/>
      <c r="E492" s="613"/>
      <c r="F492" s="613"/>
      <c r="G492" s="613"/>
    </row>
    <row r="493" spans="1:18">
      <c r="A493" s="664"/>
      <c r="B493" s="81" t="s">
        <v>86</v>
      </c>
      <c r="C493" s="81" t="s">
        <v>87</v>
      </c>
      <c r="D493" s="84" t="s">
        <v>90</v>
      </c>
      <c r="E493" s="57" t="s">
        <v>345</v>
      </c>
      <c r="F493" s="52"/>
      <c r="G493" s="84" t="s">
        <v>86</v>
      </c>
      <c r="H493" s="84" t="s">
        <v>87</v>
      </c>
      <c r="I493" s="84" t="s">
        <v>90</v>
      </c>
      <c r="K493" s="84" t="s">
        <v>86</v>
      </c>
      <c r="L493" s="84" t="s">
        <v>87</v>
      </c>
      <c r="M493" s="84" t="s">
        <v>90</v>
      </c>
    </row>
    <row r="494" spans="1:18">
      <c r="A494" s="665"/>
      <c r="B494" s="70" t="s">
        <v>103</v>
      </c>
      <c r="C494" s="74" t="s">
        <v>103</v>
      </c>
      <c r="D494" s="74" t="s">
        <v>103</v>
      </c>
      <c r="E494" s="70"/>
      <c r="G494" s="70" t="s">
        <v>103</v>
      </c>
      <c r="H494" s="70" t="s">
        <v>103</v>
      </c>
      <c r="I494" s="70" t="s">
        <v>103</v>
      </c>
      <c r="K494" s="70" t="s">
        <v>103</v>
      </c>
      <c r="L494" s="70" t="s">
        <v>103</v>
      </c>
      <c r="M494" s="70" t="s">
        <v>103</v>
      </c>
    </row>
    <row r="495" spans="1:18">
      <c r="A495" s="40" t="s">
        <v>3</v>
      </c>
      <c r="B495" s="70">
        <f>GETPIVOTDATA("Répondant",Croisements!$H$35,"Question 2",1,"L'âge regrouper",1)</f>
        <v>3</v>
      </c>
      <c r="C495" s="70">
        <f>GETPIVOTDATA("Répondant",Croisements!$H$35,"Question 2",1,"L'âge regrouper",2)</f>
        <v>3</v>
      </c>
      <c r="D495" s="70">
        <f>GETPIVOTDATA("Répondant",Croisements!$H$35,"Question 2",1,"L'âge regrouper",3)</f>
        <v>0</v>
      </c>
      <c r="E495" s="70">
        <f>B495+C495+D495</f>
        <v>6</v>
      </c>
      <c r="G495" s="65">
        <f>E495*B498/E498</f>
        <v>3.5294117647058822</v>
      </c>
      <c r="H495" s="65">
        <f>E495*C498/E498</f>
        <v>1.7647058823529411</v>
      </c>
      <c r="I495" s="65">
        <f>E495*D498/E498</f>
        <v>0.70588235294117652</v>
      </c>
      <c r="K495" s="65">
        <f>POWER(B495-G495,2)/G495</f>
        <v>7.9411764705882334E-2</v>
      </c>
      <c r="L495" s="65">
        <f>POWER(C495-H495,2)/H495</f>
        <v>0.86470588235294121</v>
      </c>
      <c r="M495" s="65">
        <f t="shared" ref="M495:M497" si="26">POWER(D495-I495,2)/I495</f>
        <v>0.70588235294117652</v>
      </c>
      <c r="O495" s="66">
        <f>SUM(K495:M497)</f>
        <v>4.5535714285714288</v>
      </c>
      <c r="Q495" s="66">
        <f>CHIDIST(O495,1)</f>
        <v>3.2850157560644008E-2</v>
      </c>
      <c r="R495" s="93">
        <f>IF(Q495&lt;0.05,ROUND(Q495,2),IF(Q495&gt;0.051,CONCATENATE(ROUND(Q495,2),"*")))</f>
        <v>0.03</v>
      </c>
    </row>
    <row r="496" spans="1:18">
      <c r="A496" s="41" t="s">
        <v>4</v>
      </c>
      <c r="B496" s="370">
        <f>GETPIVOTDATA("Répondant",Croisements!$H$35,"Question 2",2,"L'âge regrouper",1)</f>
        <v>4</v>
      </c>
      <c r="C496" s="370">
        <f>GETPIVOTDATA("Répondant",Croisements!$H$35,"Question 2",2,"L'âge regrouper",2)</f>
        <v>1</v>
      </c>
      <c r="D496" s="370">
        <f>GETPIVOTDATA("Répondant",Croisements!$H$35,"Question 2",2,"L'âge regrouper",3)</f>
        <v>2</v>
      </c>
      <c r="E496" s="70">
        <f t="shared" ref="E496:E497" si="27">B496+C496+D496</f>
        <v>7</v>
      </c>
      <c r="G496" s="65">
        <f>E496*B498/E498</f>
        <v>4.117647058823529</v>
      </c>
      <c r="H496" s="65">
        <f>E496*C498/E498</f>
        <v>2.0588235294117645</v>
      </c>
      <c r="I496" s="65">
        <f>E496*D498/E498</f>
        <v>0.82352941176470584</v>
      </c>
      <c r="K496" s="65">
        <f t="shared" ref="K496:K497" si="28">POWER(B496-G496,2)/G496</f>
        <v>3.3613445378151024E-3</v>
      </c>
      <c r="L496" s="65">
        <f>POWER(C496-H496,2)/H496</f>
        <v>0.54453781512605026</v>
      </c>
      <c r="M496" s="65">
        <f t="shared" si="26"/>
        <v>1.6806722689075633</v>
      </c>
    </row>
    <row r="497" spans="1:18">
      <c r="A497" s="48" t="s">
        <v>5</v>
      </c>
      <c r="B497" s="370">
        <f>GETPIVOTDATA("Répondant",Croisements!$H$35,"Question 2",3,"L'âge regrouper",1)</f>
        <v>3</v>
      </c>
      <c r="C497" s="370">
        <f>GETPIVOTDATA("Répondant",Croisements!$H$35,"Question 2",3,"L'âge regrouper",2)</f>
        <v>1</v>
      </c>
      <c r="D497" s="370">
        <f>GETPIVOTDATA("Répondant",Croisements!$H$35,"Question 2",3,"L'âge regrouper",3)</f>
        <v>0</v>
      </c>
      <c r="E497" s="70">
        <f t="shared" si="27"/>
        <v>4</v>
      </c>
      <c r="G497" s="65">
        <f>E497*B498/E498</f>
        <v>2.3529411764705883</v>
      </c>
      <c r="H497" s="65">
        <f>E497*C498/E498</f>
        <v>1.1764705882352942</v>
      </c>
      <c r="I497" s="65">
        <f>E497*D498/E498</f>
        <v>0.47058823529411764</v>
      </c>
      <c r="K497" s="65">
        <f t="shared" si="28"/>
        <v>0.17794117647058819</v>
      </c>
      <c r="L497" s="65">
        <f t="shared" ref="L497" si="29">POWER(C497-H497,2)/H497</f>
        <v>2.6470588235294128E-2</v>
      </c>
      <c r="M497" s="65">
        <f t="shared" si="26"/>
        <v>0.47058823529411764</v>
      </c>
    </row>
    <row r="498" spans="1:18">
      <c r="A498" s="46" t="s">
        <v>345</v>
      </c>
      <c r="B498" s="70">
        <f>B495+B496+B497</f>
        <v>10</v>
      </c>
      <c r="C498" s="70">
        <f t="shared" ref="C498" si="30">C495+C496+C497</f>
        <v>5</v>
      </c>
      <c r="D498" s="70">
        <f t="shared" ref="D498" si="31">D495+D496+D497</f>
        <v>2</v>
      </c>
      <c r="E498" s="70">
        <f>B495+B496+B497+C497+C496+C495+D495+D496+D497</f>
        <v>17</v>
      </c>
    </row>
    <row r="500" spans="1:18">
      <c r="A500" s="621" t="s">
        <v>766</v>
      </c>
      <c r="B500" s="621"/>
      <c r="C500" s="621"/>
      <c r="D500" s="621"/>
      <c r="E500" s="621"/>
      <c r="F500" s="621"/>
      <c r="G500" s="621"/>
      <c r="H500" s="621"/>
      <c r="I500" s="621"/>
      <c r="J500" s="621"/>
      <c r="K500" s="621"/>
      <c r="L500" s="621"/>
    </row>
    <row r="501" spans="1:18">
      <c r="A501" s="609" t="s">
        <v>637</v>
      </c>
      <c r="B501" s="609"/>
      <c r="C501" s="609"/>
      <c r="D501" s="609"/>
      <c r="E501" s="613"/>
      <c r="F501" s="613"/>
      <c r="G501" s="613"/>
    </row>
    <row r="502" spans="1:18">
      <c r="A502" s="664"/>
      <c r="B502" s="81" t="s">
        <v>86</v>
      </c>
      <c r="C502" s="81" t="s">
        <v>87</v>
      </c>
      <c r="D502" s="84" t="s">
        <v>90</v>
      </c>
      <c r="E502" s="57" t="s">
        <v>345</v>
      </c>
      <c r="F502" s="52"/>
      <c r="G502" s="84" t="s">
        <v>86</v>
      </c>
      <c r="H502" s="84" t="s">
        <v>87</v>
      </c>
      <c r="I502" s="84" t="s">
        <v>90</v>
      </c>
      <c r="K502" s="84" t="s">
        <v>86</v>
      </c>
      <c r="L502" s="84" t="s">
        <v>87</v>
      </c>
      <c r="M502" s="84" t="s">
        <v>90</v>
      </c>
    </row>
    <row r="503" spans="1:18">
      <c r="A503" s="665"/>
      <c r="B503" s="70" t="s">
        <v>103</v>
      </c>
      <c r="C503" s="74" t="s">
        <v>103</v>
      </c>
      <c r="D503" s="74" t="s">
        <v>103</v>
      </c>
      <c r="E503" s="70"/>
      <c r="G503" s="70" t="s">
        <v>103</v>
      </c>
      <c r="H503" s="70" t="s">
        <v>103</v>
      </c>
      <c r="I503" s="70" t="s">
        <v>103</v>
      </c>
      <c r="K503" s="70" t="s">
        <v>103</v>
      </c>
      <c r="L503" s="70" t="s">
        <v>103</v>
      </c>
      <c r="M503" s="70" t="s">
        <v>103</v>
      </c>
    </row>
    <row r="504" spans="1:18">
      <c r="A504" s="42" t="s">
        <v>75</v>
      </c>
      <c r="B504" s="70">
        <f>GETPIVOTDATA("Répondant",Croisements!$H$46,"Question 4",1,"L'âge regrouper",1)+GETPIVOTDATA("Répondant",Croisements!$H$46,"Question 4",2,"L'âge regrouper",1)</f>
        <v>7</v>
      </c>
      <c r="C504" s="70">
        <f>GETPIVOTDATA("Répondant",Croisements!$H$46,"Question 4",1,"L'âge regrouper",2)+GETPIVOTDATA("Répondant",Croisements!$H$46,"Question 4",2,"L'âge regrouper",2)</f>
        <v>2</v>
      </c>
      <c r="D504" s="70">
        <f>GETPIVOTDATA("Répondant",Croisements!$H$46,"Question 4",1,"L'âge regrouper",3)+GETPIVOTDATA("Répondant",Croisements!$H$46,"Question 4",2,"L'âge regrouper",3)</f>
        <v>2</v>
      </c>
      <c r="E504" s="70">
        <f>B504+C504+D504</f>
        <v>11</v>
      </c>
      <c r="G504" s="65">
        <f>E504*B506/E506</f>
        <v>7.15</v>
      </c>
      <c r="H504" s="65">
        <f>E504*C506/E506</f>
        <v>2.75</v>
      </c>
      <c r="I504" s="65">
        <f>E504*D506/E506</f>
        <v>1.1000000000000001</v>
      </c>
      <c r="K504" s="65">
        <f>POWER(B504-G504,2)/G504</f>
        <v>3.1468531468531618E-3</v>
      </c>
      <c r="L504" s="65">
        <f t="shared" ref="L504:L505" si="32">POWER(C504-H504,2)/H504</f>
        <v>0.20454545454545456</v>
      </c>
      <c r="M504" s="65">
        <f t="shared" ref="M504:M505" si="33">POWER(D504-I504,2)/I504</f>
        <v>0.73636363636363611</v>
      </c>
      <c r="O504" s="66">
        <f>SUM(K504:M505)</f>
        <v>2.0979020979020975</v>
      </c>
      <c r="Q504" s="66">
        <f>CHIDIST(O504,1)</f>
        <v>0.14750139990263281</v>
      </c>
      <c r="R504" s="93" t="str">
        <f>IF(Q504&lt;0.05,ROUND(Q504,2),IF(Q504&gt;0.051,CONCATENATE(ROUND(Q504,2),"*")))</f>
        <v>0.15*</v>
      </c>
    </row>
    <row r="505" spans="1:18">
      <c r="A505" s="42" t="s">
        <v>76</v>
      </c>
      <c r="B505" s="70">
        <f>GETPIVOTDATA("Répondant",Croisements!$H$46,"Question 4",3,"L'âge regrouper",1)+GETPIVOTDATA("Répondant",Croisements!$H$46,"Question 4",4,"L'âge regrouper",1)</f>
        <v>6</v>
      </c>
      <c r="C505" s="70">
        <f>GETPIVOTDATA("Répondant",Croisements!$H$46,"Question 4",3,"L'âge regrouper",2)+GETPIVOTDATA("Répondant",Croisements!$H$46,"Question 4",4,"L'âge regrouper",2)</f>
        <v>3</v>
      </c>
      <c r="D505" s="70">
        <f>GETPIVOTDATA("Répondant",Croisements!$H$46,"Question 4",3,"L'âge regrouper",3)+GETPIVOTDATA("Répondant",Croisements!$H$46,"Question 4",4,"L'âge regrouper",3)</f>
        <v>0</v>
      </c>
      <c r="E505" s="70">
        <f t="shared" ref="E505" si="34">B505+C505+D505</f>
        <v>9</v>
      </c>
      <c r="G505" s="65">
        <f>E505*B506/E506</f>
        <v>5.85</v>
      </c>
      <c r="H505" s="65">
        <f>E505*C506/E506</f>
        <v>2.25</v>
      </c>
      <c r="I505" s="65">
        <f>E505*D506/E506</f>
        <v>0.9</v>
      </c>
      <c r="K505" s="65">
        <f>POWER(B505-G505,2)/G505</f>
        <v>3.8461538461538646E-3</v>
      </c>
      <c r="L505" s="65">
        <f t="shared" si="32"/>
        <v>0.25</v>
      </c>
      <c r="M505" s="65">
        <f t="shared" si="33"/>
        <v>0.9</v>
      </c>
    </row>
    <row r="506" spans="1:18">
      <c r="A506" s="46" t="s">
        <v>345</v>
      </c>
      <c r="B506" s="70">
        <f>B504+B505</f>
        <v>13</v>
      </c>
      <c r="C506" s="70">
        <f>C504+C505</f>
        <v>5</v>
      </c>
      <c r="D506" s="70">
        <f>D504+D505</f>
        <v>2</v>
      </c>
      <c r="E506" s="70">
        <f>B504+B505+C504+C505+D505+D504</f>
        <v>20</v>
      </c>
    </row>
    <row r="508" spans="1:18">
      <c r="A508" s="621" t="s">
        <v>803</v>
      </c>
      <c r="B508" s="621"/>
      <c r="C508" s="621"/>
      <c r="D508" s="621"/>
      <c r="E508" s="621"/>
      <c r="F508" s="621"/>
      <c r="G508" s="621"/>
      <c r="H508" s="621"/>
      <c r="I508" s="621"/>
      <c r="J508" s="621"/>
      <c r="K508" s="621"/>
      <c r="L508" s="621"/>
      <c r="M508" s="621"/>
    </row>
    <row r="509" spans="1:18">
      <c r="A509" s="609" t="s">
        <v>637</v>
      </c>
      <c r="B509" s="609"/>
      <c r="C509" s="609"/>
      <c r="D509" s="609"/>
      <c r="E509" s="613"/>
      <c r="F509" s="613"/>
      <c r="G509" s="613"/>
    </row>
    <row r="510" spans="1:18">
      <c r="A510" s="669"/>
      <c r="B510" s="81" t="s">
        <v>86</v>
      </c>
      <c r="C510" s="81" t="s">
        <v>87</v>
      </c>
      <c r="D510" s="84" t="s">
        <v>90</v>
      </c>
      <c r="E510" s="57" t="s">
        <v>345</v>
      </c>
      <c r="F510" s="52"/>
      <c r="G510" s="84" t="s">
        <v>86</v>
      </c>
      <c r="H510" s="84" t="s">
        <v>87</v>
      </c>
      <c r="I510" s="84" t="s">
        <v>90</v>
      </c>
      <c r="K510" s="84" t="s">
        <v>86</v>
      </c>
      <c r="L510" s="84" t="s">
        <v>87</v>
      </c>
      <c r="M510" s="84" t="s">
        <v>90</v>
      </c>
    </row>
    <row r="511" spans="1:18">
      <c r="A511" s="665"/>
      <c r="B511" s="70" t="s">
        <v>103</v>
      </c>
      <c r="C511" s="74" t="s">
        <v>103</v>
      </c>
      <c r="D511" s="74" t="s">
        <v>103</v>
      </c>
      <c r="E511" s="70"/>
      <c r="G511" s="70" t="s">
        <v>103</v>
      </c>
      <c r="H511" s="70" t="s">
        <v>103</v>
      </c>
      <c r="I511" s="70" t="s">
        <v>103</v>
      </c>
      <c r="K511" s="70" t="s">
        <v>103</v>
      </c>
      <c r="L511" s="70" t="s">
        <v>103</v>
      </c>
      <c r="M511" s="70" t="s">
        <v>103</v>
      </c>
    </row>
    <row r="512" spans="1:18">
      <c r="A512" s="32" t="s">
        <v>279</v>
      </c>
      <c r="B512" s="70">
        <f>GETPIVOTDATA("Répondant",Croisements!$H$57,"Question 5.1",1,"L'âge regrouper",1)+GETPIVOTDATA("Répondant",Croisements!$H$57,"Question 5.1",2,"L'âge regrouper",1)</f>
        <v>5</v>
      </c>
      <c r="C512" s="70">
        <f>GETPIVOTDATA("Répondant",Croisements!$H$57,"Question 5.1",1,"L'âge regrouper",2)+GETPIVOTDATA("Répondant",Croisements!$H$57,"Question 5.1",2,"L'âge regrouper",2)</f>
        <v>3</v>
      </c>
      <c r="D512" s="70">
        <f>GETPIVOTDATA("Répondant",Croisements!$H$57,"Question 5.1",1,"L'âge regrouper",3)+GETPIVOTDATA("Répondant",Croisements!$H$57,"Question 5.1",2,"L'âge regrouper",3)</f>
        <v>1</v>
      </c>
      <c r="E512" s="70">
        <f>B512+C512+D512</f>
        <v>9</v>
      </c>
      <c r="G512" s="65">
        <f>E512*B514/E514</f>
        <v>6</v>
      </c>
      <c r="H512" s="65">
        <f>E512*C514/E514</f>
        <v>2.5</v>
      </c>
      <c r="I512" s="65">
        <f>E512*D514/E514</f>
        <v>0.5</v>
      </c>
      <c r="K512" s="65">
        <f>POWER(B512-G512,2)/G512</f>
        <v>0.16666666666666666</v>
      </c>
      <c r="L512" s="65">
        <f t="shared" ref="L512:L513" si="35">POWER(C512-H512,2)/H512</f>
        <v>0.1</v>
      </c>
      <c r="M512" s="65">
        <f t="shared" ref="M512:M513" si="36">POWER(D512-I512,2)/I512</f>
        <v>0.5</v>
      </c>
      <c r="O512" s="66">
        <f>SUM(K512:M513)</f>
        <v>1.5333333333333332</v>
      </c>
      <c r="Q512" s="66">
        <f>CHIDIST(O512,1)</f>
        <v>0.21561285941879382</v>
      </c>
      <c r="R512" s="93" t="str">
        <f>IF(Q512&lt;0.05,ROUND(Q512,2),IF(Q512&gt;0.051,CONCATENATE(ROUND(Q512,2),"*")))</f>
        <v>0.22*</v>
      </c>
    </row>
    <row r="513" spans="1:18">
      <c r="A513" s="32" t="s">
        <v>280</v>
      </c>
      <c r="B513" s="70">
        <f>GETPIVOTDATA("Répondant",Croisements!$H$57,"Question 5.1",3,"L'âge regrouper",1)+GETPIVOTDATA("Répondant",Croisements!$H$57,"Question 5.1",4,"L'âge regrouper",1)</f>
        <v>7</v>
      </c>
      <c r="C513" s="70">
        <f>GETPIVOTDATA("Répondant",Croisements!$H$57,"Question 5.1",3,"L'âge regrouper",2)+GETPIVOTDATA("Répondant",Croisements!$H$57,"Question 5.1",4,"L'âge regrouper",2)</f>
        <v>2</v>
      </c>
      <c r="D513" s="70">
        <f>GETPIVOTDATA("Répondant",Croisements!$H$57,"Question 5.1",3,"L'âge regrouper",3)+GETPIVOTDATA("Répondant",Croisements!$H$57,"Question 5.1",4,"L'âge regrouper",3)</f>
        <v>0</v>
      </c>
      <c r="E513" s="70">
        <f t="shared" ref="E513" si="37">B513+C513+D513</f>
        <v>9</v>
      </c>
      <c r="G513" s="65">
        <f>E513*B514/E514</f>
        <v>6</v>
      </c>
      <c r="H513" s="65">
        <f>E513*C514/E514</f>
        <v>2.5</v>
      </c>
      <c r="I513" s="65">
        <f>E513*D514/E514</f>
        <v>0.5</v>
      </c>
      <c r="K513" s="65">
        <f>POWER(B513-G513,2)/G513</f>
        <v>0.16666666666666666</v>
      </c>
      <c r="L513" s="65">
        <f t="shared" si="35"/>
        <v>0.1</v>
      </c>
      <c r="M513" s="65">
        <f t="shared" si="36"/>
        <v>0.5</v>
      </c>
    </row>
    <row r="514" spans="1:18">
      <c r="A514" s="46" t="s">
        <v>345</v>
      </c>
      <c r="B514" s="70">
        <f>B512+B513</f>
        <v>12</v>
      </c>
      <c r="C514" s="70">
        <f>C512+C513</f>
        <v>5</v>
      </c>
      <c r="D514" s="70">
        <f>D512+D513</f>
        <v>1</v>
      </c>
      <c r="E514" s="70">
        <f>B512+B513+C512+C513+D513+D512</f>
        <v>18</v>
      </c>
    </row>
    <row r="516" spans="1:18">
      <c r="A516" s="590" t="s">
        <v>804</v>
      </c>
      <c r="B516" s="590"/>
      <c r="C516" s="590"/>
      <c r="D516" s="590"/>
      <c r="E516" s="590"/>
      <c r="F516" s="590"/>
      <c r="G516" s="590"/>
      <c r="H516" s="590"/>
      <c r="I516" s="590"/>
      <c r="J516" s="590"/>
      <c r="K516" s="590"/>
      <c r="L516" s="590"/>
      <c r="M516" s="590"/>
      <c r="N516" s="590"/>
    </row>
    <row r="517" spans="1:18">
      <c r="A517" s="609" t="s">
        <v>637</v>
      </c>
      <c r="B517" s="609"/>
      <c r="C517" s="609"/>
      <c r="D517" s="609"/>
      <c r="E517" s="609"/>
      <c r="F517" s="613"/>
      <c r="G517" s="613"/>
    </row>
    <row r="518" spans="1:18">
      <c r="A518" s="664"/>
      <c r="B518" s="81" t="s">
        <v>86</v>
      </c>
      <c r="C518" s="81" t="s">
        <v>87</v>
      </c>
      <c r="D518" s="81" t="s">
        <v>90</v>
      </c>
      <c r="E518" s="57" t="s">
        <v>345</v>
      </c>
      <c r="F518" s="52"/>
      <c r="G518" s="84" t="s">
        <v>86</v>
      </c>
      <c r="H518" s="84" t="s">
        <v>87</v>
      </c>
      <c r="I518" s="84" t="s">
        <v>90</v>
      </c>
      <c r="K518" s="84" t="s">
        <v>86</v>
      </c>
      <c r="L518" s="84" t="s">
        <v>87</v>
      </c>
      <c r="M518" s="84" t="s">
        <v>90</v>
      </c>
    </row>
    <row r="519" spans="1:18">
      <c r="A519" s="665"/>
      <c r="B519" s="70" t="s">
        <v>103</v>
      </c>
      <c r="C519" s="74" t="s">
        <v>103</v>
      </c>
      <c r="D519" s="74" t="s">
        <v>103</v>
      </c>
      <c r="E519" s="70"/>
      <c r="G519" s="70" t="s">
        <v>103</v>
      </c>
      <c r="H519" s="70" t="s">
        <v>103</v>
      </c>
      <c r="I519" s="70" t="s">
        <v>103</v>
      </c>
      <c r="K519" s="70" t="s">
        <v>103</v>
      </c>
      <c r="L519" s="70" t="s">
        <v>103</v>
      </c>
      <c r="M519" s="70" t="s">
        <v>103</v>
      </c>
    </row>
    <row r="520" spans="1:18">
      <c r="A520" s="32" t="s">
        <v>279</v>
      </c>
      <c r="B520" s="70">
        <f>GETPIVOTDATA("Répondant",Croisements!$H$68,"Question 5.2",1,"L'âge regrouper",1)+GETPIVOTDATA("Répondant",Croisements!$H$68,"Question 5.2",2,"L'âge regrouper",1)</f>
        <v>5</v>
      </c>
      <c r="C520" s="70">
        <f>GETPIVOTDATA("Répondant",Croisements!$H$68,"Question 5.2",1,"L'âge regrouper",2)+GETPIVOTDATA("Répondant",Croisements!$H$68,"Question 5.2",2,"L'âge regrouper",2)</f>
        <v>2</v>
      </c>
      <c r="D520" s="70">
        <f>GETPIVOTDATA("Répondant",Croisements!$H$68,"Question 5.2",1,"L'âge regrouper",3)+GETPIVOTDATA("Répondant",Croisements!$H$68,"Question 5.2",2,"L'âge regrouper",3)</f>
        <v>1</v>
      </c>
      <c r="E520" s="70">
        <f>B520+C520+D520</f>
        <v>8</v>
      </c>
      <c r="G520" s="65">
        <f>E520*B522/E522</f>
        <v>4.666666666666667</v>
      </c>
      <c r="H520" s="65">
        <f>E520*C522/E522</f>
        <v>2</v>
      </c>
      <c r="I520" s="65">
        <f>E520*D522/E522</f>
        <v>1.3333333333333333</v>
      </c>
      <c r="K520" s="65">
        <f>POWER(B520-G520,2)/G520</f>
        <v>2.3809523809523767E-2</v>
      </c>
      <c r="L520" s="65">
        <f t="shared" ref="L520:L521" si="38">POWER(C520-H520,2)/H520</f>
        <v>0</v>
      </c>
      <c r="M520" s="65">
        <f t="shared" ref="M520:M521" si="39">POWER(D520-I520,2)/I520</f>
        <v>8.3333333333333301E-2</v>
      </c>
      <c r="O520" s="66">
        <f>SUM(K520:M521)</f>
        <v>0.3214285714285714</v>
      </c>
      <c r="Q520" s="66">
        <f>CHIDIST(O520,1)</f>
        <v>0.57075038805817402</v>
      </c>
      <c r="R520" s="93" t="str">
        <f>IF(Q520&lt;0.05,ROUND(Q520,2),IF(Q520&gt;0.051,CONCATENATE(ROUND(Q520,2),"*")))</f>
        <v>0.57*</v>
      </c>
    </row>
    <row r="521" spans="1:18">
      <c r="A521" s="32" t="s">
        <v>280</v>
      </c>
      <c r="B521" s="70">
        <f>GETPIVOTDATA("Répondant",Croisements!$H$68,"Question 5.2",3,"L'âge regrouper",1)+GETPIVOTDATA("Répondant",Croisements!$H$68,"Question 5.2",4,"L'âge regrouper",1)</f>
        <v>2</v>
      </c>
      <c r="C521" s="70">
        <f>GETPIVOTDATA("Répondant",Croisements!$H$68,"Question 5.2",3,"L'âge regrouper",2)+GETPIVOTDATA("Répondant",Croisements!$H$68,"Question 5.2",4,"L'âge regrouper",2)</f>
        <v>1</v>
      </c>
      <c r="D521" s="70">
        <f>GETPIVOTDATA("Répondant",Croisements!$H$68,"Question 5.2",3,"L'âge regrouper",3)+GETPIVOTDATA("Répondant",Croisements!$H$68,"Question 5.2",4,"L'âge regrouper",3)</f>
        <v>1</v>
      </c>
      <c r="E521" s="70">
        <f t="shared" ref="E521" si="40">B521+C521+D521</f>
        <v>4</v>
      </c>
      <c r="G521" s="65">
        <f>E521*B522/E522</f>
        <v>2.3333333333333335</v>
      </c>
      <c r="H521" s="65">
        <f>E521*C522/E522</f>
        <v>1</v>
      </c>
      <c r="I521" s="65">
        <f>E521*D522/E522</f>
        <v>0.66666666666666663</v>
      </c>
      <c r="K521" s="65">
        <f>POWER(B521-G521,2)/G521</f>
        <v>4.7619047619047658E-2</v>
      </c>
      <c r="L521" s="65">
        <f t="shared" si="38"/>
        <v>0</v>
      </c>
      <c r="M521" s="65">
        <f t="shared" si="39"/>
        <v>0.16666666666666671</v>
      </c>
    </row>
    <row r="522" spans="1:18">
      <c r="A522" s="46" t="s">
        <v>345</v>
      </c>
      <c r="B522" s="70">
        <f>B520+B521</f>
        <v>7</v>
      </c>
      <c r="C522" s="70">
        <f>C520+C521</f>
        <v>3</v>
      </c>
      <c r="D522" s="70">
        <f>D520+D521</f>
        <v>2</v>
      </c>
      <c r="E522" s="70">
        <f>B520+B521+C520+C521+D521+D520</f>
        <v>12</v>
      </c>
    </row>
    <row r="524" spans="1:18">
      <c r="A524" s="621" t="s">
        <v>769</v>
      </c>
      <c r="B524" s="621"/>
      <c r="C524" s="621"/>
      <c r="D524" s="621"/>
      <c r="E524" s="621"/>
      <c r="F524" s="621"/>
      <c r="G524" s="621"/>
      <c r="H524" s="621"/>
      <c r="I524" s="621"/>
      <c r="J524" s="621"/>
      <c r="K524" s="621"/>
      <c r="L524" s="621"/>
      <c r="M524" s="621"/>
      <c r="N524" s="621"/>
    </row>
    <row r="525" spans="1:18">
      <c r="A525" s="609" t="s">
        <v>637</v>
      </c>
      <c r="B525" s="609"/>
      <c r="C525" s="609"/>
      <c r="D525" s="609"/>
      <c r="E525" s="609"/>
      <c r="F525" s="613"/>
      <c r="G525" s="613"/>
    </row>
    <row r="526" spans="1:18">
      <c r="A526" s="669"/>
      <c r="B526" s="81" t="s">
        <v>86</v>
      </c>
      <c r="C526" s="81" t="s">
        <v>87</v>
      </c>
      <c r="D526" s="81" t="s">
        <v>90</v>
      </c>
      <c r="E526" s="57" t="s">
        <v>345</v>
      </c>
      <c r="F526" s="52"/>
      <c r="G526" s="84" t="s">
        <v>86</v>
      </c>
      <c r="H526" s="84" t="s">
        <v>87</v>
      </c>
      <c r="I526" s="84" t="s">
        <v>90</v>
      </c>
      <c r="K526" s="84" t="s">
        <v>86</v>
      </c>
      <c r="L526" s="84" t="s">
        <v>87</v>
      </c>
      <c r="M526" s="84" t="s">
        <v>90</v>
      </c>
    </row>
    <row r="527" spans="1:18">
      <c r="A527" s="665"/>
      <c r="B527" s="70" t="s">
        <v>103</v>
      </c>
      <c r="C527" s="74" t="s">
        <v>103</v>
      </c>
      <c r="D527" s="74" t="s">
        <v>103</v>
      </c>
      <c r="E527" s="70"/>
      <c r="G527" s="70" t="s">
        <v>103</v>
      </c>
      <c r="H527" s="70" t="s">
        <v>103</v>
      </c>
      <c r="I527" s="70" t="s">
        <v>103</v>
      </c>
      <c r="K527" s="70" t="s">
        <v>103</v>
      </c>
      <c r="L527" s="70" t="s">
        <v>103</v>
      </c>
      <c r="M527" s="70" t="s">
        <v>103</v>
      </c>
    </row>
    <row r="528" spans="1:18">
      <c r="A528" s="32" t="s">
        <v>279</v>
      </c>
      <c r="B528" s="70">
        <f>GETPIVOTDATA("Répondant",Croisements!$H$79,"Question 5.3",1,"L'âge regrouper",1)+GETPIVOTDATA("Répondant",Croisements!$H$79,"Question 5.3",2,"L'âge regrouper",1)</f>
        <v>4</v>
      </c>
      <c r="C528" s="70">
        <f>GETPIVOTDATA("Répondant",Croisements!$H$79,"Question 5.3",1,"L'âge regrouper",2)+GETPIVOTDATA("Répondant",Croisements!$H$79,"Question 5.3",2,"L'âge regrouper",2)</f>
        <v>4</v>
      </c>
      <c r="D528" s="70">
        <f>GETPIVOTDATA("Répondant",Croisements!$H$79,"Question 5.3",1,"L'âge regrouper",3)+GETPIVOTDATA("Répondant",Croisements!$H$79,"Question 5.3",2,"L'âge regrouper",3)</f>
        <v>1</v>
      </c>
      <c r="E528" s="70">
        <f>B528+C528+D528</f>
        <v>9</v>
      </c>
      <c r="G528" s="65">
        <f>E528*B530/E530</f>
        <v>4.8461538461538458</v>
      </c>
      <c r="H528" s="65">
        <f>E528*C530/E530</f>
        <v>2.7692307692307692</v>
      </c>
      <c r="I528" s="65">
        <f>E528*D530/E530</f>
        <v>1.3846153846153846</v>
      </c>
      <c r="K528" s="65">
        <f>POWER(B528-G528,2)/G528</f>
        <v>0.14774114774114763</v>
      </c>
      <c r="L528" s="65">
        <f t="shared" ref="L528:L529" si="41">POWER(C528-H528,2)/H528</f>
        <v>0.54700854700854706</v>
      </c>
      <c r="M528" s="65">
        <f t="shared" ref="M528:M529" si="42">POWER(D528-I528,2)/I528</f>
        <v>0.10683760683760682</v>
      </c>
      <c r="O528" s="66">
        <f>SUM(K528:M529)</f>
        <v>2.6051587301587302</v>
      </c>
      <c r="Q528" s="66">
        <f>CHIDIST(O528,1)</f>
        <v>0.10651649220206294</v>
      </c>
      <c r="R528" s="93" t="str">
        <f>IF(Q528&lt;0.05,ROUND(Q528,2),IF(Q528&gt;0.051,CONCATENATE(ROUND(Q528,2),"*")))</f>
        <v>0.11*</v>
      </c>
    </row>
    <row r="529" spans="1:18">
      <c r="A529" s="32" t="s">
        <v>280</v>
      </c>
      <c r="B529" s="70">
        <f>GETPIVOTDATA("Répondant",Croisements!$H$79,"Question 5.3",3,"L'âge regrouper",1)+GETPIVOTDATA("Répondant",Croisements!$H$79,"Question 5.3",4,"L'âge regrouper",1)</f>
        <v>3</v>
      </c>
      <c r="C529" s="70">
        <f>GETPIVOTDATA("Répondant",Croisements!$H$79,"Question 5.3",3,"L'âge regrouper",2)+GETPIVOTDATA("Répondant",Croisements!$H$79,"Question 5.3",4,"L'âge regrouper",2)</f>
        <v>0</v>
      </c>
      <c r="D529" s="70">
        <f>GETPIVOTDATA("Répondant",Croisements!$H$79,"Question 5.3",3,"L'âge regrouper",3)+GETPIVOTDATA("Répondant",Croisements!$H$79,"Question 5.3",4,"L'âge regrouper",3)</f>
        <v>1</v>
      </c>
      <c r="E529" s="70">
        <f t="shared" ref="E529" si="43">B529+C529+D529</f>
        <v>4</v>
      </c>
      <c r="G529" s="65">
        <f>E529*B530/E530</f>
        <v>2.1538461538461537</v>
      </c>
      <c r="H529" s="65">
        <f>E529*C530/E530</f>
        <v>1.2307692307692308</v>
      </c>
      <c r="I529" s="65">
        <f>E529*D530/E530</f>
        <v>0.61538461538461542</v>
      </c>
      <c r="K529" s="65">
        <f>POWER(B529-G529,2)/G529</f>
        <v>0.33241758241758251</v>
      </c>
      <c r="L529" s="65">
        <f t="shared" si="41"/>
        <v>1.2307692307692308</v>
      </c>
      <c r="M529" s="65">
        <f t="shared" si="42"/>
        <v>0.24038461538461534</v>
      </c>
    </row>
    <row r="530" spans="1:18">
      <c r="A530" s="46" t="s">
        <v>345</v>
      </c>
      <c r="B530" s="70">
        <f>B528+B529</f>
        <v>7</v>
      </c>
      <c r="C530" s="70">
        <f>C528+C529</f>
        <v>4</v>
      </c>
      <c r="D530" s="70">
        <f>D528+D529</f>
        <v>2</v>
      </c>
      <c r="E530" s="70">
        <f>B528+B529+C528+C529+D529+D528</f>
        <v>13</v>
      </c>
    </row>
    <row r="532" spans="1:18">
      <c r="A532" s="645" t="s">
        <v>770</v>
      </c>
      <c r="B532" s="645"/>
      <c r="C532" s="645"/>
      <c r="D532" s="645"/>
      <c r="E532" s="645"/>
      <c r="F532" s="645"/>
      <c r="G532" s="645"/>
      <c r="H532" s="645"/>
      <c r="I532" s="645"/>
      <c r="J532" s="645"/>
    </row>
    <row r="533" spans="1:18">
      <c r="A533" s="609" t="s">
        <v>637</v>
      </c>
      <c r="B533" s="609"/>
      <c r="C533" s="609"/>
      <c r="D533" s="609"/>
      <c r="E533" s="609"/>
      <c r="F533" s="613"/>
      <c r="G533" s="613"/>
    </row>
    <row r="534" spans="1:18">
      <c r="A534" s="664"/>
      <c r="B534" s="81" t="s">
        <v>86</v>
      </c>
      <c r="C534" s="81" t="s">
        <v>87</v>
      </c>
      <c r="D534" s="81" t="s">
        <v>90</v>
      </c>
      <c r="E534" s="57" t="s">
        <v>345</v>
      </c>
      <c r="F534" s="52"/>
      <c r="G534" s="84" t="s">
        <v>86</v>
      </c>
      <c r="H534" s="84" t="s">
        <v>87</v>
      </c>
      <c r="I534" s="84" t="s">
        <v>90</v>
      </c>
      <c r="K534" s="84" t="s">
        <v>86</v>
      </c>
      <c r="L534" s="84" t="s">
        <v>87</v>
      </c>
      <c r="M534" s="84" t="s">
        <v>90</v>
      </c>
    </row>
    <row r="535" spans="1:18">
      <c r="A535" s="665"/>
      <c r="B535" s="70" t="s">
        <v>103</v>
      </c>
      <c r="C535" s="74" t="s">
        <v>103</v>
      </c>
      <c r="D535" s="74" t="s">
        <v>103</v>
      </c>
      <c r="E535" s="70"/>
      <c r="G535" s="70" t="s">
        <v>103</v>
      </c>
      <c r="H535" s="70" t="s">
        <v>103</v>
      </c>
      <c r="I535" s="70" t="s">
        <v>103</v>
      </c>
      <c r="K535" s="70" t="s">
        <v>103</v>
      </c>
      <c r="L535" s="70" t="s">
        <v>103</v>
      </c>
      <c r="M535" s="70" t="s">
        <v>103</v>
      </c>
    </row>
    <row r="536" spans="1:18">
      <c r="A536" s="32" t="s">
        <v>279</v>
      </c>
      <c r="B536" s="70">
        <f>GETPIVOTDATA("Répondant",Croisements!$H$90,"Question 6",1,"L'âge regrouper",1)+GETPIVOTDATA("Répondant",Croisements!$H$90,"Question 6",2,"L'âge regrouper",1)</f>
        <v>3</v>
      </c>
      <c r="C536" s="70">
        <f>GETPIVOTDATA("Répondant",Croisements!$H$90,"Question 6",1,"L'âge regrouper",2)+GETPIVOTDATA("Répondant",Croisements!$H$90,"Question 6",2,"L'âge regrouper",2)</f>
        <v>3</v>
      </c>
      <c r="D536" s="70">
        <f>GETPIVOTDATA("Répondant",Croisements!$H$90,"Question 6",1,"L'âge regrouper",3)+GETPIVOTDATA("Répondant",Croisements!$H$90,"Question 6",2,"L'âge regrouper",3)</f>
        <v>1</v>
      </c>
      <c r="E536" s="70">
        <f>B536+C536+D536</f>
        <v>7</v>
      </c>
      <c r="G536" s="65">
        <f>E536*B538/E538</f>
        <v>3.1818181818181817</v>
      </c>
      <c r="H536" s="65">
        <f>E536*C538/E538</f>
        <v>2.5454545454545454</v>
      </c>
      <c r="I536" s="65">
        <f>E536*D538/E538</f>
        <v>1.2727272727272727</v>
      </c>
      <c r="K536" s="65">
        <f>POWER(B536-G536,2)/G536</f>
        <v>1.0389610389610371E-2</v>
      </c>
      <c r="L536" s="65">
        <f t="shared" ref="L536:L537" si="44">POWER(C536-H536,2)/H536</f>
        <v>8.1168831168831182E-2</v>
      </c>
      <c r="M536" s="65">
        <f t="shared" ref="M536:M537" si="45">POWER(D536-I536,2)/I536</f>
        <v>5.8441558441558433E-2</v>
      </c>
      <c r="O536" s="66">
        <f>SUM(K536:M537)</f>
        <v>0.41249999999999992</v>
      </c>
      <c r="Q536" s="66">
        <f>CHIDIST(O536,1)</f>
        <v>0.52070332379810014</v>
      </c>
      <c r="R536" s="93" t="str">
        <f>IF(Q536&lt;0.05,ROUND(Q536,2),IF(Q536&gt;0.051,CONCATENATE(ROUND(Q536,2),"*")))</f>
        <v>0.52*</v>
      </c>
    </row>
    <row r="537" spans="1:18">
      <c r="A537" s="32" t="s">
        <v>280</v>
      </c>
      <c r="B537" s="70">
        <f>GETPIVOTDATA("Répondant",Croisements!$H$90,"Question 6",3,"L'âge regrouper",1)+GETPIVOTDATA("Répondant",Croisements!$H$90,"Question 6",4,"L'âge regrouper",1)</f>
        <v>2</v>
      </c>
      <c r="C537" s="70">
        <f>GETPIVOTDATA("Répondant",Croisements!$H$90,"Question 6",3,"L'âge regrouper",2)+GETPIVOTDATA("Répondant",Croisements!$H$90,"Question 6",4,"L'âge regrouper",2)</f>
        <v>1</v>
      </c>
      <c r="D537" s="70">
        <f>GETPIVOTDATA("Répondant",Croisements!$H$90,"Question 6",3,"L'âge regrouper",3)+GETPIVOTDATA("Répondant",Croisements!$H$90,"Question 6",4,"L'âge regrouper",3)</f>
        <v>1</v>
      </c>
      <c r="E537" s="70">
        <f t="shared" ref="E537" si="46">B537+C537+D537</f>
        <v>4</v>
      </c>
      <c r="G537" s="65">
        <f>E537*B538/E538</f>
        <v>1.8181818181818181</v>
      </c>
      <c r="H537" s="65">
        <f>E537*C538/E538</f>
        <v>1.4545454545454546</v>
      </c>
      <c r="I537" s="65">
        <f>E537*D538/E538</f>
        <v>0.72727272727272729</v>
      </c>
      <c r="K537" s="65">
        <f>POWER(B537-G537,2)/G537</f>
        <v>1.8181818181818195E-2</v>
      </c>
      <c r="L537" s="65">
        <f t="shared" si="44"/>
        <v>0.14204545454545456</v>
      </c>
      <c r="M537" s="65">
        <f t="shared" si="45"/>
        <v>0.10227272727272725</v>
      </c>
    </row>
    <row r="538" spans="1:18">
      <c r="A538" s="46" t="s">
        <v>345</v>
      </c>
      <c r="B538" s="70">
        <f>B536+B537</f>
        <v>5</v>
      </c>
      <c r="C538" s="70">
        <f>C536+C537</f>
        <v>4</v>
      </c>
      <c r="D538" s="70">
        <f>D536+D537</f>
        <v>2</v>
      </c>
      <c r="E538" s="70">
        <f>B536+B537+C536+C537+D537+D536</f>
        <v>11</v>
      </c>
    </row>
    <row r="540" spans="1:18">
      <c r="A540" s="590" t="s">
        <v>816</v>
      </c>
      <c r="B540" s="590"/>
      <c r="C540" s="590"/>
      <c r="D540" s="590"/>
      <c r="E540" s="590"/>
      <c r="F540" s="590"/>
      <c r="G540" s="590"/>
      <c r="H540" s="590"/>
    </row>
    <row r="541" spans="1:18">
      <c r="A541" s="609" t="s">
        <v>637</v>
      </c>
      <c r="B541" s="609"/>
      <c r="C541" s="609"/>
      <c r="D541" s="609"/>
      <c r="E541" s="613"/>
      <c r="F541" s="613"/>
      <c r="G541" s="613"/>
    </row>
    <row r="542" spans="1:18">
      <c r="A542" s="669"/>
      <c r="B542" s="81" t="s">
        <v>86</v>
      </c>
      <c r="C542" s="81" t="s">
        <v>87</v>
      </c>
      <c r="D542" s="84" t="s">
        <v>90</v>
      </c>
      <c r="E542" s="57" t="s">
        <v>345</v>
      </c>
      <c r="F542" s="52"/>
      <c r="G542" s="84" t="s">
        <v>86</v>
      </c>
      <c r="H542" s="84" t="s">
        <v>87</v>
      </c>
      <c r="I542" s="84" t="s">
        <v>90</v>
      </c>
      <c r="K542" s="84" t="s">
        <v>86</v>
      </c>
      <c r="L542" s="84" t="s">
        <v>87</v>
      </c>
      <c r="M542" s="84" t="s">
        <v>90</v>
      </c>
    </row>
    <row r="543" spans="1:18">
      <c r="A543" s="665"/>
      <c r="B543" s="70" t="s">
        <v>103</v>
      </c>
      <c r="C543" s="74" t="s">
        <v>103</v>
      </c>
      <c r="D543" s="74" t="s">
        <v>103</v>
      </c>
      <c r="E543" s="70"/>
      <c r="G543" s="70" t="s">
        <v>103</v>
      </c>
      <c r="H543" s="70" t="s">
        <v>103</v>
      </c>
      <c r="I543" s="70" t="s">
        <v>103</v>
      </c>
      <c r="K543" s="70" t="s">
        <v>103</v>
      </c>
      <c r="L543" s="70" t="s">
        <v>103</v>
      </c>
      <c r="M543" s="70" t="s">
        <v>103</v>
      </c>
      <c r="Q543" s="66"/>
    </row>
    <row r="544" spans="1:18">
      <c r="A544" s="42" t="s">
        <v>184</v>
      </c>
      <c r="B544" s="70">
        <f>GETPIVOTDATA("Répondant",Croisements!$H$102,"Question 7",1,"L'âge regrouper",1)</f>
        <v>2</v>
      </c>
      <c r="C544" s="70">
        <f>GETPIVOTDATA("Répondant",Croisements!$H$102,"Question 7",1,"L'âge regrouper",2)</f>
        <v>0</v>
      </c>
      <c r="D544" s="70">
        <f>GETPIVOTDATA("Répondant",Croisements!$H$102,"Question 7",1,"L'âge regrouper",3)</f>
        <v>0</v>
      </c>
      <c r="E544" s="70">
        <f>B544+C544+D544</f>
        <v>2</v>
      </c>
      <c r="G544" s="65">
        <f>E544*$B$549/$E$549</f>
        <v>1.2</v>
      </c>
      <c r="H544" s="65">
        <f>E544*C549/E549</f>
        <v>0.53333333333333333</v>
      </c>
      <c r="I544" s="65">
        <f>E544*$D$549/$E$549</f>
        <v>0.26666666666666666</v>
      </c>
      <c r="K544" s="65">
        <f>POWER(B544-G544,2)/G544</f>
        <v>0.53333333333333344</v>
      </c>
      <c r="L544" s="65">
        <f t="shared" ref="L544:M548" si="47">POWER(C544-H544,2)/H544</f>
        <v>0.53333333333333333</v>
      </c>
      <c r="M544" s="65">
        <f t="shared" si="47"/>
        <v>0.26666666666666666</v>
      </c>
      <c r="O544" s="66">
        <f>SUM(K544:M548)</f>
        <v>4.6874999999999991</v>
      </c>
      <c r="Q544" s="66">
        <f>CHIDIST(O544,1)</f>
        <v>3.0382821976577545E-2</v>
      </c>
      <c r="R544" s="93">
        <f>IF(Q544&lt;0.05,ROUND(Q544,2),IF(Q544&gt;0.051,CONCATENATE(ROUND(Q544,2),"*")))</f>
        <v>0.03</v>
      </c>
    </row>
    <row r="545" spans="1:18">
      <c r="A545" s="41" t="s">
        <v>185</v>
      </c>
      <c r="B545" s="370">
        <f>GETPIVOTDATA("Répondant",Croisements!$H$102,"Question 7",2,"L'âge regrouper",1)</f>
        <v>2</v>
      </c>
      <c r="C545" s="370">
        <f>GETPIVOTDATA("Répondant",Croisements!$H$102,"Question 7",2,"L'âge regrouper",2)</f>
        <v>2</v>
      </c>
      <c r="D545" s="370">
        <f>GETPIVOTDATA("Répondant",Croisements!$H$102,"Question 7",2,"L'âge regrouper",3)</f>
        <v>1</v>
      </c>
      <c r="E545" s="70">
        <f t="shared" ref="E545:E548" si="48">B545+C545+D545</f>
        <v>5</v>
      </c>
      <c r="G545" s="65">
        <f t="shared" ref="G545:G548" si="49">E545*$B$549/$E$549</f>
        <v>3</v>
      </c>
      <c r="H545" s="65">
        <f>E545*$C$549/$E$549</f>
        <v>1.3333333333333333</v>
      </c>
      <c r="I545" s="65">
        <f t="shared" ref="I545:I548" si="50">E545*$D$549/$E$549</f>
        <v>0.66666666666666663</v>
      </c>
      <c r="K545" s="65">
        <f t="shared" ref="K545:K548" si="51">POWER(B545-G545,2)/G545</f>
        <v>0.33333333333333331</v>
      </c>
      <c r="L545" s="65">
        <f t="shared" si="47"/>
        <v>0.33333333333333343</v>
      </c>
      <c r="M545" s="65">
        <f t="shared" si="47"/>
        <v>0.16666666666666671</v>
      </c>
    </row>
    <row r="546" spans="1:18">
      <c r="A546" s="42" t="s">
        <v>186</v>
      </c>
      <c r="B546" s="370">
        <f>GETPIVOTDATA("Répondant",Croisements!$H$102,"Question 7",3,"L'âge regrouper",1)</f>
        <v>1</v>
      </c>
      <c r="C546" s="370">
        <f>GETPIVOTDATA("Répondant",Croisements!$H$102,"Question 7",3,"L'âge regrouper",2)</f>
        <v>1</v>
      </c>
      <c r="D546" s="370">
        <f>GETPIVOTDATA("Répondant",Croisements!$H$102,"Question 7",3,"L'âge regrouper",3)</f>
        <v>0</v>
      </c>
      <c r="E546" s="70">
        <f t="shared" si="48"/>
        <v>2</v>
      </c>
      <c r="G546" s="65">
        <f t="shared" si="49"/>
        <v>1.2</v>
      </c>
      <c r="H546" s="65">
        <f t="shared" ref="H546:H548" si="52">E546*$C$549/$E$549</f>
        <v>0.53333333333333333</v>
      </c>
      <c r="I546" s="65">
        <f t="shared" si="50"/>
        <v>0.26666666666666666</v>
      </c>
      <c r="K546" s="65">
        <f t="shared" si="51"/>
        <v>3.3333333333333319E-2</v>
      </c>
      <c r="L546" s="65">
        <f t="shared" si="47"/>
        <v>0.40833333333333338</v>
      </c>
      <c r="M546" s="65">
        <f t="shared" si="47"/>
        <v>0.26666666666666666</v>
      </c>
    </row>
    <row r="547" spans="1:18">
      <c r="A547" s="42" t="s">
        <v>187</v>
      </c>
      <c r="B547" s="370">
        <f>GETPIVOTDATA("Répondant",Croisements!$H$102,"Question 7",4,"L'âge regrouper",1)</f>
        <v>2</v>
      </c>
      <c r="C547" s="370">
        <f>GETPIVOTDATA("Répondant",Croisements!$H$102,"Question 7",4,"L'âge regrouper",2)</f>
        <v>0</v>
      </c>
      <c r="D547" s="370">
        <f>GETPIVOTDATA("Répondant",Croisements!$H$102,"Question 7",4,"L'âge regrouper",3)</f>
        <v>0</v>
      </c>
      <c r="E547" s="70">
        <f t="shared" si="48"/>
        <v>2</v>
      </c>
      <c r="G547" s="65">
        <f t="shared" si="49"/>
        <v>1.2</v>
      </c>
      <c r="H547" s="65">
        <f t="shared" si="52"/>
        <v>0.53333333333333333</v>
      </c>
      <c r="I547" s="65">
        <f t="shared" si="50"/>
        <v>0.26666666666666666</v>
      </c>
      <c r="K547" s="65">
        <f t="shared" si="51"/>
        <v>0.53333333333333344</v>
      </c>
      <c r="L547" s="65">
        <f t="shared" si="47"/>
        <v>0.53333333333333333</v>
      </c>
      <c r="M547" s="65">
        <f t="shared" si="47"/>
        <v>0.26666666666666666</v>
      </c>
    </row>
    <row r="548" spans="1:18">
      <c r="A548" s="42" t="s">
        <v>15</v>
      </c>
      <c r="B548" s="370">
        <f>GETPIVOTDATA("Répondant",Croisements!$H$102,"Question 7",5,"L'âge regrouper",1)</f>
        <v>2</v>
      </c>
      <c r="C548" s="370">
        <f>GETPIVOTDATA("Répondant",Croisements!$H$102,"Question 7",5,"L'âge regrouper",2)</f>
        <v>1</v>
      </c>
      <c r="D548" s="370">
        <f>GETPIVOTDATA("Répondant",Croisements!$H$102,"Question 7",5,"L'âge regrouper",3)</f>
        <v>1</v>
      </c>
      <c r="E548" s="70">
        <f t="shared" si="48"/>
        <v>4</v>
      </c>
      <c r="G548" s="65">
        <f t="shared" si="49"/>
        <v>2.4</v>
      </c>
      <c r="H548" s="65">
        <f t="shared" si="52"/>
        <v>1.0666666666666667</v>
      </c>
      <c r="I548" s="65">
        <f t="shared" si="50"/>
        <v>0.53333333333333333</v>
      </c>
      <c r="K548" s="65">
        <f t="shared" si="51"/>
        <v>6.6666666666666638E-2</v>
      </c>
      <c r="L548" s="65">
        <f t="shared" si="47"/>
        <v>4.1666666666666649E-3</v>
      </c>
      <c r="M548" s="65">
        <f t="shared" si="47"/>
        <v>0.40833333333333338</v>
      </c>
    </row>
    <row r="549" spans="1:18">
      <c r="A549" s="46" t="s">
        <v>345</v>
      </c>
      <c r="B549" s="70">
        <f>B544+B545+B546+B547+B548</f>
        <v>9</v>
      </c>
      <c r="C549" s="70">
        <f t="shared" ref="C549:D549" si="53">C544+C545+C546+C547+C548</f>
        <v>4</v>
      </c>
      <c r="D549" s="70">
        <f t="shared" si="53"/>
        <v>2</v>
      </c>
      <c r="E549" s="70">
        <f>SUM(B544:D548)</f>
        <v>15</v>
      </c>
      <c r="F549" s="62"/>
      <c r="G549" s="85"/>
    </row>
    <row r="551" spans="1:18">
      <c r="A551" s="590" t="s">
        <v>772</v>
      </c>
      <c r="B551" s="590"/>
      <c r="C551" s="590"/>
      <c r="D551" s="590"/>
      <c r="E551" s="590"/>
      <c r="F551" s="590"/>
      <c r="G551" s="590"/>
    </row>
    <row r="552" spans="1:18">
      <c r="A552" s="613" t="s">
        <v>637</v>
      </c>
      <c r="B552" s="613"/>
      <c r="C552" s="613"/>
      <c r="D552" s="613"/>
      <c r="E552" s="613"/>
      <c r="F552" s="613"/>
      <c r="G552" s="613"/>
    </row>
    <row r="553" spans="1:18">
      <c r="A553" s="664"/>
      <c r="B553" s="81" t="s">
        <v>86</v>
      </c>
      <c r="C553" s="81" t="s">
        <v>87</v>
      </c>
      <c r="D553" s="84" t="s">
        <v>90</v>
      </c>
      <c r="E553" s="57" t="s">
        <v>345</v>
      </c>
      <c r="F553" s="52"/>
      <c r="G553" s="84" t="s">
        <v>86</v>
      </c>
      <c r="H553" s="84" t="s">
        <v>87</v>
      </c>
      <c r="I553" s="84" t="s">
        <v>90</v>
      </c>
      <c r="K553" s="84" t="s">
        <v>86</v>
      </c>
      <c r="L553" s="84" t="s">
        <v>87</v>
      </c>
      <c r="M553" s="84" t="s">
        <v>90</v>
      </c>
    </row>
    <row r="554" spans="1:18">
      <c r="A554" s="665"/>
      <c r="B554" s="70" t="s">
        <v>103</v>
      </c>
      <c r="C554" s="74" t="s">
        <v>103</v>
      </c>
      <c r="D554" s="74" t="s">
        <v>103</v>
      </c>
      <c r="E554" s="70"/>
      <c r="G554" s="70" t="s">
        <v>103</v>
      </c>
      <c r="H554" s="70" t="s">
        <v>103</v>
      </c>
      <c r="I554" s="70" t="s">
        <v>103</v>
      </c>
      <c r="K554" s="70" t="s">
        <v>103</v>
      </c>
      <c r="L554" s="70" t="s">
        <v>103</v>
      </c>
      <c r="M554" s="70" t="s">
        <v>103</v>
      </c>
    </row>
    <row r="555" spans="1:18">
      <c r="A555" s="42" t="s">
        <v>77</v>
      </c>
      <c r="B555" s="70">
        <f>GETPIVOTDATA("Répondant",Croisements!$H$113,"Question 8.1",1,"L'âge regrouper",1)+GETPIVOTDATA("Répondant",Croisements!$H$113,"Question 8.1",2,"L'âge regrouper",1)</f>
        <v>7</v>
      </c>
      <c r="C555" s="70">
        <f>GETPIVOTDATA("Répondant",Croisements!$H$113,"Question 8.1",1,"L'âge regrouper",2)+GETPIVOTDATA("Répondant",Croisements!$H$113,"Question 8.1",2,"L'âge regrouper",2)</f>
        <v>1</v>
      </c>
      <c r="D555" s="70">
        <f>GETPIVOTDATA("Répondant",Croisements!$H$113,"Question 8.1",1,"L'âge regrouper",3)+GETPIVOTDATA("Répondant",Croisements!$H$113,"Question 8.1",2,"L'âge regrouper",3)</f>
        <v>2</v>
      </c>
      <c r="E555" s="70">
        <f>B555+C555+D555</f>
        <v>10</v>
      </c>
      <c r="G555" s="65">
        <f>E555*B557/E557</f>
        <v>6</v>
      </c>
      <c r="H555" s="65">
        <f>E555*C557/E557</f>
        <v>2.6666666666666665</v>
      </c>
      <c r="I555" s="65">
        <f>E555*D557/E557</f>
        <v>1.3333333333333333</v>
      </c>
      <c r="K555" s="65">
        <f>POWER(B555-G555,2)/G555</f>
        <v>0.16666666666666666</v>
      </c>
      <c r="L555" s="65">
        <f t="shared" ref="L555:L556" si="54">POWER(C555-H555,2)/H555</f>
        <v>1.0416666666666665</v>
      </c>
      <c r="M555" s="65">
        <f t="shared" ref="M555:M556" si="55">POWER(D555-I555,2)/I555</f>
        <v>0.33333333333333343</v>
      </c>
      <c r="O555" s="66">
        <f>SUM(K555:M556)</f>
        <v>4.6250000000000009</v>
      </c>
      <c r="Q555" s="66">
        <f>CHIDIST(O555,1)</f>
        <v>3.1509261303672563E-2</v>
      </c>
      <c r="R555" s="93">
        <f>IF(Q555&lt;0.05,ROUND(Q555,2),IF(Q555&gt;0.051,CONCATENATE(ROUND(Q555,2),"*")))</f>
        <v>0.03</v>
      </c>
    </row>
    <row r="556" spans="1:18">
      <c r="A556" s="42" t="s">
        <v>78</v>
      </c>
      <c r="B556" s="70">
        <f>GETPIVOTDATA("Répondant",Croisements!$H$113,"Question 8.1",3,"L'âge regrouper",1)+GETPIVOTDATA("Répondant",Croisements!$H$113,"Question 8.1",4,"L'âge regrouper",1)</f>
        <v>2</v>
      </c>
      <c r="C556" s="70">
        <f>GETPIVOTDATA("Répondant",Croisements!$H$113,"Question 8.1",3,"L'âge regrouper",2)+GETPIVOTDATA("Répondant",Croisements!$H$113,"Question 8.1",4,"L'âge regrouper",2)</f>
        <v>3</v>
      </c>
      <c r="D556" s="70">
        <f>GETPIVOTDATA("Répondant",Croisements!$H$113,"Question 8.1",3,"L'âge regrouper",3)+GETPIVOTDATA("Répondant",Croisements!$H$113,"Question 8.1",4,"L'âge regrouper",3)</f>
        <v>0</v>
      </c>
      <c r="E556" s="70">
        <f t="shared" ref="E556" si="56">B556+C556+D556</f>
        <v>5</v>
      </c>
      <c r="G556" s="65">
        <f>E556*B557/E557</f>
        <v>3</v>
      </c>
      <c r="H556" s="65">
        <f>E556*C557/E557</f>
        <v>1.3333333333333333</v>
      </c>
      <c r="I556" s="65">
        <f>E556*D557/E557</f>
        <v>0.66666666666666663</v>
      </c>
      <c r="K556" s="65">
        <f>POWER(B556-G556,2)/G556</f>
        <v>0.33333333333333331</v>
      </c>
      <c r="L556" s="65">
        <f t="shared" si="54"/>
        <v>2.0833333333333339</v>
      </c>
      <c r="M556" s="65">
        <f t="shared" si="55"/>
        <v>0.66666666666666663</v>
      </c>
    </row>
    <row r="557" spans="1:18">
      <c r="A557" s="46" t="s">
        <v>345</v>
      </c>
      <c r="B557" s="70">
        <f>B555+B556</f>
        <v>9</v>
      </c>
      <c r="C557" s="70">
        <f>C555+C556</f>
        <v>4</v>
      </c>
      <c r="D557" s="70">
        <f>D555+D556</f>
        <v>2</v>
      </c>
      <c r="E557" s="70">
        <f>B555+B556+C555+C556+D556+D555</f>
        <v>15</v>
      </c>
    </row>
    <row r="559" spans="1:18">
      <c r="A559" s="590" t="s">
        <v>817</v>
      </c>
      <c r="B559" s="590"/>
      <c r="C559" s="590"/>
      <c r="D559" s="590"/>
      <c r="E559" s="590"/>
      <c r="F559" s="590"/>
      <c r="G559" s="590"/>
      <c r="H559" s="590"/>
      <c r="I559" s="590"/>
    </row>
    <row r="560" spans="1:18">
      <c r="A560" s="363" t="s">
        <v>637</v>
      </c>
      <c r="B560" s="86"/>
      <c r="C560" s="86"/>
      <c r="D560" s="86"/>
      <c r="E560" s="86"/>
      <c r="F560" s="87"/>
      <c r="G560" s="87"/>
    </row>
    <row r="561" spans="1:18">
      <c r="A561" s="669"/>
      <c r="B561" s="81" t="s">
        <v>86</v>
      </c>
      <c r="C561" s="81" t="s">
        <v>87</v>
      </c>
      <c r="D561" s="81" t="s">
        <v>90</v>
      </c>
      <c r="E561" s="57" t="s">
        <v>345</v>
      </c>
      <c r="G561" s="84" t="s">
        <v>86</v>
      </c>
      <c r="H561" s="84" t="s">
        <v>87</v>
      </c>
      <c r="I561" s="84" t="s">
        <v>90</v>
      </c>
      <c r="K561" s="84" t="s">
        <v>86</v>
      </c>
      <c r="L561" s="84" t="s">
        <v>87</v>
      </c>
      <c r="M561" s="84" t="s">
        <v>90</v>
      </c>
    </row>
    <row r="562" spans="1:18">
      <c r="A562" s="665"/>
      <c r="B562" s="70" t="s">
        <v>103</v>
      </c>
      <c r="C562" s="74" t="s">
        <v>103</v>
      </c>
      <c r="D562" s="74" t="s">
        <v>103</v>
      </c>
      <c r="E562" s="70"/>
      <c r="G562" s="70" t="s">
        <v>103</v>
      </c>
      <c r="H562" s="70" t="s">
        <v>103</v>
      </c>
      <c r="I562" s="70" t="s">
        <v>103</v>
      </c>
      <c r="K562" s="70" t="s">
        <v>103</v>
      </c>
      <c r="L562" s="70" t="s">
        <v>103</v>
      </c>
      <c r="M562" s="70" t="s">
        <v>103</v>
      </c>
    </row>
    <row r="563" spans="1:18">
      <c r="A563" s="32" t="s">
        <v>77</v>
      </c>
      <c r="B563" s="70">
        <f>GETPIVOTDATA("Répondant",Croisements!$H$124,"Question 8.2",1,"L'âge regrouper",1)+GETPIVOTDATA("Répondant",Croisements!$H$124,"Question 8.2",2,"L'âge regrouper",1)</f>
        <v>6</v>
      </c>
      <c r="C563" s="70">
        <f>GETPIVOTDATA("Répondant",Croisements!$H$124,"Question 8.2",1,"L'âge regrouper",2)+GETPIVOTDATA("Répondant",Croisements!$H$124,"Question 8.2",2,"L'âge regrouper",2)</f>
        <v>2</v>
      </c>
      <c r="D563" s="70">
        <f>GETPIVOTDATA("Répondant",Croisements!$H$124,"Question 8.2",1,"L'âge regrouper",3)+GETPIVOTDATA("Répondant",Croisements!$H$124,"Question 8.2",2,"L'âge regrouper",3)</f>
        <v>2</v>
      </c>
      <c r="E563" s="70">
        <f>B563+C563+D563</f>
        <v>10</v>
      </c>
      <c r="G563" s="65">
        <f>E563*B565/E565</f>
        <v>6</v>
      </c>
      <c r="H563" s="65">
        <f>E563*C565/E565</f>
        <v>2.6666666666666665</v>
      </c>
      <c r="I563" s="65">
        <f>E563*D565/E565</f>
        <v>1.3333333333333333</v>
      </c>
      <c r="K563" s="65">
        <f>POWER(B563-G563,2)/G563</f>
        <v>0</v>
      </c>
      <c r="L563" s="65">
        <f t="shared" ref="L563:L564" si="57">POWER(C563-H563,2)/H563</f>
        <v>0.1666666666666666</v>
      </c>
      <c r="M563" s="65">
        <f t="shared" ref="M563:M564" si="58">POWER(D563-I563,2)/I563</f>
        <v>0.33333333333333343</v>
      </c>
      <c r="O563" s="66">
        <f>SUM(K563:M564)</f>
        <v>1.5</v>
      </c>
      <c r="Q563" s="66">
        <f>CHIDIST(O563,1)</f>
        <v>0.22067136191984679</v>
      </c>
      <c r="R563" s="93" t="str">
        <f>IF(Q563&lt;0.05,ROUND(Q563,2),IF(Q563&gt;0.051,CONCATENATE(ROUND(Q563,2),"*")))</f>
        <v>0.22*</v>
      </c>
    </row>
    <row r="564" spans="1:18">
      <c r="A564" s="32" t="s">
        <v>78</v>
      </c>
      <c r="B564" s="70">
        <f>GETPIVOTDATA("Répondant",Croisements!$H$124,"Question 8.2",3,"L'âge regrouper",1)+GETPIVOTDATA("Répondant",Croisements!$H$124,"Question 8.2",4,"L'âge regrouper",1)</f>
        <v>3</v>
      </c>
      <c r="C564" s="70">
        <f>GETPIVOTDATA("Répondant",Croisements!$H$124,"Question 8.2",3,"L'âge regrouper",2)+GETPIVOTDATA("Répondant",Croisements!$H$124,"Question 8.2",4,"L'âge regrouper",2)</f>
        <v>2</v>
      </c>
      <c r="D564" s="70">
        <f>GETPIVOTDATA("Répondant",Croisements!$H$124,"Question 8.2",3,"L'âge regrouper",3)+GETPIVOTDATA("Répondant",Croisements!$H$124,"Question 8.2",4,"L'âge regrouper",3)</f>
        <v>0</v>
      </c>
      <c r="E564" s="70">
        <f t="shared" ref="E564" si="59">B564+C564+D564</f>
        <v>5</v>
      </c>
      <c r="G564" s="65">
        <f>E564*B565/E565</f>
        <v>3</v>
      </c>
      <c r="H564" s="65">
        <f>E564*C565/E565</f>
        <v>1.3333333333333333</v>
      </c>
      <c r="I564" s="65">
        <f>E564*D565/E565</f>
        <v>0.66666666666666663</v>
      </c>
      <c r="K564" s="65">
        <f>POWER(B564-G564,2)/G564</f>
        <v>0</v>
      </c>
      <c r="L564" s="65">
        <f t="shared" si="57"/>
        <v>0.33333333333333343</v>
      </c>
      <c r="M564" s="65">
        <f t="shared" si="58"/>
        <v>0.66666666666666663</v>
      </c>
    </row>
    <row r="565" spans="1:18">
      <c r="A565" s="46" t="s">
        <v>345</v>
      </c>
      <c r="B565" s="70">
        <f>B563+B564</f>
        <v>9</v>
      </c>
      <c r="C565" s="70">
        <f>C563+C564</f>
        <v>4</v>
      </c>
      <c r="D565" s="70">
        <f>D563+D564</f>
        <v>2</v>
      </c>
      <c r="E565" s="70">
        <f>B563+B564+C563+C564+D564+D563</f>
        <v>15</v>
      </c>
    </row>
    <row r="567" spans="1:18">
      <c r="A567" s="590" t="s">
        <v>818</v>
      </c>
      <c r="B567" s="590"/>
      <c r="C567" s="590"/>
      <c r="D567" s="590"/>
      <c r="E567" s="590"/>
      <c r="F567" s="590"/>
      <c r="G567" s="590"/>
    </row>
    <row r="568" spans="1:18">
      <c r="A568" s="609" t="s">
        <v>637</v>
      </c>
      <c r="B568" s="609"/>
      <c r="C568" s="609"/>
      <c r="D568" s="609"/>
      <c r="E568" s="609"/>
      <c r="F568" s="613"/>
      <c r="G568" s="613"/>
    </row>
    <row r="569" spans="1:18">
      <c r="A569" s="664"/>
      <c r="B569" s="81" t="s">
        <v>86</v>
      </c>
      <c r="C569" s="81" t="s">
        <v>87</v>
      </c>
      <c r="D569" s="81" t="s">
        <v>90</v>
      </c>
      <c r="E569" s="57" t="s">
        <v>345</v>
      </c>
      <c r="F569" s="52"/>
      <c r="G569" s="84" t="s">
        <v>86</v>
      </c>
      <c r="H569" s="84" t="s">
        <v>87</v>
      </c>
      <c r="I569" s="84" t="s">
        <v>90</v>
      </c>
      <c r="K569" s="84" t="s">
        <v>86</v>
      </c>
      <c r="L569" s="84" t="s">
        <v>87</v>
      </c>
      <c r="M569" s="84" t="s">
        <v>90</v>
      </c>
    </row>
    <row r="570" spans="1:18">
      <c r="A570" s="665"/>
      <c r="B570" s="70" t="s">
        <v>103</v>
      </c>
      <c r="C570" s="74" t="s">
        <v>103</v>
      </c>
      <c r="D570" s="74" t="s">
        <v>103</v>
      </c>
      <c r="E570" s="70"/>
      <c r="G570" s="70" t="s">
        <v>103</v>
      </c>
      <c r="H570" s="70" t="s">
        <v>103</v>
      </c>
      <c r="I570" s="70" t="s">
        <v>103</v>
      </c>
      <c r="K570" s="70" t="s">
        <v>103</v>
      </c>
      <c r="L570" s="70" t="s">
        <v>103</v>
      </c>
      <c r="M570" s="70" t="s">
        <v>103</v>
      </c>
    </row>
    <row r="571" spans="1:18">
      <c r="A571" s="32" t="s">
        <v>77</v>
      </c>
      <c r="B571" s="70">
        <f>GETPIVOTDATA("Répondant",Croisements!$H$135,"Question 8.3",1,"L'âge regrouper",1)+GETPIVOTDATA("Répondant",Croisements!$H$135,"Question 8.3",2,"L'âge regrouper",1)</f>
        <v>5</v>
      </c>
      <c r="C571" s="70">
        <f>GETPIVOTDATA("Répondant",Croisements!$H$135,"Question 8.3",1,"L'âge regrouper",2)+GETPIVOTDATA("Répondant",Croisements!$H$135,"Question 8.3",2,"L'âge regrouper",2)</f>
        <v>2</v>
      </c>
      <c r="D571" s="70">
        <f>GETPIVOTDATA("Répondant",Croisements!$H$135,"Question 8.3",1,"L'âge regrouper",3)+GETPIVOTDATA("Répondant",Croisements!$H$135,"Question 8.3",2,"L'âge regrouper",3)</f>
        <v>1</v>
      </c>
      <c r="E571" s="70">
        <f>B571+C571+D571</f>
        <v>8</v>
      </c>
      <c r="G571" s="65">
        <f>E571*B573/E573</f>
        <v>4.8</v>
      </c>
      <c r="H571" s="65">
        <f>E571*C573/E573</f>
        <v>2.1333333333333333</v>
      </c>
      <c r="I571" s="65">
        <f>E571*D573/E573</f>
        <v>1.0666666666666667</v>
      </c>
      <c r="K571" s="65">
        <f>POWER(B571-G571,2)/G571</f>
        <v>8.3333333333333488E-3</v>
      </c>
      <c r="L571" s="65">
        <f t="shared" ref="L571:L572" si="60">POWER(C571-H571,2)/H571</f>
        <v>8.3333333333333297E-3</v>
      </c>
      <c r="M571" s="65">
        <f t="shared" ref="M571:M572" si="61">POWER(D571-I571,2)/I571</f>
        <v>4.1666666666666649E-3</v>
      </c>
      <c r="O571" s="66">
        <f>SUM(K571:M572)</f>
        <v>4.4642857142857158E-2</v>
      </c>
      <c r="Q571" s="66">
        <f>CHIDIST(O571,1)</f>
        <v>0.83266210635053239</v>
      </c>
      <c r="R571" s="93" t="str">
        <f>IF(Q571&lt;0.05,ROUND(Q571,2),IF(Q571&gt;0.051,CONCATENATE(ROUND(Q571,2),"*")))</f>
        <v>0.83*</v>
      </c>
    </row>
    <row r="572" spans="1:18">
      <c r="A572" s="32" t="s">
        <v>78</v>
      </c>
      <c r="B572" s="70">
        <f>GETPIVOTDATA("Répondant",Croisements!$H$135,"Question 8.3",3,"L'âge regrouper",1)+GETPIVOTDATA("Répondant",Croisements!$H$135,"Question 8.3",4,"L'âge regrouper",1)</f>
        <v>4</v>
      </c>
      <c r="C572" s="70">
        <f>GETPIVOTDATA("Répondant",Croisements!$H$135,"Question 8.3",3,"L'âge regrouper",2)+GETPIVOTDATA("Répondant",Croisements!$H$135,"Question 8.3",4,"L'âge regrouper",2)</f>
        <v>2</v>
      </c>
      <c r="D572" s="70">
        <f>GETPIVOTDATA("Répondant",Croisements!$H$135,"Question 8.3",3,"L'âge regrouper",3)+GETPIVOTDATA("Répondant",Croisements!$H$135,"Question 8.3",4,"L'âge regrouper",3)</f>
        <v>1</v>
      </c>
      <c r="E572" s="70">
        <f t="shared" ref="E572" si="62">B572+C572+D572</f>
        <v>7</v>
      </c>
      <c r="G572" s="65">
        <f>E572*B573/E573</f>
        <v>4.2</v>
      </c>
      <c r="H572" s="65">
        <f>E572*C573/E573</f>
        <v>1.8666666666666667</v>
      </c>
      <c r="I572" s="65">
        <f>E572*D573/E573</f>
        <v>0.93333333333333335</v>
      </c>
      <c r="K572" s="65">
        <f>POWER(B572-G572,2)/G572</f>
        <v>9.5238095238095403E-3</v>
      </c>
      <c r="L572" s="65">
        <f t="shared" si="60"/>
        <v>9.5238095238095195E-3</v>
      </c>
      <c r="M572" s="65">
        <f t="shared" si="61"/>
        <v>4.7619047619047597E-3</v>
      </c>
    </row>
    <row r="573" spans="1:18">
      <c r="A573" s="46" t="s">
        <v>345</v>
      </c>
      <c r="B573" s="70">
        <f>B571+B572</f>
        <v>9</v>
      </c>
      <c r="C573" s="70">
        <f>C571+C572</f>
        <v>4</v>
      </c>
      <c r="D573" s="70">
        <f>D571+D572</f>
        <v>2</v>
      </c>
      <c r="E573" s="70">
        <f>B571+B572+C571+C572+D572+D571</f>
        <v>15</v>
      </c>
    </row>
    <row r="575" spans="1:18">
      <c r="A575" s="590" t="s">
        <v>815</v>
      </c>
      <c r="B575" s="590"/>
      <c r="C575" s="590"/>
      <c r="D575" s="590"/>
      <c r="E575" s="590"/>
      <c r="F575" s="590"/>
      <c r="G575" s="590"/>
    </row>
    <row r="576" spans="1:18">
      <c r="A576" s="609" t="s">
        <v>637</v>
      </c>
      <c r="B576" s="609"/>
      <c r="C576" s="609"/>
      <c r="D576" s="609"/>
      <c r="E576" s="609"/>
      <c r="F576" s="613"/>
      <c r="G576" s="613"/>
    </row>
    <row r="577" spans="1:18">
      <c r="A577" s="669"/>
      <c r="B577" s="81" t="s">
        <v>86</v>
      </c>
      <c r="C577" s="81" t="s">
        <v>87</v>
      </c>
      <c r="D577" s="81" t="s">
        <v>90</v>
      </c>
      <c r="E577" s="57" t="s">
        <v>345</v>
      </c>
      <c r="F577" s="52"/>
      <c r="G577" s="84" t="s">
        <v>86</v>
      </c>
      <c r="H577" s="84" t="s">
        <v>87</v>
      </c>
      <c r="I577" s="84" t="s">
        <v>90</v>
      </c>
      <c r="K577" s="84" t="s">
        <v>86</v>
      </c>
      <c r="L577" s="84" t="s">
        <v>87</v>
      </c>
      <c r="M577" s="84" t="s">
        <v>90</v>
      </c>
    </row>
    <row r="578" spans="1:18">
      <c r="A578" s="665"/>
      <c r="B578" s="70" t="s">
        <v>103</v>
      </c>
      <c r="C578" s="74" t="s">
        <v>103</v>
      </c>
      <c r="D578" s="74" t="s">
        <v>103</v>
      </c>
      <c r="E578" s="70"/>
      <c r="G578" s="70" t="s">
        <v>103</v>
      </c>
      <c r="H578" s="70" t="s">
        <v>103</v>
      </c>
      <c r="I578" s="70" t="s">
        <v>103</v>
      </c>
      <c r="K578" s="70" t="s">
        <v>103</v>
      </c>
      <c r="L578" s="70" t="s">
        <v>103</v>
      </c>
      <c r="M578" s="70" t="s">
        <v>103</v>
      </c>
    </row>
    <row r="579" spans="1:18">
      <c r="A579" s="32" t="s">
        <v>77</v>
      </c>
      <c r="B579" s="70">
        <f>GETPIVOTDATA("Répondant",Croisements!$H$146,"Question 8.4",1,"L'âge regrouper",1)+GETPIVOTDATA("Répondant",Croisements!$H$146,"Question 8.4",2,"L'âge regrouper",1)</f>
        <v>7</v>
      </c>
      <c r="C579" s="70">
        <f>GETPIVOTDATA("Répondant",Croisements!$H$146,"Question 8.4",1,"L'âge regrouper",2)+GETPIVOTDATA("Répondant",Croisements!$H$146,"Question 8.4",2,"L'âge regrouper",2)</f>
        <v>4</v>
      </c>
      <c r="D579" s="70">
        <f>GETPIVOTDATA("Répondant",Croisements!$H$146,"Question 8.4",1,"L'âge regrouper",3)+GETPIVOTDATA("Répondant",Croisements!$H$146,"Question 8.4",2,"L'âge regrouper",3)</f>
        <v>1</v>
      </c>
      <c r="E579" s="70">
        <f>B579+C579+D579</f>
        <v>12</v>
      </c>
      <c r="G579" s="65">
        <f>E579*B581/E581</f>
        <v>7.2</v>
      </c>
      <c r="H579" s="65">
        <f>E579*C581/E581</f>
        <v>3.2</v>
      </c>
      <c r="I579" s="65">
        <f>E579*D581/E581</f>
        <v>1.6</v>
      </c>
      <c r="K579" s="65">
        <f>POWER(B579-G579,2)/G579</f>
        <v>5.5555555555555653E-3</v>
      </c>
      <c r="L579" s="65">
        <f t="shared" ref="L579:L580" si="63">POWER(C579-H579,2)/H579</f>
        <v>0.1999999999999999</v>
      </c>
      <c r="M579" s="65">
        <f t="shared" ref="M579:M580" si="64">POWER(D579-I579,2)/I579</f>
        <v>0.22500000000000006</v>
      </c>
      <c r="O579" s="66">
        <f>SUM(K579:M580)</f>
        <v>2.1527777777777777</v>
      </c>
      <c r="Q579" s="66">
        <f>CHIDIST(O579,1)</f>
        <v>0.14231220998364005</v>
      </c>
      <c r="R579" s="93" t="str">
        <f>IF(Q579&lt;0.05,ROUND(Q579,2),IF(Q579&gt;0.051,CONCATENATE(ROUND(Q579,2),"*")))</f>
        <v>0.14*</v>
      </c>
    </row>
    <row r="580" spans="1:18">
      <c r="A580" s="32" t="s">
        <v>78</v>
      </c>
      <c r="B580" s="70">
        <f>GETPIVOTDATA("Répondant",Croisements!$H$146,"Question 8.4",3,"L'âge regrouper",1)+GETPIVOTDATA("Répondant",Croisements!$H$146,"Question 8.4",4,"L'âge regrouper",1)</f>
        <v>2</v>
      </c>
      <c r="C580" s="70">
        <f>GETPIVOTDATA("Répondant",Croisements!$H$146,"Question 8.4",3,"L'âge regrouper",2)+GETPIVOTDATA("Répondant",Croisements!$H$146,"Question 8.4",4,"L'âge regrouper",2)</f>
        <v>0</v>
      </c>
      <c r="D580" s="70">
        <f>GETPIVOTDATA("Répondant",Croisements!$H$146,"Question 8.4",3,"L'âge regrouper",3)+GETPIVOTDATA("Répondant",Croisements!$H$146,"Question 8.4",4,"L'âge regrouper",3)</f>
        <v>1</v>
      </c>
      <c r="E580" s="70">
        <f t="shared" ref="E580" si="65">B580+C580+D580</f>
        <v>3</v>
      </c>
      <c r="G580" s="65">
        <f>E580*B581/E581</f>
        <v>1.8</v>
      </c>
      <c r="H580" s="65">
        <f>E580*C581/E581</f>
        <v>0.8</v>
      </c>
      <c r="I580" s="65">
        <f>E580*D581/E581</f>
        <v>0.4</v>
      </c>
      <c r="K580" s="65">
        <f>POWER(B580-G580,2)/G580</f>
        <v>2.2222222222222209E-2</v>
      </c>
      <c r="L580" s="65">
        <f t="shared" si="63"/>
        <v>0.80000000000000016</v>
      </c>
      <c r="M580" s="65">
        <f t="shared" si="64"/>
        <v>0.89999999999999991</v>
      </c>
    </row>
    <row r="581" spans="1:18">
      <c r="A581" s="46" t="s">
        <v>345</v>
      </c>
      <c r="B581" s="70">
        <f>B579+B580</f>
        <v>9</v>
      </c>
      <c r="C581" s="70">
        <f>C579+C580</f>
        <v>4</v>
      </c>
      <c r="D581" s="70">
        <f>D579+D580</f>
        <v>2</v>
      </c>
      <c r="E581" s="70">
        <f>B579+B580+C579+C580+D580+D579</f>
        <v>15</v>
      </c>
    </row>
    <row r="583" spans="1:18">
      <c r="A583" s="590" t="s">
        <v>819</v>
      </c>
      <c r="B583" s="590"/>
      <c r="C583" s="590"/>
      <c r="D583" s="590"/>
      <c r="E583" s="590"/>
      <c r="F583" s="590"/>
      <c r="G583" s="590"/>
    </row>
    <row r="584" spans="1:18">
      <c r="A584" s="609" t="s">
        <v>637</v>
      </c>
      <c r="B584" s="609"/>
      <c r="C584" s="609"/>
      <c r="D584" s="609"/>
      <c r="E584" s="609"/>
      <c r="F584" s="613"/>
      <c r="G584" s="613"/>
    </row>
    <row r="585" spans="1:18">
      <c r="A585" s="664"/>
      <c r="B585" s="81" t="s">
        <v>86</v>
      </c>
      <c r="C585" s="81" t="s">
        <v>87</v>
      </c>
      <c r="D585" s="81" t="s">
        <v>90</v>
      </c>
      <c r="E585" s="57" t="s">
        <v>345</v>
      </c>
      <c r="F585" s="52"/>
      <c r="G585" s="84" t="s">
        <v>86</v>
      </c>
      <c r="H585" s="84" t="s">
        <v>87</v>
      </c>
      <c r="I585" s="84" t="s">
        <v>90</v>
      </c>
      <c r="K585" s="84" t="s">
        <v>86</v>
      </c>
      <c r="L585" s="84" t="s">
        <v>87</v>
      </c>
      <c r="M585" s="84" t="s">
        <v>90</v>
      </c>
    </row>
    <row r="586" spans="1:18">
      <c r="A586" s="665"/>
      <c r="B586" s="70" t="s">
        <v>103</v>
      </c>
      <c r="C586" s="74" t="s">
        <v>103</v>
      </c>
      <c r="D586" s="74" t="s">
        <v>103</v>
      </c>
      <c r="E586" s="70"/>
      <c r="G586" s="70" t="s">
        <v>103</v>
      </c>
      <c r="H586" s="70" t="s">
        <v>103</v>
      </c>
      <c r="I586" s="70" t="s">
        <v>103</v>
      </c>
      <c r="K586" s="70" t="s">
        <v>103</v>
      </c>
      <c r="L586" s="70" t="s">
        <v>103</v>
      </c>
      <c r="M586" s="70" t="s">
        <v>103</v>
      </c>
    </row>
    <row r="587" spans="1:18">
      <c r="A587" s="32" t="s">
        <v>77</v>
      </c>
      <c r="B587" s="70">
        <f>GETPIVOTDATA("Répondant",Croisements!$H$157,"Question 8.5",1,"L'âge regrouper",1)+GETPIVOTDATA("Répondant",Croisements!$H$157,"Question 8.5",2,"L'âge regrouper",1)</f>
        <v>6</v>
      </c>
      <c r="C587" s="70">
        <f>GETPIVOTDATA("Répondant",Croisements!$H$157,"Question 8.5",1,"L'âge regrouper",2)+GETPIVOTDATA("Répondant",Croisements!$H$157,"Question 8.5",2,"L'âge regrouper",2)</f>
        <v>3</v>
      </c>
      <c r="D587" s="70">
        <f>GETPIVOTDATA("Répondant",Croisements!$H$157,"Question 8.5",1,"L'âge regrouper",3)+GETPIVOTDATA("Répondant",Croisements!$H$157,"Question 8.5",2,"L'âge regrouper",3)</f>
        <v>0</v>
      </c>
      <c r="E587" s="70">
        <f>B587+C587+D587</f>
        <v>9</v>
      </c>
      <c r="G587" s="65">
        <f>E587*B589/E589</f>
        <v>5.4</v>
      </c>
      <c r="H587" s="65">
        <f>E587*C589/E589</f>
        <v>2.4</v>
      </c>
      <c r="I587" s="65">
        <f>E587*D589/E589</f>
        <v>1.2</v>
      </c>
      <c r="K587" s="65">
        <f>POWER(B587-G587,2)/G587</f>
        <v>6.6666666666666582E-2</v>
      </c>
      <c r="L587" s="65">
        <f t="shared" ref="L587:L588" si="66">POWER(C587-H587,2)/H587</f>
        <v>0.15000000000000005</v>
      </c>
      <c r="M587" s="65">
        <f t="shared" ref="M587:M588" si="67">POWER(D587-I587,2)/I587</f>
        <v>1.2</v>
      </c>
      <c r="O587" s="66">
        <f>SUM(K587:M588)</f>
        <v>3.5416666666666665</v>
      </c>
      <c r="Q587" s="66">
        <f>CHIDIST(O587,1)</f>
        <v>5.9845298956641195E-2</v>
      </c>
      <c r="R587" s="93" t="str">
        <f>IF(Q587&lt;0.05,ROUND(Q587,2),IF(Q587&gt;0.051,CONCATENATE(ROUND(Q587,2),"*")))</f>
        <v>0.06*</v>
      </c>
    </row>
    <row r="588" spans="1:18">
      <c r="A588" s="32" t="s">
        <v>78</v>
      </c>
      <c r="B588" s="70">
        <f>GETPIVOTDATA("Répondant",Croisements!$H$157,"Question 8.5",3,"L'âge regrouper",1)+GETPIVOTDATA("Répondant",Croisements!$H$157,"Question 8.5",4,"L'âge regrouper",1)</f>
        <v>3</v>
      </c>
      <c r="C588" s="70">
        <f>GETPIVOTDATA("Répondant",Croisements!$H$157,"Question 8.5",3,"L'âge regrouper",2)+GETPIVOTDATA("Répondant",Croisements!$H$157,"Question 8.5",4,"L'âge regrouper",2)</f>
        <v>1</v>
      </c>
      <c r="D588" s="70">
        <f>GETPIVOTDATA("Répondant",Croisements!$H$157,"Question 8.5",3,"L'âge regrouper",3)+GETPIVOTDATA("Répondant",Croisements!$H$157,"Question 8.5",4,"L'âge regrouper",3)</f>
        <v>2</v>
      </c>
      <c r="E588" s="70">
        <f t="shared" ref="E588" si="68">B588+C588+D588</f>
        <v>6</v>
      </c>
      <c r="G588" s="65">
        <f>E588*B589/E589</f>
        <v>3.6</v>
      </c>
      <c r="H588" s="65">
        <f>E588*C589/E589</f>
        <v>1.6</v>
      </c>
      <c r="I588" s="65">
        <f>E588*D589/E589</f>
        <v>0.8</v>
      </c>
      <c r="K588" s="65">
        <f>POWER(B588-G588,2)/G588</f>
        <v>0.10000000000000002</v>
      </c>
      <c r="L588" s="65">
        <f t="shared" si="66"/>
        <v>0.22500000000000006</v>
      </c>
      <c r="M588" s="65">
        <f t="shared" si="67"/>
        <v>1.7999999999999998</v>
      </c>
    </row>
    <row r="589" spans="1:18">
      <c r="A589" s="46" t="s">
        <v>345</v>
      </c>
      <c r="B589" s="70">
        <f>B587+B588</f>
        <v>9</v>
      </c>
      <c r="C589" s="70">
        <f>C587+C588</f>
        <v>4</v>
      </c>
      <c r="D589" s="70">
        <f>D587+D588</f>
        <v>2</v>
      </c>
      <c r="E589" s="70">
        <f>B587+B588+C587+C588+D588+D587</f>
        <v>15</v>
      </c>
    </row>
    <row r="591" spans="1:18">
      <c r="A591" s="590" t="s">
        <v>820</v>
      </c>
      <c r="B591" s="590"/>
      <c r="C591" s="590"/>
      <c r="D591" s="590"/>
      <c r="E591" s="590"/>
      <c r="F591" s="590"/>
      <c r="G591" s="590"/>
    </row>
    <row r="592" spans="1:18">
      <c r="A592" s="609" t="s">
        <v>637</v>
      </c>
      <c r="B592" s="609"/>
      <c r="C592" s="609"/>
      <c r="D592" s="609"/>
      <c r="E592" s="609"/>
      <c r="F592" s="613"/>
      <c r="G592" s="613"/>
    </row>
    <row r="593" spans="1:18">
      <c r="A593" s="669"/>
      <c r="B593" s="81" t="s">
        <v>86</v>
      </c>
      <c r="C593" s="81" t="s">
        <v>87</v>
      </c>
      <c r="D593" s="81" t="s">
        <v>90</v>
      </c>
      <c r="E593" s="57" t="s">
        <v>345</v>
      </c>
      <c r="F593" s="52"/>
      <c r="G593" s="84" t="s">
        <v>86</v>
      </c>
      <c r="H593" s="84" t="s">
        <v>87</v>
      </c>
      <c r="I593" s="84" t="s">
        <v>90</v>
      </c>
      <c r="K593" s="84" t="s">
        <v>86</v>
      </c>
      <c r="L593" s="84" t="s">
        <v>87</v>
      </c>
      <c r="M593" s="84" t="s">
        <v>90</v>
      </c>
    </row>
    <row r="594" spans="1:18">
      <c r="A594" s="665"/>
      <c r="B594" s="70" t="s">
        <v>103</v>
      </c>
      <c r="C594" s="74" t="s">
        <v>103</v>
      </c>
      <c r="D594" s="74" t="s">
        <v>103</v>
      </c>
      <c r="E594" s="70"/>
      <c r="G594" s="70" t="s">
        <v>103</v>
      </c>
      <c r="H594" s="70" t="s">
        <v>103</v>
      </c>
      <c r="I594" s="70" t="s">
        <v>103</v>
      </c>
      <c r="K594" s="70" t="s">
        <v>103</v>
      </c>
      <c r="L594" s="70" t="s">
        <v>103</v>
      </c>
      <c r="M594" s="70" t="s">
        <v>103</v>
      </c>
    </row>
    <row r="595" spans="1:18">
      <c r="A595" s="32" t="s">
        <v>77</v>
      </c>
      <c r="B595" s="70">
        <f>GETPIVOTDATA("Répondant",Croisements!$H$168,"Question 8.6",1,"L'âge regrouper",1)+GETPIVOTDATA("Répondant",Croisements!$H$168,"Question 8.6",2,"L'âge regrouper",1)</f>
        <v>6</v>
      </c>
      <c r="C595" s="70">
        <f>GETPIVOTDATA("Répondant",Croisements!$H$168,"Question 8.6",1,"L'âge regrouper",2)+GETPIVOTDATA("Répondant",Croisements!$H$168,"Question 8.6",2,"L'âge regrouper",2)</f>
        <v>4</v>
      </c>
      <c r="D595" s="70">
        <f>GETPIVOTDATA("Répondant",Croisements!$H$168,"Question 8.6",1,"L'âge regrouper",3)+GETPIVOTDATA("Répondant",Croisements!$H$168,"Question 8.6",2,"L'âge regrouper",3)</f>
        <v>1</v>
      </c>
      <c r="E595" s="70">
        <f>B595+C595+D595</f>
        <v>11</v>
      </c>
      <c r="G595" s="65">
        <f>E595*B597/E597</f>
        <v>6.6</v>
      </c>
      <c r="H595" s="65">
        <f>E595*C597/E597</f>
        <v>2.9333333333333331</v>
      </c>
      <c r="I595" s="65">
        <f>E595*D597/E597</f>
        <v>1.4666666666666666</v>
      </c>
      <c r="K595" s="65">
        <f>POWER(B595-G595,2)/G595</f>
        <v>5.4545454545454487E-2</v>
      </c>
      <c r="L595" s="65">
        <f t="shared" ref="L595:L596" si="69">POWER(C595-H595,2)/H595</f>
        <v>0.38787878787878804</v>
      </c>
      <c r="M595" s="65">
        <f t="shared" ref="M595:M596" si="70">POWER(D595-I595,2)/I595</f>
        <v>0.14848484848484844</v>
      </c>
      <c r="O595" s="66">
        <f>SUM(K595:M596)</f>
        <v>2.2159090909090908</v>
      </c>
      <c r="Q595" s="66">
        <f>CHIDIST(O595,1)</f>
        <v>0.13659457857694896</v>
      </c>
      <c r="R595" s="93" t="str">
        <f>IF(Q595&lt;0.05,ROUND(Q595,2),IF(Q595&gt;0.051,CONCATENATE(ROUND(Q595,2),"*")))</f>
        <v>0.14*</v>
      </c>
    </row>
    <row r="596" spans="1:18">
      <c r="A596" s="32" t="s">
        <v>78</v>
      </c>
      <c r="B596" s="70">
        <f>GETPIVOTDATA("Répondant",Croisements!$H$168,"Question 8.6",3,"L'âge regrouper",1)+GETPIVOTDATA("Répondant",Croisements!$H$168,"Question 8.6",4,"L'âge regrouper",1)</f>
        <v>3</v>
      </c>
      <c r="C596" s="70">
        <f>GETPIVOTDATA("Répondant",Croisements!$H$168,"Question 8.6",3,"L'âge regrouper",2)+GETPIVOTDATA("Répondant",Croisements!$H$168,"Question 8.6",4,"L'âge regrouper",2)</f>
        <v>0</v>
      </c>
      <c r="D596" s="70">
        <f>GETPIVOTDATA("Répondant",Croisements!$H$168,"Question 8.6",3,"L'âge regrouper",3)+GETPIVOTDATA("Répondant",Croisements!$H$168,"Question 8.6",4,"L'âge regrouper",3)</f>
        <v>1</v>
      </c>
      <c r="E596" s="70">
        <f t="shared" ref="E596" si="71">B596+C596+D596</f>
        <v>4</v>
      </c>
      <c r="G596" s="65">
        <f>E596*B597/E597</f>
        <v>2.4</v>
      </c>
      <c r="H596" s="65">
        <f>E596*C597/E597</f>
        <v>1.0666666666666667</v>
      </c>
      <c r="I596" s="65">
        <f>E596*D597/E597</f>
        <v>0.53333333333333333</v>
      </c>
      <c r="K596" s="65">
        <f>POWER(B596-G596,2)/G596</f>
        <v>0.15000000000000005</v>
      </c>
      <c r="L596" s="65">
        <f t="shared" si="69"/>
        <v>1.0666666666666667</v>
      </c>
      <c r="M596" s="65">
        <f t="shared" si="70"/>
        <v>0.40833333333333338</v>
      </c>
    </row>
    <row r="597" spans="1:18">
      <c r="A597" s="46" t="s">
        <v>345</v>
      </c>
      <c r="B597" s="70">
        <f>B595+B596</f>
        <v>9</v>
      </c>
      <c r="C597" s="70">
        <f>C595+C596</f>
        <v>4</v>
      </c>
      <c r="D597" s="70">
        <f>D595+D596</f>
        <v>2</v>
      </c>
      <c r="E597" s="70">
        <f>B595+B596+C595+C596+D596+D595</f>
        <v>15</v>
      </c>
    </row>
    <row r="599" spans="1:18">
      <c r="A599" s="590" t="s">
        <v>821</v>
      </c>
      <c r="B599" s="590"/>
      <c r="C599" s="590"/>
      <c r="D599" s="590"/>
      <c r="E599" s="590"/>
      <c r="F599" s="590"/>
      <c r="G599" s="590"/>
    </row>
    <row r="600" spans="1:18">
      <c r="A600" s="609" t="s">
        <v>637</v>
      </c>
      <c r="B600" s="609"/>
      <c r="C600" s="609"/>
      <c r="D600" s="609"/>
      <c r="E600" s="609"/>
      <c r="F600" s="613"/>
      <c r="G600" s="613"/>
    </row>
    <row r="601" spans="1:18">
      <c r="A601" s="664"/>
      <c r="B601" s="81" t="s">
        <v>86</v>
      </c>
      <c r="C601" s="81" t="s">
        <v>87</v>
      </c>
      <c r="D601" s="81" t="s">
        <v>90</v>
      </c>
      <c r="E601" s="57" t="s">
        <v>345</v>
      </c>
      <c r="F601" s="52"/>
      <c r="G601" s="84" t="s">
        <v>86</v>
      </c>
      <c r="H601" s="84" t="s">
        <v>87</v>
      </c>
      <c r="I601" s="84" t="s">
        <v>90</v>
      </c>
      <c r="K601" s="84" t="s">
        <v>86</v>
      </c>
      <c r="L601" s="84" t="s">
        <v>87</v>
      </c>
      <c r="M601" s="84" t="s">
        <v>90</v>
      </c>
    </row>
    <row r="602" spans="1:18">
      <c r="A602" s="665"/>
      <c r="B602" s="70" t="s">
        <v>103</v>
      </c>
      <c r="C602" s="74" t="s">
        <v>103</v>
      </c>
      <c r="D602" s="74" t="s">
        <v>103</v>
      </c>
      <c r="E602" s="70"/>
      <c r="G602" s="70" t="s">
        <v>103</v>
      </c>
      <c r="H602" s="70" t="s">
        <v>103</v>
      </c>
      <c r="I602" s="70" t="s">
        <v>103</v>
      </c>
      <c r="K602" s="70" t="s">
        <v>103</v>
      </c>
      <c r="L602" s="70" t="s">
        <v>103</v>
      </c>
      <c r="M602" s="70" t="s">
        <v>103</v>
      </c>
    </row>
    <row r="603" spans="1:18">
      <c r="A603" s="32" t="s">
        <v>77</v>
      </c>
      <c r="B603" s="70">
        <f>GETPIVOTDATA("Répondant",Croisements!$H$181,"Question 8.7",1,"L'âge regrouper",1)+GETPIVOTDATA("Répondant",Croisements!$H$181,"Question 8.7",2,"L'âge regrouper",1)</f>
        <v>7</v>
      </c>
      <c r="C603" s="70">
        <f>GETPIVOTDATA("Répondant",Croisements!$H$181,"Question 8.7",1,"L'âge regrouper",2)+GETPIVOTDATA("Répondant",Croisements!$H$181,"Question 8.7",2,"L'âge regrouper",2)</f>
        <v>3</v>
      </c>
      <c r="D603" s="70">
        <f>GETPIVOTDATA("Répondant",Croisements!$H$181,"Question 8.7",1,"L'âge regrouper",3)+GETPIVOTDATA("Répondant",Croisements!$H$181,"Question 8.7",2,"L'âge regrouper",3)</f>
        <v>1</v>
      </c>
      <c r="E603" s="70">
        <f>B603+C603+D603</f>
        <v>11</v>
      </c>
      <c r="G603" s="65">
        <f>E603*B605/E605</f>
        <v>6.6</v>
      </c>
      <c r="H603" s="65">
        <f>E603*C605/E605</f>
        <v>2.9333333333333331</v>
      </c>
      <c r="I603" s="65">
        <f>E603*D605/E605</f>
        <v>1.4666666666666666</v>
      </c>
      <c r="K603" s="65">
        <f>POWER(B603-G603,2)/G603</f>
        <v>2.4242424242424288E-2</v>
      </c>
      <c r="L603" s="65">
        <f t="shared" ref="L603:L604" si="72">POWER(C603-H603,2)/H603</f>
        <v>1.5151515151515247E-3</v>
      </c>
      <c r="M603" s="65">
        <f t="shared" ref="M603:M604" si="73">POWER(D603-I603,2)/I603</f>
        <v>0.14848484848484844</v>
      </c>
      <c r="O603" s="66">
        <f>SUM(K603:M604)</f>
        <v>0.65340909090909094</v>
      </c>
      <c r="Q603" s="66">
        <f>CHIDIST(O603,1)</f>
        <v>0.41889647110568551</v>
      </c>
      <c r="R603" s="93" t="str">
        <f>IF(Q603&lt;0.05,ROUND(Q603,2),IF(Q603&gt;0.051,CONCATENATE(ROUND(Q603,2),"*")))</f>
        <v>0.42*</v>
      </c>
    </row>
    <row r="604" spans="1:18">
      <c r="A604" s="32" t="s">
        <v>78</v>
      </c>
      <c r="B604" s="70">
        <f>GETPIVOTDATA("Répondant",Croisements!$H$181,"Question 8.7",3,"L'âge regrouper",1)+GETPIVOTDATA("Répondant",Croisements!$H$181,"Question 8.7",4,"L'âge regrouper",1)</f>
        <v>2</v>
      </c>
      <c r="C604" s="70">
        <f>GETPIVOTDATA("Répondant",Croisements!$H$181,"Question 8.7",3,"L'âge regrouper",2)+GETPIVOTDATA("Répondant",Croisements!$H$181,"Question 8.7",4,"L'âge regrouper",2)</f>
        <v>1</v>
      </c>
      <c r="D604" s="70">
        <f>GETPIVOTDATA("Répondant",Croisements!$H$181,"Question 8.7",3,"L'âge regrouper",3)+GETPIVOTDATA("Répondant",Croisements!$H$181,"Question 8.7",4,"L'âge regrouper",3)</f>
        <v>1</v>
      </c>
      <c r="E604" s="70">
        <f t="shared" ref="E604" si="74">B604+C604+D604</f>
        <v>4</v>
      </c>
      <c r="G604" s="65">
        <f>E604*B605/E605</f>
        <v>2.4</v>
      </c>
      <c r="H604" s="65">
        <f>E604*C605/E605</f>
        <v>1.0666666666666667</v>
      </c>
      <c r="I604" s="65">
        <f>E604*D605/E605</f>
        <v>0.53333333333333333</v>
      </c>
      <c r="K604" s="65">
        <f>POWER(B604-G604,2)/G604</f>
        <v>6.6666666666666638E-2</v>
      </c>
      <c r="L604" s="65">
        <f t="shared" si="72"/>
        <v>4.1666666666666649E-3</v>
      </c>
      <c r="M604" s="65">
        <f t="shared" si="73"/>
        <v>0.40833333333333338</v>
      </c>
    </row>
    <row r="605" spans="1:18">
      <c r="A605" s="46" t="s">
        <v>345</v>
      </c>
      <c r="B605" s="70">
        <f>B603+B604</f>
        <v>9</v>
      </c>
      <c r="C605" s="70">
        <f>C603+C604</f>
        <v>4</v>
      </c>
      <c r="D605" s="70">
        <f>D603+D604</f>
        <v>2</v>
      </c>
      <c r="E605" s="70">
        <f>B603+B604+C603+C604+D604+D603</f>
        <v>15</v>
      </c>
    </row>
    <row r="607" spans="1:18">
      <c r="A607" s="590" t="s">
        <v>822</v>
      </c>
      <c r="B607" s="590"/>
      <c r="C607" s="590"/>
      <c r="D607" s="590"/>
      <c r="E607" s="590"/>
      <c r="F607" s="590"/>
      <c r="G607" s="590"/>
    </row>
    <row r="608" spans="1:18">
      <c r="A608" s="609" t="s">
        <v>637</v>
      </c>
      <c r="B608" s="609"/>
      <c r="C608" s="609"/>
      <c r="D608" s="609"/>
      <c r="E608" s="609"/>
      <c r="F608" s="613"/>
      <c r="G608" s="613"/>
    </row>
    <row r="609" spans="1:18">
      <c r="A609" s="669"/>
      <c r="B609" s="81" t="s">
        <v>86</v>
      </c>
      <c r="C609" s="81" t="s">
        <v>87</v>
      </c>
      <c r="D609" s="81" t="s">
        <v>90</v>
      </c>
      <c r="E609" s="57" t="s">
        <v>345</v>
      </c>
      <c r="F609" s="52"/>
      <c r="G609" s="84" t="s">
        <v>86</v>
      </c>
      <c r="H609" s="84" t="s">
        <v>87</v>
      </c>
      <c r="I609" s="84" t="s">
        <v>90</v>
      </c>
      <c r="K609" s="84" t="s">
        <v>86</v>
      </c>
      <c r="L609" s="84" t="s">
        <v>87</v>
      </c>
      <c r="M609" s="84" t="s">
        <v>90</v>
      </c>
    </row>
    <row r="610" spans="1:18">
      <c r="A610" s="665"/>
      <c r="B610" s="70" t="s">
        <v>103</v>
      </c>
      <c r="C610" s="74" t="s">
        <v>103</v>
      </c>
      <c r="D610" s="74" t="s">
        <v>103</v>
      </c>
      <c r="E610" s="70"/>
      <c r="G610" s="70" t="s">
        <v>103</v>
      </c>
      <c r="H610" s="70" t="s">
        <v>103</v>
      </c>
      <c r="I610" s="70" t="s">
        <v>103</v>
      </c>
      <c r="K610" s="70" t="s">
        <v>103</v>
      </c>
      <c r="L610" s="70" t="s">
        <v>103</v>
      </c>
      <c r="M610" s="70" t="s">
        <v>103</v>
      </c>
    </row>
    <row r="611" spans="1:18">
      <c r="A611" s="32" t="s">
        <v>77</v>
      </c>
      <c r="B611" s="70">
        <f>GETPIVOTDATA("Répondant",Croisements!$H$192,"Question 8.8",1,"L'âge regrouper",1)+GETPIVOTDATA("Répondant",Croisements!$H$192,"Question 8.8",2,"L'âge regrouper",1)</f>
        <v>5</v>
      </c>
      <c r="C611" s="70">
        <f>GETPIVOTDATA("Répondant",Croisements!$H$192,"Question 8.8",1,"L'âge regrouper",2)+GETPIVOTDATA("Répondant",Croisements!$H$192,"Question 8.8",2,"L'âge regrouper",2)</f>
        <v>4</v>
      </c>
      <c r="D611" s="70">
        <f>GETPIVOTDATA("Répondant",Croisements!$H$192,"Question 8.8",1,"L'âge regrouper",3)+GETPIVOTDATA("Répondant",Croisements!$H$192,"Question 8.8",2,"L'âge regrouper",3)</f>
        <v>2</v>
      </c>
      <c r="E611" s="70">
        <f>B611+C611+D611</f>
        <v>11</v>
      </c>
      <c r="G611" s="65">
        <f>E611*B613/E613</f>
        <v>6.6</v>
      </c>
      <c r="H611" s="65">
        <f>E611*C613/E613</f>
        <v>2.9333333333333331</v>
      </c>
      <c r="I611" s="65">
        <f>E611*D613/E613</f>
        <v>1.4666666666666666</v>
      </c>
      <c r="K611" s="65">
        <f>POWER(B611-G611,2)/G611</f>
        <v>0.38787878787878771</v>
      </c>
      <c r="L611" s="65">
        <f t="shared" ref="L611:L612" si="75">POWER(C611-H611,2)/H611</f>
        <v>0.38787878787878804</v>
      </c>
      <c r="M611" s="65">
        <f t="shared" ref="M611:M612" si="76">POWER(D611-I611,2)/I611</f>
        <v>0.19393939393939402</v>
      </c>
      <c r="O611" s="66">
        <f>SUM(K611:M612)</f>
        <v>3.6363636363636367</v>
      </c>
      <c r="Q611" s="66">
        <f>CHIDIST(O611,1)</f>
        <v>5.6530277167404185E-2</v>
      </c>
      <c r="R611" s="93" t="str">
        <f>IF(Q611&lt;0.05,ROUND(Q611,2),IF(Q611&gt;0.051,CONCATENATE(ROUND(Q611,2),"*")))</f>
        <v>0.06*</v>
      </c>
    </row>
    <row r="612" spans="1:18">
      <c r="A612" s="32" t="s">
        <v>78</v>
      </c>
      <c r="B612" s="70">
        <f>GETPIVOTDATA("Répondant",Croisements!$H$192,"Question 8.8",3,"L'âge regrouper",1)+GETPIVOTDATA("Répondant",Croisements!$H$192,"Question 8.8",4,"L'âge regrouper",1)</f>
        <v>4</v>
      </c>
      <c r="C612" s="70">
        <f>GETPIVOTDATA("Répondant",Croisements!$H$192,"Question 8.8",3,"L'âge regrouper",2)+GETPIVOTDATA("Répondant",Croisements!$H$192,"Question 8.8",4,"L'âge regrouper",2)</f>
        <v>0</v>
      </c>
      <c r="D612" s="70">
        <f>GETPIVOTDATA("Répondant",Croisements!$H$192,"Question 8.8",3,"L'âge regrouper",3)+GETPIVOTDATA("Répondant",Croisements!$H$192,"Question 8.8",4,"L'âge regrouper",3)</f>
        <v>0</v>
      </c>
      <c r="E612" s="70">
        <f t="shared" ref="E612" si="77">B612+C612+D612</f>
        <v>4</v>
      </c>
      <c r="G612" s="65">
        <f>E612*B613/E613</f>
        <v>2.4</v>
      </c>
      <c r="H612" s="65">
        <f>E612*C613/E613</f>
        <v>1.0666666666666667</v>
      </c>
      <c r="I612" s="65">
        <f>E612*D613/E613</f>
        <v>0.53333333333333333</v>
      </c>
      <c r="K612" s="65">
        <f>POWER(B612-G612,2)/G612</f>
        <v>1.0666666666666669</v>
      </c>
      <c r="L612" s="65">
        <f t="shared" si="75"/>
        <v>1.0666666666666667</v>
      </c>
      <c r="M612" s="65">
        <f t="shared" si="76"/>
        <v>0.53333333333333333</v>
      </c>
    </row>
    <row r="613" spans="1:18">
      <c r="A613" s="46" t="s">
        <v>345</v>
      </c>
      <c r="B613" s="70">
        <f>B611+B612</f>
        <v>9</v>
      </c>
      <c r="C613" s="70">
        <f>C611+C612</f>
        <v>4</v>
      </c>
      <c r="D613" s="70">
        <f>D611+D612</f>
        <v>2</v>
      </c>
      <c r="E613" s="70">
        <f>B611+B612+C611+C612+D612+D611</f>
        <v>15</v>
      </c>
    </row>
    <row r="615" spans="1:18">
      <c r="A615" s="590" t="s">
        <v>823</v>
      </c>
      <c r="B615" s="590"/>
      <c r="C615" s="590"/>
      <c r="D615" s="590"/>
      <c r="E615" s="590"/>
      <c r="F615" s="590"/>
      <c r="G615" s="590"/>
    </row>
    <row r="616" spans="1:18">
      <c r="A616" s="609" t="s">
        <v>637</v>
      </c>
      <c r="B616" s="609"/>
      <c r="C616" s="609"/>
      <c r="D616" s="609"/>
      <c r="E616" s="609"/>
      <c r="F616" s="613"/>
      <c r="G616" s="613"/>
    </row>
    <row r="617" spans="1:18">
      <c r="A617" s="664"/>
      <c r="B617" s="81" t="s">
        <v>86</v>
      </c>
      <c r="C617" s="81" t="s">
        <v>87</v>
      </c>
      <c r="D617" s="81" t="s">
        <v>90</v>
      </c>
      <c r="E617" s="57" t="s">
        <v>345</v>
      </c>
      <c r="F617" s="52"/>
      <c r="G617" s="84" t="s">
        <v>86</v>
      </c>
      <c r="H617" s="84" t="s">
        <v>87</v>
      </c>
      <c r="I617" s="84" t="s">
        <v>90</v>
      </c>
      <c r="K617" s="84" t="s">
        <v>86</v>
      </c>
      <c r="L617" s="84" t="s">
        <v>87</v>
      </c>
      <c r="M617" s="84" t="s">
        <v>90</v>
      </c>
    </row>
    <row r="618" spans="1:18">
      <c r="A618" s="665"/>
      <c r="B618" s="70" t="s">
        <v>103</v>
      </c>
      <c r="C618" s="74" t="s">
        <v>103</v>
      </c>
      <c r="D618" s="74" t="s">
        <v>103</v>
      </c>
      <c r="E618" s="70"/>
      <c r="G618" s="70" t="s">
        <v>103</v>
      </c>
      <c r="H618" s="70" t="s">
        <v>103</v>
      </c>
      <c r="I618" s="70" t="s">
        <v>103</v>
      </c>
      <c r="K618" s="70" t="s">
        <v>103</v>
      </c>
      <c r="L618" s="70" t="s">
        <v>103</v>
      </c>
      <c r="M618" s="70" t="s">
        <v>103</v>
      </c>
    </row>
    <row r="619" spans="1:18">
      <c r="A619" s="32" t="s">
        <v>323</v>
      </c>
      <c r="B619" s="70">
        <f>GETPIVOTDATA("Répondant",Croisements!$H$203,"Question 9.1",1,"L'âge regrouper",1)+GETPIVOTDATA("Répondant",Croisements!$H$203,"Question 9.1",2,"L'âge regrouper",1)</f>
        <v>5</v>
      </c>
      <c r="C619" s="70">
        <f>GETPIVOTDATA("Répondant",Croisements!$H$203,"Question 9.1",1,"L'âge regrouper",2)+GETPIVOTDATA("Répondant",Croisements!$H$203,"Question 9.1",2,"L'âge regrouper",2)</f>
        <v>2</v>
      </c>
      <c r="D619" s="70">
        <f>GETPIVOTDATA("Répondant",Croisements!$H$203,"Question 9.1",1,"L'âge regrouper",3)+GETPIVOTDATA("Répondant",Croisements!$H$203,"Question 9.1",2,"L'âge regrouper",3)</f>
        <v>1</v>
      </c>
      <c r="E619" s="70">
        <f>B619+C619+D619</f>
        <v>8</v>
      </c>
      <c r="G619" s="65">
        <f>E619*B621/E621</f>
        <v>4.8</v>
      </c>
      <c r="H619" s="65">
        <f>E619*C621/E621</f>
        <v>2.1333333333333333</v>
      </c>
      <c r="I619" s="65">
        <f>E619*D621/E621</f>
        <v>1.0666666666666667</v>
      </c>
      <c r="K619" s="65">
        <f>POWER(B619-G619,2)/G619</f>
        <v>8.3333333333333488E-3</v>
      </c>
      <c r="L619" s="65">
        <f t="shared" ref="L619:L620" si="78">POWER(C619-H619,2)/H619</f>
        <v>8.3333333333333297E-3</v>
      </c>
      <c r="M619" s="65">
        <f t="shared" ref="M619:M620" si="79">POWER(D619-I619,2)/I619</f>
        <v>4.1666666666666649E-3</v>
      </c>
      <c r="O619" s="66">
        <f>SUM(K619:M620)</f>
        <v>4.4642857142857158E-2</v>
      </c>
      <c r="Q619" s="66">
        <f>CHIDIST(O619,1)</f>
        <v>0.83266210635053239</v>
      </c>
      <c r="R619" s="93" t="str">
        <f>IF(Q619&lt;0.05,ROUND(Q619,2),IF(Q619&gt;0.051,CONCATENATE(ROUND(Q619,2),"*")))</f>
        <v>0.83*</v>
      </c>
    </row>
    <row r="620" spans="1:18">
      <c r="A620" s="32" t="s">
        <v>324</v>
      </c>
      <c r="B620" s="70">
        <f>GETPIVOTDATA("Répondant",Croisements!$H$203,"Question 9.1",3,"L'âge regrouper",1)+GETPIVOTDATA("Répondant",Croisements!$H$203,"Question 9.1",4,"L'âge regrouper",1)</f>
        <v>4</v>
      </c>
      <c r="C620" s="70">
        <f>GETPIVOTDATA("Répondant",Croisements!$H$203,"Question 9.1",3,"L'âge regrouper",2)+GETPIVOTDATA("Répondant",Croisements!$H$203,"Question 9.1",4,"L'âge regrouper",2)</f>
        <v>2</v>
      </c>
      <c r="D620" s="70">
        <f>GETPIVOTDATA("Répondant",Croisements!$H$203,"Question 9.1",3,"L'âge regrouper",3)+GETPIVOTDATA("Répondant",Croisements!$H$203,"Question 9.1",4,"L'âge regrouper",3)</f>
        <v>1</v>
      </c>
      <c r="E620" s="70">
        <f t="shared" ref="E620" si="80">B620+C620+D620</f>
        <v>7</v>
      </c>
      <c r="G620" s="65">
        <f>E620*B621/E621</f>
        <v>4.2</v>
      </c>
      <c r="H620" s="65">
        <f>E620*C621/E621</f>
        <v>1.8666666666666667</v>
      </c>
      <c r="I620" s="65">
        <f>E620*D621/E621</f>
        <v>0.93333333333333335</v>
      </c>
      <c r="K620" s="65">
        <f>POWER(B620-G620,2)/G620</f>
        <v>9.5238095238095403E-3</v>
      </c>
      <c r="L620" s="65">
        <f t="shared" si="78"/>
        <v>9.5238095238095195E-3</v>
      </c>
      <c r="M620" s="65">
        <f t="shared" si="79"/>
        <v>4.7619047619047597E-3</v>
      </c>
    </row>
    <row r="621" spans="1:18">
      <c r="A621" s="46" t="s">
        <v>345</v>
      </c>
      <c r="B621" s="70">
        <f>B619+B620</f>
        <v>9</v>
      </c>
      <c r="C621" s="70">
        <f>C619+C620</f>
        <v>4</v>
      </c>
      <c r="D621" s="70">
        <f>D619+D620</f>
        <v>2</v>
      </c>
      <c r="E621" s="70">
        <f>B619+B620+C619+C620+D620+D619</f>
        <v>15</v>
      </c>
    </row>
    <row r="623" spans="1:18">
      <c r="A623" s="590" t="s">
        <v>824</v>
      </c>
      <c r="B623" s="590"/>
      <c r="C623" s="590"/>
      <c r="D623" s="590"/>
      <c r="E623" s="590"/>
      <c r="F623" s="590"/>
      <c r="G623" s="590"/>
    </row>
    <row r="624" spans="1:18">
      <c r="A624" s="609" t="s">
        <v>637</v>
      </c>
      <c r="B624" s="609"/>
      <c r="C624" s="609"/>
      <c r="D624" s="609"/>
      <c r="E624" s="609"/>
      <c r="F624" s="613"/>
      <c r="G624" s="613"/>
    </row>
    <row r="625" spans="1:18">
      <c r="A625" s="669"/>
      <c r="B625" s="81" t="s">
        <v>86</v>
      </c>
      <c r="C625" s="81" t="s">
        <v>87</v>
      </c>
      <c r="D625" s="81" t="s">
        <v>90</v>
      </c>
      <c r="E625" s="57" t="s">
        <v>345</v>
      </c>
      <c r="F625" s="52"/>
      <c r="G625" s="84" t="s">
        <v>86</v>
      </c>
      <c r="H625" s="84" t="s">
        <v>87</v>
      </c>
      <c r="I625" s="84" t="s">
        <v>90</v>
      </c>
      <c r="K625" s="84" t="s">
        <v>86</v>
      </c>
      <c r="L625" s="84" t="s">
        <v>87</v>
      </c>
      <c r="M625" s="84" t="s">
        <v>90</v>
      </c>
    </row>
    <row r="626" spans="1:18">
      <c r="A626" s="665"/>
      <c r="B626" s="70" t="s">
        <v>103</v>
      </c>
      <c r="C626" s="74" t="s">
        <v>103</v>
      </c>
      <c r="D626" s="74" t="s">
        <v>103</v>
      </c>
      <c r="E626" s="70"/>
      <c r="G626" s="70" t="s">
        <v>103</v>
      </c>
      <c r="H626" s="70" t="s">
        <v>103</v>
      </c>
      <c r="I626" s="70" t="s">
        <v>103</v>
      </c>
      <c r="K626" s="70" t="s">
        <v>103</v>
      </c>
      <c r="L626" s="70" t="s">
        <v>103</v>
      </c>
      <c r="M626" s="70" t="s">
        <v>103</v>
      </c>
    </row>
    <row r="627" spans="1:18">
      <c r="A627" s="32" t="s">
        <v>323</v>
      </c>
      <c r="B627" s="70">
        <f>GETPIVOTDATA("Répondant",Croisements!$H$214,"Question 9.2",1,"L'âge regrouper",1)+GETPIVOTDATA("Répondant",Croisements!$H$214,"Question 9.2",2,"L'âge regrouper",1)</f>
        <v>3</v>
      </c>
      <c r="C627" s="70">
        <f>GETPIVOTDATA("Répondant",Croisements!$H$214,"Question 9.2",1,"L'âge regrouper",2)+GETPIVOTDATA("Répondant",Croisements!$H$214,"Question 9.2",2,"L'âge regrouper",2)</f>
        <v>3</v>
      </c>
      <c r="D627" s="70">
        <f>GETPIVOTDATA("Répondant",Croisements!$H$214,"Question 9.2",1,"L'âge regrouper",3)+GETPIVOTDATA("Répondant",Croisements!$H$214,"Question 9.2",2,"L'âge regrouper",3)</f>
        <v>2</v>
      </c>
      <c r="E627" s="70">
        <f>B627+C627+D627</f>
        <v>8</v>
      </c>
      <c r="G627" s="65">
        <f>E627*B629/E629</f>
        <v>4.8</v>
      </c>
      <c r="H627" s="65">
        <f>E627*C629/E629</f>
        <v>2.1333333333333333</v>
      </c>
      <c r="I627" s="65">
        <f>E627*D629/E629</f>
        <v>1.0666666666666667</v>
      </c>
      <c r="K627" s="65">
        <f>POWER(B627-G627,2)/G627</f>
        <v>0.67499999999999993</v>
      </c>
      <c r="L627" s="65">
        <f t="shared" ref="L627:L628" si="81">POWER(C627-H627,2)/H627</f>
        <v>0.35208333333333336</v>
      </c>
      <c r="M627" s="65">
        <f t="shared" ref="M627:M628" si="82">POWER(D627-I627,2)/I627</f>
        <v>0.81666666666666676</v>
      </c>
      <c r="O627" s="66">
        <f>SUM(K627:M628)</f>
        <v>3.9508928571428568</v>
      </c>
      <c r="Q627" s="66">
        <f>CHIDIST(O627,1)</f>
        <v>4.6846505554003437E-2</v>
      </c>
      <c r="R627" s="93">
        <f>IF(Q627&lt;0.05,ROUND(Q627,2),IF(Q627&gt;0.051,CONCATENATE(ROUND(Q627,2),"*")))</f>
        <v>0.05</v>
      </c>
    </row>
    <row r="628" spans="1:18">
      <c r="A628" s="32" t="s">
        <v>324</v>
      </c>
      <c r="B628" s="70">
        <f>GETPIVOTDATA("Répondant",Croisements!$H$214,"Question 9.2",3,"L'âge regrouper",1)+GETPIVOTDATA("Répondant",Croisements!$H$214,"Question 9.2",4,"L'âge regrouper",1)</f>
        <v>6</v>
      </c>
      <c r="C628" s="70">
        <f>GETPIVOTDATA("Répondant",Croisements!$H$214,"Question 9.2",3,"L'âge regrouper",2)+GETPIVOTDATA("Répondant",Croisements!$H$214,"Question 9.2",4,"L'âge regrouper",2)</f>
        <v>1</v>
      </c>
      <c r="D628" s="70">
        <f>GETPIVOTDATA("Répondant",Croisements!$H$214,"Question 9.2",3,"L'âge regrouper",3)+GETPIVOTDATA("Répondant",Croisements!$H$214,"Question 9.2",4,"L'âge regrouper",3)</f>
        <v>0</v>
      </c>
      <c r="E628" s="70">
        <f t="shared" ref="E628" si="83">B628+C628+D628</f>
        <v>7</v>
      </c>
      <c r="G628" s="65">
        <f>E628*B629/E629</f>
        <v>4.2</v>
      </c>
      <c r="H628" s="65">
        <f>E628*C629/E629</f>
        <v>1.8666666666666667</v>
      </c>
      <c r="I628" s="65">
        <f>E628*D629/E629</f>
        <v>0.93333333333333335</v>
      </c>
      <c r="K628" s="65">
        <f>POWER(B628-G628,2)/G628</f>
        <v>0.77142857142857124</v>
      </c>
      <c r="L628" s="65">
        <f t="shared" si="81"/>
        <v>0.40238095238095239</v>
      </c>
      <c r="M628" s="65">
        <f t="shared" si="82"/>
        <v>0.93333333333333335</v>
      </c>
    </row>
    <row r="629" spans="1:18">
      <c r="A629" s="46" t="s">
        <v>345</v>
      </c>
      <c r="B629" s="70">
        <f>B627+B628</f>
        <v>9</v>
      </c>
      <c r="C629" s="70">
        <f>C627+C628</f>
        <v>4</v>
      </c>
      <c r="D629" s="70">
        <f>D627+D628</f>
        <v>2</v>
      </c>
      <c r="E629" s="70">
        <f>B627+B628+C627+C628+D628+D627</f>
        <v>15</v>
      </c>
    </row>
    <row r="631" spans="1:18">
      <c r="A631" s="590" t="s">
        <v>825</v>
      </c>
      <c r="B631" s="590"/>
      <c r="C631" s="590"/>
      <c r="D631" s="590"/>
      <c r="E631" s="590"/>
      <c r="F631" s="590"/>
      <c r="G631" s="590"/>
    </row>
    <row r="632" spans="1:18">
      <c r="A632" s="609" t="s">
        <v>637</v>
      </c>
      <c r="B632" s="609"/>
      <c r="C632" s="609"/>
      <c r="D632" s="609"/>
      <c r="E632" s="609"/>
      <c r="F632" s="613"/>
      <c r="G632" s="613"/>
    </row>
    <row r="633" spans="1:18">
      <c r="A633" s="664"/>
      <c r="B633" s="81" t="s">
        <v>86</v>
      </c>
      <c r="C633" s="81" t="s">
        <v>87</v>
      </c>
      <c r="D633" s="81" t="s">
        <v>90</v>
      </c>
      <c r="E633" s="57" t="s">
        <v>345</v>
      </c>
      <c r="F633" s="52"/>
      <c r="G633" s="84" t="s">
        <v>86</v>
      </c>
      <c r="H633" s="84" t="s">
        <v>87</v>
      </c>
      <c r="I633" s="84" t="s">
        <v>90</v>
      </c>
      <c r="K633" s="84" t="s">
        <v>86</v>
      </c>
      <c r="L633" s="84" t="s">
        <v>87</v>
      </c>
      <c r="M633" s="84" t="s">
        <v>90</v>
      </c>
    </row>
    <row r="634" spans="1:18">
      <c r="A634" s="665"/>
      <c r="B634" s="70" t="s">
        <v>103</v>
      </c>
      <c r="C634" s="74" t="s">
        <v>103</v>
      </c>
      <c r="D634" s="74" t="s">
        <v>103</v>
      </c>
      <c r="E634" s="70"/>
      <c r="G634" s="70" t="s">
        <v>103</v>
      </c>
      <c r="H634" s="70" t="s">
        <v>103</v>
      </c>
      <c r="I634" s="70" t="s">
        <v>103</v>
      </c>
      <c r="K634" s="70" t="s">
        <v>103</v>
      </c>
      <c r="L634" s="70" t="s">
        <v>103</v>
      </c>
      <c r="M634" s="70" t="s">
        <v>103</v>
      </c>
    </row>
    <row r="635" spans="1:18">
      <c r="A635" s="32" t="s">
        <v>79</v>
      </c>
      <c r="B635" s="70">
        <f>GETPIVOTDATA("Répondant",Croisements!$H$225,"Question 10.1",1,"L'âge regrouper",1)+GETPIVOTDATA("Répondant",Croisements!$H$225,"Question 10.1",2,"L'âge regrouper",1)</f>
        <v>4</v>
      </c>
      <c r="C635" s="70">
        <f>GETPIVOTDATA("Répondant",Croisements!$H$225,"Question 10.1",1,"L'âge regrouper",2)+GETPIVOTDATA("Répondant",Croisements!$H$225,"Question 10.1",2,"L'âge regrouper",2)</f>
        <v>4</v>
      </c>
      <c r="D635" s="70">
        <f>GETPIVOTDATA("Répondant",Croisements!$H$225,"Question 10.1",1,"L'âge regrouper",3)+GETPIVOTDATA("Répondant",Croisements!$H$225,"Question 10.1",2,"L'âge regrouper",3)</f>
        <v>1</v>
      </c>
      <c r="E635" s="70">
        <f>B635+C635+D635</f>
        <v>9</v>
      </c>
      <c r="G635" s="65">
        <f>E635*B637/E637</f>
        <v>5.4</v>
      </c>
      <c r="H635" s="65">
        <f>E635*C637/E637</f>
        <v>2.4</v>
      </c>
      <c r="I635" s="65">
        <f>E635*D637/E637</f>
        <v>1.2</v>
      </c>
      <c r="K635" s="65">
        <f>POWER(B635-G635,2)/G635</f>
        <v>0.36296296296296315</v>
      </c>
      <c r="L635" s="65">
        <f t="shared" ref="L635:L636" si="84">POWER(C635-H635,2)/H635</f>
        <v>1.0666666666666669</v>
      </c>
      <c r="M635" s="65">
        <f t="shared" ref="M635:M636" si="85">POWER(D635-I635,2)/I635</f>
        <v>3.3333333333333319E-2</v>
      </c>
      <c r="O635" s="66">
        <f>SUM(K635:M636)</f>
        <v>3.6574074074074074</v>
      </c>
      <c r="Q635" s="66">
        <f>CHIDIST(O635,1)</f>
        <v>5.5820429771802821E-2</v>
      </c>
      <c r="R635" s="93" t="str">
        <f>IF(Q635&lt;0.05,ROUND(Q635,2),IF(Q635&gt;0.051,CONCATENATE(ROUND(Q635,2),"*")))</f>
        <v>0.06*</v>
      </c>
    </row>
    <row r="636" spans="1:18">
      <c r="A636" s="32" t="s">
        <v>80</v>
      </c>
      <c r="B636" s="70">
        <f>GETPIVOTDATA("Répondant",Croisements!$H$225,"Question 10.1",3,"L'âge regrouper",1)+GETPIVOTDATA("Répondant",Croisements!$H$225,"Question 10.1",4,"L'âge regrouper",1)</f>
        <v>5</v>
      </c>
      <c r="C636" s="70">
        <f>GETPIVOTDATA("Répondant",Croisements!$H$225,"Question 10.1",3,"L'âge regrouper",2)+GETPIVOTDATA("Répondant",Croisements!$H$225,"Question 10.1",4,"L'âge regrouper",2)</f>
        <v>0</v>
      </c>
      <c r="D636" s="70">
        <f>GETPIVOTDATA("Répondant",Croisements!$H$225,"Question 10.1",3,"L'âge regrouper",3)+GETPIVOTDATA("Répondant",Croisements!$H$225,"Question 10.1",4,"L'âge regrouper",3)</f>
        <v>1</v>
      </c>
      <c r="E636" s="70">
        <f t="shared" ref="E636" si="86">B636+C636+D636</f>
        <v>6</v>
      </c>
      <c r="G636" s="65">
        <f>E636*B637/E637</f>
        <v>3.6</v>
      </c>
      <c r="H636" s="65">
        <f>E636*C637/E637</f>
        <v>1.6</v>
      </c>
      <c r="I636" s="65">
        <f>E636*D637/E637</f>
        <v>0.8</v>
      </c>
      <c r="K636" s="65">
        <f>POWER(B636-G636,2)/G636</f>
        <v>0.5444444444444444</v>
      </c>
      <c r="L636" s="65">
        <f t="shared" si="84"/>
        <v>1.6000000000000003</v>
      </c>
      <c r="M636" s="65">
        <f t="shared" si="85"/>
        <v>4.9999999999999975E-2</v>
      </c>
    </row>
    <row r="637" spans="1:18">
      <c r="A637" s="46" t="s">
        <v>345</v>
      </c>
      <c r="B637" s="70">
        <f>B635+B636</f>
        <v>9</v>
      </c>
      <c r="C637" s="70">
        <f>C635+C636</f>
        <v>4</v>
      </c>
      <c r="D637" s="70">
        <f>D635+D636</f>
        <v>2</v>
      </c>
      <c r="E637" s="70">
        <f>B635+B636+C635+C636+D636+D635</f>
        <v>15</v>
      </c>
    </row>
    <row r="639" spans="1:18">
      <c r="A639" s="590" t="s">
        <v>826</v>
      </c>
      <c r="B639" s="590"/>
      <c r="C639" s="590"/>
      <c r="D639" s="590"/>
      <c r="E639" s="590"/>
      <c r="F639" s="590"/>
      <c r="G639" s="590"/>
    </row>
    <row r="640" spans="1:18">
      <c r="A640" s="609" t="s">
        <v>637</v>
      </c>
      <c r="B640" s="609"/>
      <c r="C640" s="609"/>
      <c r="D640" s="609"/>
      <c r="E640" s="609"/>
      <c r="F640" s="613"/>
      <c r="G640" s="613"/>
    </row>
    <row r="641" spans="1:18">
      <c r="A641" s="669"/>
      <c r="B641" s="81" t="s">
        <v>86</v>
      </c>
      <c r="C641" s="81" t="s">
        <v>87</v>
      </c>
      <c r="D641" s="81" t="s">
        <v>90</v>
      </c>
      <c r="E641" s="57" t="s">
        <v>345</v>
      </c>
      <c r="F641" s="52"/>
      <c r="G641" s="84" t="s">
        <v>86</v>
      </c>
      <c r="H641" s="84" t="s">
        <v>87</v>
      </c>
      <c r="I641" s="84" t="s">
        <v>90</v>
      </c>
      <c r="K641" s="84" t="s">
        <v>86</v>
      </c>
      <c r="L641" s="84" t="s">
        <v>87</v>
      </c>
      <c r="M641" s="84" t="s">
        <v>90</v>
      </c>
    </row>
    <row r="642" spans="1:18">
      <c r="A642" s="665"/>
      <c r="B642" s="70" t="s">
        <v>103</v>
      </c>
      <c r="C642" s="74" t="s">
        <v>103</v>
      </c>
      <c r="D642" s="74" t="s">
        <v>103</v>
      </c>
      <c r="E642" s="70"/>
      <c r="G642" s="70" t="s">
        <v>103</v>
      </c>
      <c r="H642" s="70" t="s">
        <v>103</v>
      </c>
      <c r="I642" s="70" t="s">
        <v>103</v>
      </c>
      <c r="K642" s="70" t="s">
        <v>103</v>
      </c>
      <c r="L642" s="70" t="s">
        <v>103</v>
      </c>
      <c r="M642" s="70" t="s">
        <v>103</v>
      </c>
    </row>
    <row r="643" spans="1:18">
      <c r="A643" s="32" t="s">
        <v>79</v>
      </c>
      <c r="B643" s="70">
        <f>GETPIVOTDATA("Répondant",Croisements!$H$236,"Question 10.2",1,"L'âge regrouper",1)+GETPIVOTDATA("Répondant",Croisements!$H$236,"Question 10.2",2,"L'âge regrouper",1)</f>
        <v>6</v>
      </c>
      <c r="C643" s="70">
        <f>GETPIVOTDATA("Répondant",Croisements!$H$236,"Question 10.2",1,"L'âge regrouper",2)+GETPIVOTDATA("Répondant",Croisements!$H$236,"Question 10.2",2,"L'âge regrouper",2)</f>
        <v>3</v>
      </c>
      <c r="D643" s="70">
        <f>GETPIVOTDATA("Répondant",Croisements!$H$236,"Question 10.2",1,"L'âge regrouper",3)+GETPIVOTDATA("Répondant",Croisements!$H$236,"Question 10.2",2,"L'âge regrouper",3)</f>
        <v>2</v>
      </c>
      <c r="E643" s="70">
        <f>B643+C643+D643</f>
        <v>11</v>
      </c>
      <c r="G643" s="65">
        <f>E643*B645/E645</f>
        <v>6.6</v>
      </c>
      <c r="H643" s="65">
        <f>E643*C645/E645</f>
        <v>2.9333333333333331</v>
      </c>
      <c r="I643" s="65">
        <f>E643*D645/E645</f>
        <v>1.4666666666666666</v>
      </c>
      <c r="K643" s="65">
        <f>POWER(B643-G643,2)/G643</f>
        <v>5.4545454545454487E-2</v>
      </c>
      <c r="L643" s="65">
        <f t="shared" ref="L643:L644" si="87">POWER(C643-H643,2)/H643</f>
        <v>1.5151515151515247E-3</v>
      </c>
      <c r="M643" s="65">
        <f t="shared" ref="M643:M644" si="88">POWER(D643-I643,2)/I643</f>
        <v>0.19393939393939402</v>
      </c>
      <c r="O643" s="66">
        <f>SUM(K643:M644)</f>
        <v>0.93750000000000011</v>
      </c>
      <c r="Q643" s="66">
        <f>CHIDIST(O643,1)</f>
        <v>0.33292160806556592</v>
      </c>
      <c r="R643" s="93" t="str">
        <f>IF(Q643&lt;0.05,ROUND(Q643,2),IF(Q643&gt;0.051,CONCATENATE(ROUND(Q643,2),"*")))</f>
        <v>0.33*</v>
      </c>
    </row>
    <row r="644" spans="1:18">
      <c r="A644" s="32" t="s">
        <v>80</v>
      </c>
      <c r="B644" s="70">
        <f>GETPIVOTDATA("Répondant",Croisements!$H$236,"Question 10.2",3,"L'âge regrouper",1)+GETPIVOTDATA("Répondant",Croisements!$H$236,"Question 10.2",4,"L'âge regrouper",1)</f>
        <v>3</v>
      </c>
      <c r="C644" s="70">
        <f>GETPIVOTDATA("Répondant",Croisements!$H$236,"Question 10.2",3,"L'âge regrouper",2)+GETPIVOTDATA("Répondant",Croisements!$H$236,"Question 10.2",4,"L'âge regrouper",2)</f>
        <v>1</v>
      </c>
      <c r="D644" s="70">
        <f>GETPIVOTDATA("Répondant",Croisements!$H$236,"Question 10.2",3,"L'âge regrouper",3)+GETPIVOTDATA("Répondant",Croisements!$H$236,"Question 10.2",4,"L'âge regrouper",3)</f>
        <v>0</v>
      </c>
      <c r="E644" s="70">
        <f t="shared" ref="E644" si="89">B644+C644+D644</f>
        <v>4</v>
      </c>
      <c r="G644" s="65">
        <f>E644*B645/E645</f>
        <v>2.4</v>
      </c>
      <c r="H644" s="65">
        <f>E644*C645/E645</f>
        <v>1.0666666666666667</v>
      </c>
      <c r="I644" s="65">
        <f>E644*D645/E645</f>
        <v>0.53333333333333333</v>
      </c>
      <c r="K644" s="65">
        <f>POWER(B644-G644,2)/G644</f>
        <v>0.15000000000000005</v>
      </c>
      <c r="L644" s="65">
        <f t="shared" si="87"/>
        <v>4.1666666666666649E-3</v>
      </c>
      <c r="M644" s="65">
        <f t="shared" si="88"/>
        <v>0.53333333333333333</v>
      </c>
    </row>
    <row r="645" spans="1:18">
      <c r="A645" s="46" t="s">
        <v>345</v>
      </c>
      <c r="B645" s="70">
        <f>B643+B644</f>
        <v>9</v>
      </c>
      <c r="C645" s="70">
        <f>C643+C644</f>
        <v>4</v>
      </c>
      <c r="D645" s="70">
        <f>D643+D644</f>
        <v>2</v>
      </c>
      <c r="E645" s="70">
        <f>B643+B644+C643+C644+D644+D643</f>
        <v>15</v>
      </c>
    </row>
    <row r="647" spans="1:18">
      <c r="A647" s="590" t="s">
        <v>827</v>
      </c>
      <c r="B647" s="590"/>
      <c r="C647" s="590"/>
      <c r="D647" s="590"/>
      <c r="E647" s="590"/>
      <c r="F647" s="590"/>
      <c r="G647" s="590"/>
      <c r="H647" s="590"/>
      <c r="I647" s="590"/>
      <c r="J647" s="590"/>
    </row>
    <row r="648" spans="1:18">
      <c r="A648" s="609" t="s">
        <v>637</v>
      </c>
      <c r="B648" s="609"/>
      <c r="C648" s="609"/>
      <c r="D648" s="609"/>
      <c r="E648" s="609"/>
      <c r="F648" s="613"/>
      <c r="G648" s="613"/>
    </row>
    <row r="649" spans="1:18">
      <c r="A649" s="669"/>
      <c r="B649" s="81" t="s">
        <v>86</v>
      </c>
      <c r="C649" s="81" t="s">
        <v>87</v>
      </c>
      <c r="D649" s="81" t="s">
        <v>90</v>
      </c>
      <c r="E649" s="57" t="s">
        <v>345</v>
      </c>
      <c r="F649" s="52"/>
      <c r="G649" s="84" t="s">
        <v>86</v>
      </c>
      <c r="H649" s="84" t="s">
        <v>87</v>
      </c>
      <c r="I649" s="84" t="s">
        <v>90</v>
      </c>
      <c r="K649" s="84" t="s">
        <v>86</v>
      </c>
      <c r="L649" s="84" t="s">
        <v>87</v>
      </c>
      <c r="M649" s="84" t="s">
        <v>90</v>
      </c>
    </row>
    <row r="650" spans="1:18">
      <c r="A650" s="665"/>
      <c r="B650" s="70" t="s">
        <v>103</v>
      </c>
      <c r="C650" s="74" t="s">
        <v>103</v>
      </c>
      <c r="D650" s="74" t="s">
        <v>103</v>
      </c>
      <c r="E650" s="70"/>
      <c r="G650" s="70" t="s">
        <v>103</v>
      </c>
      <c r="H650" s="70" t="s">
        <v>103</v>
      </c>
      <c r="I650" s="70" t="s">
        <v>103</v>
      </c>
      <c r="K650" s="70" t="s">
        <v>103</v>
      </c>
      <c r="L650" s="70" t="s">
        <v>103</v>
      </c>
      <c r="M650" s="70" t="s">
        <v>103</v>
      </c>
    </row>
    <row r="651" spans="1:18">
      <c r="A651" s="32" t="s">
        <v>35</v>
      </c>
      <c r="B651" s="70">
        <f>GETPIVOTDATA("Répondant",Croisements!$H$247,"Question 11",1,"L'âge regrouper",1)</f>
        <v>6</v>
      </c>
      <c r="C651" s="70">
        <f>GETPIVOTDATA("Répondant",Croisements!$H$247,"Question 11",1,"L'âge regrouper",2)</f>
        <v>2</v>
      </c>
      <c r="D651" s="326">
        <f>GETPIVOTDATA("Répondant",Croisements!$H$247,"Question 11",1,"L'âge regrouper",3)</f>
        <v>0</v>
      </c>
      <c r="E651" s="70">
        <f>B651+C651+D651</f>
        <v>8</v>
      </c>
      <c r="G651" s="65">
        <f>E651*B653/E653</f>
        <v>4.8</v>
      </c>
      <c r="H651" s="65">
        <f>E651*C653/E653</f>
        <v>2.1333333333333333</v>
      </c>
      <c r="I651" s="65">
        <f>E651*D653/E653</f>
        <v>1.0666666666666667</v>
      </c>
      <c r="K651" s="65">
        <f>POWER(B651-G651,2)/G651</f>
        <v>0.3000000000000001</v>
      </c>
      <c r="L651" s="65">
        <f t="shared" ref="L651:L652" si="90">POWER(C651-H651,2)/H651</f>
        <v>8.3333333333333297E-3</v>
      </c>
      <c r="M651" s="65">
        <f t="shared" ref="M651:M652" si="91">POWER(D651-I651,2)/I651</f>
        <v>1.0666666666666667</v>
      </c>
      <c r="O651" s="66">
        <f>SUM(K651:M652)</f>
        <v>2.9464285714285712</v>
      </c>
      <c r="Q651" s="66">
        <f>CHIDIST(O651,1)</f>
        <v>8.6067567872339018E-2</v>
      </c>
      <c r="R651" s="93" t="str">
        <f>IF(Q651&lt;0.05,ROUND(Q651,2),IF(Q651&gt;0.051,CONCATENATE(ROUND(Q651,2),"*")))</f>
        <v>0.09*</v>
      </c>
    </row>
    <row r="652" spans="1:18">
      <c r="A652" s="32" t="s">
        <v>36</v>
      </c>
      <c r="B652" s="70">
        <f>GETPIVOTDATA("Répondant",Croisements!$H$247,"Question 11",2,"L'âge regrouper",1)</f>
        <v>3</v>
      </c>
      <c r="C652" s="326">
        <f>GETPIVOTDATA("Répondant",Croisements!$H$247,"Question 11",2,"L'âge regrouper",2)</f>
        <v>2</v>
      </c>
      <c r="D652" s="326">
        <f>GETPIVOTDATA("Répondant",Croisements!$H$247,"Question 11",2,"L'âge regrouper",3)</f>
        <v>2</v>
      </c>
      <c r="E652" s="70">
        <f t="shared" ref="E652" si="92">B652+C652+D652</f>
        <v>7</v>
      </c>
      <c r="G652" s="65">
        <f>E652*B653/E653</f>
        <v>4.2</v>
      </c>
      <c r="H652" s="65">
        <f>E652*C653/E653</f>
        <v>1.8666666666666667</v>
      </c>
      <c r="I652" s="65">
        <f>E652*D653/E653</f>
        <v>0.93333333333333335</v>
      </c>
      <c r="K652" s="65">
        <f>POWER(B652-G652,2)/G652</f>
        <v>0.34285714285714292</v>
      </c>
      <c r="L652" s="65">
        <f t="shared" si="90"/>
        <v>9.5238095238095195E-3</v>
      </c>
      <c r="M652" s="65">
        <f t="shared" si="91"/>
        <v>1.2190476190476189</v>
      </c>
    </row>
    <row r="653" spans="1:18">
      <c r="A653" s="46" t="s">
        <v>345</v>
      </c>
      <c r="B653" s="70">
        <f>B651+B652</f>
        <v>9</v>
      </c>
      <c r="C653" s="70">
        <f>C651+C652</f>
        <v>4</v>
      </c>
      <c r="D653" s="70">
        <f>D651+D652</f>
        <v>2</v>
      </c>
      <c r="E653" s="70">
        <f>B651+B652+C651+C652+D652+D651</f>
        <v>15</v>
      </c>
    </row>
    <row r="654" spans="1:18">
      <c r="A654" s="52"/>
      <c r="B654" s="62"/>
      <c r="C654" s="62"/>
      <c r="D654" s="62"/>
      <c r="E654" s="88"/>
    </row>
    <row r="655" spans="1:18">
      <c r="A655" s="374" t="s">
        <v>783</v>
      </c>
      <c r="B655" s="55"/>
      <c r="C655" s="55"/>
      <c r="D655" s="55"/>
      <c r="E655" s="55"/>
      <c r="F655" s="55"/>
      <c r="G655" s="55"/>
      <c r="H655" s="54"/>
      <c r="I655" s="54"/>
      <c r="J655" s="54"/>
    </row>
    <row r="656" spans="1:18">
      <c r="A656" s="633" t="s">
        <v>637</v>
      </c>
      <c r="B656" s="633"/>
      <c r="C656" s="633"/>
      <c r="D656" s="633"/>
      <c r="E656" s="633"/>
      <c r="F656" s="668"/>
      <c r="G656" s="668"/>
    </row>
    <row r="657" spans="1:18">
      <c r="A657" s="664"/>
      <c r="B657" s="81" t="s">
        <v>86</v>
      </c>
      <c r="C657" s="81" t="s">
        <v>87</v>
      </c>
      <c r="D657" s="81" t="s">
        <v>90</v>
      </c>
      <c r="E657" s="57" t="s">
        <v>345</v>
      </c>
      <c r="F657" s="52"/>
      <c r="G657" s="84" t="s">
        <v>86</v>
      </c>
      <c r="H657" s="84" t="s">
        <v>87</v>
      </c>
      <c r="I657" s="84" t="s">
        <v>90</v>
      </c>
      <c r="K657" s="84" t="s">
        <v>86</v>
      </c>
      <c r="L657" s="84" t="s">
        <v>87</v>
      </c>
      <c r="M657" s="84" t="s">
        <v>90</v>
      </c>
    </row>
    <row r="658" spans="1:18">
      <c r="A658" s="665"/>
      <c r="B658" s="70" t="s">
        <v>103</v>
      </c>
      <c r="C658" s="74" t="s">
        <v>103</v>
      </c>
      <c r="D658" s="74" t="s">
        <v>103</v>
      </c>
      <c r="E658" s="70"/>
      <c r="G658" s="70" t="s">
        <v>103</v>
      </c>
      <c r="H658" s="70" t="s">
        <v>103</v>
      </c>
      <c r="I658" s="70" t="s">
        <v>103</v>
      </c>
      <c r="K658" s="70" t="s">
        <v>103</v>
      </c>
      <c r="L658" s="70" t="s">
        <v>103</v>
      </c>
      <c r="M658" s="70" t="s">
        <v>103</v>
      </c>
    </row>
    <row r="659" spans="1:18">
      <c r="A659" s="32" t="s">
        <v>35</v>
      </c>
      <c r="B659" s="70">
        <f>GETPIVOTDATA("Répondant",Croisements!$H$256,"Question 12",1,"L'âge regrouper",1)</f>
        <v>4</v>
      </c>
      <c r="C659" s="326">
        <f>GETPIVOTDATA("Répondant",Croisements!$H$256,"Question 12",1,"L'âge regrouper",2)</f>
        <v>3</v>
      </c>
      <c r="D659" s="326">
        <f>GETPIVOTDATA("Répondant",Croisements!$H$256,"Question 12",1,"L'âge regrouper",3)</f>
        <v>1</v>
      </c>
      <c r="E659" s="70">
        <f>B659+C659+D659</f>
        <v>8</v>
      </c>
      <c r="G659" s="65">
        <f>E659*B661/E661</f>
        <v>4.8</v>
      </c>
      <c r="H659" s="65">
        <f>E659*C661/E661</f>
        <v>2.1333333333333333</v>
      </c>
      <c r="I659" s="65">
        <f>E659*D661/E661</f>
        <v>1.0666666666666667</v>
      </c>
      <c r="K659" s="65">
        <f>POWER(B659-G659,2)/G659</f>
        <v>0.13333333333333328</v>
      </c>
      <c r="L659" s="65">
        <f t="shared" ref="L659:L660" si="93">POWER(C659-H659,2)/H659</f>
        <v>0.35208333333333336</v>
      </c>
      <c r="M659" s="65">
        <f t="shared" ref="M659:M660" si="94">POWER(D659-I659,2)/I659</f>
        <v>4.1666666666666649E-3</v>
      </c>
      <c r="O659" s="66">
        <f>SUM(K659:M660)</f>
        <v>1.0491071428571428</v>
      </c>
      <c r="Q659" s="66">
        <f>CHIDIST(O659,1)</f>
        <v>0.30571280950451524</v>
      </c>
      <c r="R659" s="93" t="str">
        <f>IF(Q659&lt;0.05,ROUND(Q659,2),IF(Q659&gt;0.051,CONCATENATE(ROUND(Q659,2),"*")))</f>
        <v>0.31*</v>
      </c>
    </row>
    <row r="660" spans="1:18">
      <c r="A660" s="32" t="s">
        <v>36</v>
      </c>
      <c r="B660" s="326">
        <f>GETPIVOTDATA("Répondant",Croisements!$H$256,"Question 12",2,"L'âge regrouper",1)</f>
        <v>5</v>
      </c>
      <c r="C660" s="326">
        <f>GETPIVOTDATA("Répondant",Croisements!$H$256,"Question 12",2,"L'âge regrouper",2)</f>
        <v>1</v>
      </c>
      <c r="D660" s="326">
        <f>GETPIVOTDATA("Répondant",Croisements!$H$256,"Question 12",2,"L'âge regrouper",3)</f>
        <v>1</v>
      </c>
      <c r="E660" s="70">
        <f t="shared" ref="E660" si="95">B660+C660+D660</f>
        <v>7</v>
      </c>
      <c r="G660" s="65">
        <f>E660*B661/E661</f>
        <v>4.2</v>
      </c>
      <c r="H660" s="65">
        <f>E660*C661/E661</f>
        <v>1.8666666666666667</v>
      </c>
      <c r="I660" s="65">
        <f>E660*D661/E661</f>
        <v>0.93333333333333335</v>
      </c>
      <c r="K660" s="65">
        <f>POWER(B660-G660,2)/G660</f>
        <v>0.15238095238095231</v>
      </c>
      <c r="L660" s="65">
        <f t="shared" si="93"/>
        <v>0.40238095238095239</v>
      </c>
      <c r="M660" s="65">
        <f t="shared" si="94"/>
        <v>4.7619047619047597E-3</v>
      </c>
    </row>
    <row r="661" spans="1:18">
      <c r="A661" s="46" t="s">
        <v>345</v>
      </c>
      <c r="B661" s="70">
        <f>B659+B660</f>
        <v>9</v>
      </c>
      <c r="C661" s="70">
        <f>C659+C660</f>
        <v>4</v>
      </c>
      <c r="D661" s="70">
        <f>D659+D660</f>
        <v>2</v>
      </c>
      <c r="E661" s="70">
        <f>B659+B660+C659+C660+D660+D659</f>
        <v>15</v>
      </c>
    </row>
    <row r="663" spans="1:18">
      <c r="A663" s="590" t="s">
        <v>828</v>
      </c>
      <c r="B663" s="590"/>
      <c r="C663" s="590"/>
      <c r="D663" s="590"/>
      <c r="E663" s="590"/>
      <c r="F663" s="590"/>
      <c r="G663" s="590"/>
    </row>
    <row r="664" spans="1:18">
      <c r="A664" s="609" t="s">
        <v>637</v>
      </c>
      <c r="B664" s="609"/>
      <c r="C664" s="609"/>
      <c r="D664" s="609"/>
      <c r="E664" s="609"/>
      <c r="F664" s="613"/>
      <c r="G664" s="613"/>
    </row>
    <row r="665" spans="1:18">
      <c r="A665" s="669"/>
      <c r="B665" s="81" t="s">
        <v>86</v>
      </c>
      <c r="C665" s="81" t="s">
        <v>87</v>
      </c>
      <c r="D665" s="81" t="s">
        <v>90</v>
      </c>
      <c r="E665" s="57" t="s">
        <v>345</v>
      </c>
      <c r="F665" s="52"/>
      <c r="G665" s="84" t="s">
        <v>86</v>
      </c>
      <c r="H665" s="84" t="s">
        <v>87</v>
      </c>
      <c r="I665" s="84" t="s">
        <v>90</v>
      </c>
      <c r="K665" s="84" t="s">
        <v>86</v>
      </c>
      <c r="L665" s="84" t="s">
        <v>87</v>
      </c>
      <c r="M665" s="84" t="s">
        <v>90</v>
      </c>
    </row>
    <row r="666" spans="1:18">
      <c r="A666" s="665"/>
      <c r="B666" s="70" t="s">
        <v>103</v>
      </c>
      <c r="C666" s="74" t="s">
        <v>103</v>
      </c>
      <c r="D666" s="74" t="s">
        <v>103</v>
      </c>
      <c r="E666" s="70"/>
      <c r="G666" s="70" t="s">
        <v>103</v>
      </c>
      <c r="H666" s="70" t="s">
        <v>103</v>
      </c>
      <c r="I666" s="70" t="s">
        <v>103</v>
      </c>
      <c r="K666" s="70" t="s">
        <v>103</v>
      </c>
      <c r="L666" s="70" t="s">
        <v>103</v>
      </c>
      <c r="M666" s="70" t="s">
        <v>103</v>
      </c>
    </row>
    <row r="667" spans="1:18">
      <c r="A667" s="32" t="s">
        <v>35</v>
      </c>
      <c r="B667" s="70">
        <f>GETPIVOTDATA("Répondant",Croisements!$H$265,"Question 13",1,"L'âge regrouper",1)</f>
        <v>4</v>
      </c>
      <c r="C667" s="326">
        <f>GETPIVOTDATA("Répondant",Croisements!$H$265,"Question 13",1,"L'âge regrouper",2)</f>
        <v>1</v>
      </c>
      <c r="D667" s="326">
        <f>GETPIVOTDATA("Répondant",Croisements!$H$265,"Question 13",1,"L'âge regrouper",3)</f>
        <v>2</v>
      </c>
      <c r="E667" s="70">
        <f>B667+C667+D667</f>
        <v>7</v>
      </c>
      <c r="G667" s="65">
        <f>E667*B669/E669</f>
        <v>4.2</v>
      </c>
      <c r="H667" s="65">
        <f>E667*C669/E669</f>
        <v>1.8666666666666667</v>
      </c>
      <c r="I667" s="65">
        <f>E667*D669/E669</f>
        <v>0.93333333333333335</v>
      </c>
      <c r="K667" s="65">
        <f>POWER(B667-G667,2)/G667</f>
        <v>9.5238095238095403E-3</v>
      </c>
      <c r="L667" s="65">
        <f t="shared" ref="L667:L668" si="96">POWER(C667-H667,2)/H667</f>
        <v>0.40238095238095239</v>
      </c>
      <c r="M667" s="65">
        <f t="shared" ref="M667:M668" si="97">POWER(D667-I667,2)/I667</f>
        <v>1.2190476190476189</v>
      </c>
      <c r="O667" s="66">
        <f>SUM(K667:M668)</f>
        <v>3.0580357142857144</v>
      </c>
      <c r="Q667" s="66">
        <f>CHIDIST(O667,1)</f>
        <v>8.0338735141253184E-2</v>
      </c>
      <c r="R667" s="93" t="str">
        <f>IF(Q667&lt;0.05,ROUND(Q667,2),IF(Q667&gt;0.051,CONCATENATE(ROUND(Q667,2),"*")))</f>
        <v>0.08*</v>
      </c>
    </row>
    <row r="668" spans="1:18">
      <c r="A668" s="32" t="s">
        <v>36</v>
      </c>
      <c r="B668" s="326">
        <f>GETPIVOTDATA("Répondant",Croisements!$H$265,"Question 13",2,"L'âge regrouper",1)</f>
        <v>5</v>
      </c>
      <c r="C668" s="326">
        <f>GETPIVOTDATA("Répondant",Croisements!$H$265,"Question 13",2,"L'âge regrouper",2)</f>
        <v>3</v>
      </c>
      <c r="D668" s="326">
        <f>GETPIVOTDATA("Répondant",Croisements!$H$265,"Question 13",2,"L'âge regrouper",3)</f>
        <v>0</v>
      </c>
      <c r="E668" s="70">
        <f t="shared" ref="E668" si="98">B668+C668+D668</f>
        <v>8</v>
      </c>
      <c r="G668" s="65">
        <f>E668*B669/E669</f>
        <v>4.8</v>
      </c>
      <c r="H668" s="65">
        <f>E668*C669/E669</f>
        <v>2.1333333333333333</v>
      </c>
      <c r="I668" s="65">
        <f>E668*D669/E669</f>
        <v>1.0666666666666667</v>
      </c>
      <c r="K668" s="65">
        <f>POWER(B668-G668,2)/G668</f>
        <v>8.3333333333333488E-3</v>
      </c>
      <c r="L668" s="65">
        <f t="shared" si="96"/>
        <v>0.35208333333333336</v>
      </c>
      <c r="M668" s="65">
        <f t="shared" si="97"/>
        <v>1.0666666666666667</v>
      </c>
    </row>
    <row r="669" spans="1:18">
      <c r="A669" s="46" t="s">
        <v>345</v>
      </c>
      <c r="B669" s="70">
        <f>B667+B668</f>
        <v>9</v>
      </c>
      <c r="C669" s="70">
        <f>C667+C668</f>
        <v>4</v>
      </c>
      <c r="D669" s="70">
        <f>D667+D668</f>
        <v>2</v>
      </c>
      <c r="E669" s="70">
        <f>B667+B668+C667+C668+D668+D667</f>
        <v>15</v>
      </c>
    </row>
    <row r="671" spans="1:18">
      <c r="A671" s="590" t="s">
        <v>785</v>
      </c>
      <c r="B671" s="590"/>
      <c r="C671" s="590"/>
      <c r="D671" s="590"/>
      <c r="E671" s="590"/>
      <c r="F671" s="590"/>
      <c r="G671" s="590"/>
      <c r="H671" s="590"/>
      <c r="I671" s="590"/>
    </row>
    <row r="672" spans="1:18">
      <c r="A672" s="609" t="s">
        <v>637</v>
      </c>
      <c r="B672" s="609"/>
      <c r="C672" s="609"/>
      <c r="D672" s="609"/>
      <c r="E672" s="609"/>
      <c r="F672" s="613"/>
      <c r="G672" s="613"/>
    </row>
    <row r="673" spans="1:18">
      <c r="A673" s="664"/>
      <c r="B673" s="81" t="s">
        <v>86</v>
      </c>
      <c r="C673" s="81" t="s">
        <v>87</v>
      </c>
      <c r="D673" s="81" t="s">
        <v>90</v>
      </c>
      <c r="E673" s="57" t="s">
        <v>345</v>
      </c>
      <c r="F673" s="52"/>
      <c r="G673" s="84" t="s">
        <v>86</v>
      </c>
      <c r="H673" s="84" t="s">
        <v>87</v>
      </c>
      <c r="I673" s="84" t="s">
        <v>90</v>
      </c>
      <c r="K673" s="84" t="s">
        <v>86</v>
      </c>
      <c r="L673" s="84" t="s">
        <v>87</v>
      </c>
      <c r="M673" s="84" t="s">
        <v>90</v>
      </c>
    </row>
    <row r="674" spans="1:18">
      <c r="A674" s="665"/>
      <c r="B674" s="70" t="s">
        <v>103</v>
      </c>
      <c r="C674" s="74" t="s">
        <v>103</v>
      </c>
      <c r="D674" s="74" t="s">
        <v>103</v>
      </c>
      <c r="E674" s="70"/>
      <c r="G674" s="70" t="s">
        <v>103</v>
      </c>
      <c r="H674" s="70" t="s">
        <v>103</v>
      </c>
      <c r="I674" s="70" t="s">
        <v>103</v>
      </c>
      <c r="K674" s="70" t="s">
        <v>103</v>
      </c>
      <c r="L674" s="70" t="s">
        <v>103</v>
      </c>
      <c r="M674" s="70" t="s">
        <v>103</v>
      </c>
    </row>
    <row r="675" spans="1:18">
      <c r="A675" s="32" t="s">
        <v>35</v>
      </c>
      <c r="B675" s="70">
        <f>GETPIVOTDATA("Répondant",Croisements!$H$274,"Question 14.1",1,"L'âge regrouper",1)</f>
        <v>3</v>
      </c>
      <c r="C675" s="326">
        <f>GETPIVOTDATA("Répondant",Croisements!$H$274,"Question 14.1",1,"L'âge regrouper",2)</f>
        <v>3</v>
      </c>
      <c r="D675" s="326">
        <f>GETPIVOTDATA("Répondant",Croisements!$H$274,"Question 14.1",1,"L'âge regrouper",3)</f>
        <v>2</v>
      </c>
      <c r="E675" s="70">
        <f>B675+C675+D675</f>
        <v>8</v>
      </c>
      <c r="G675" s="65">
        <f>E675*B677/E677</f>
        <v>4.8</v>
      </c>
      <c r="H675" s="65">
        <f>E675*C677/E677</f>
        <v>2.1333333333333333</v>
      </c>
      <c r="I675" s="65">
        <f>E675*D677/E677</f>
        <v>1.0666666666666667</v>
      </c>
      <c r="K675" s="65">
        <f>POWER(B675-G675,2)/G675</f>
        <v>0.67499999999999993</v>
      </c>
      <c r="L675" s="65">
        <f t="shared" ref="L675:L676" si="99">POWER(C675-H675,2)/H675</f>
        <v>0.35208333333333336</v>
      </c>
      <c r="M675" s="65">
        <f t="shared" ref="M675:M676" si="100">POWER(D675-I675,2)/I675</f>
        <v>0.81666666666666676</v>
      </c>
      <c r="O675" s="66">
        <f>SUM(K675:M676)</f>
        <v>3.9508928571428568</v>
      </c>
      <c r="Q675" s="66">
        <f>CHIDIST(O675,1)</f>
        <v>4.6846505554003437E-2</v>
      </c>
      <c r="R675" s="93">
        <f>IF(Q675&lt;0.05,ROUND(Q675,2),IF(Q675&gt;0.051,CONCATENATE(ROUND(Q675,2),"*")))</f>
        <v>0.05</v>
      </c>
    </row>
    <row r="676" spans="1:18">
      <c r="A676" s="32" t="s">
        <v>36</v>
      </c>
      <c r="B676" s="326">
        <f>GETPIVOTDATA("Répondant",Croisements!$H$274,"Question 14.1",2,"L'âge regrouper",1)</f>
        <v>6</v>
      </c>
      <c r="C676" s="326">
        <f>GETPIVOTDATA("Répondant",Croisements!$H$274,"Question 14.1",2,"L'âge regrouper",2)</f>
        <v>1</v>
      </c>
      <c r="D676" s="326">
        <f>GETPIVOTDATA("Répondant",Croisements!$H$274,"Question 14.1",2,"L'âge regrouper",3)</f>
        <v>0</v>
      </c>
      <c r="E676" s="70">
        <f t="shared" ref="E676" si="101">B676+C676+D676</f>
        <v>7</v>
      </c>
      <c r="G676" s="65">
        <f>E676*B677/E677</f>
        <v>4.2</v>
      </c>
      <c r="H676" s="65">
        <f>E676*C677/E677</f>
        <v>1.8666666666666667</v>
      </c>
      <c r="I676" s="65">
        <f>E676*D677/E677</f>
        <v>0.93333333333333335</v>
      </c>
      <c r="K676" s="65">
        <f>POWER(B676-G676,2)/G676</f>
        <v>0.77142857142857124</v>
      </c>
      <c r="L676" s="65">
        <f t="shared" si="99"/>
        <v>0.40238095238095239</v>
      </c>
      <c r="M676" s="65">
        <f t="shared" si="100"/>
        <v>0.93333333333333335</v>
      </c>
    </row>
    <row r="677" spans="1:18">
      <c r="A677" s="46" t="s">
        <v>345</v>
      </c>
      <c r="B677" s="70">
        <f>B675+B676</f>
        <v>9</v>
      </c>
      <c r="C677" s="70">
        <f>C675+C676</f>
        <v>4</v>
      </c>
      <c r="D677" s="70">
        <f>D675+D676</f>
        <v>2</v>
      </c>
      <c r="E677" s="70">
        <f>B675+B676+C675+C676+D676+D675</f>
        <v>15</v>
      </c>
    </row>
    <row r="679" spans="1:18">
      <c r="A679" s="590" t="s">
        <v>786</v>
      </c>
      <c r="B679" s="590"/>
      <c r="C679" s="590"/>
      <c r="D679" s="590"/>
      <c r="E679" s="590"/>
      <c r="F679" s="590"/>
      <c r="G679" s="590"/>
    </row>
    <row r="680" spans="1:18">
      <c r="A680" s="609" t="s">
        <v>637</v>
      </c>
      <c r="B680" s="609"/>
      <c r="C680" s="609"/>
      <c r="D680" s="609"/>
      <c r="E680" s="609"/>
      <c r="F680" s="613"/>
      <c r="G680" s="613"/>
    </row>
    <row r="681" spans="1:18">
      <c r="A681" s="669"/>
      <c r="B681" s="81" t="s">
        <v>86</v>
      </c>
      <c r="C681" s="81" t="s">
        <v>87</v>
      </c>
      <c r="D681" s="81" t="s">
        <v>90</v>
      </c>
      <c r="E681" s="57" t="s">
        <v>345</v>
      </c>
      <c r="F681" s="52"/>
      <c r="G681" s="84" t="s">
        <v>86</v>
      </c>
      <c r="H681" s="84" t="s">
        <v>87</v>
      </c>
      <c r="I681" s="84" t="s">
        <v>90</v>
      </c>
      <c r="K681" s="84" t="s">
        <v>86</v>
      </c>
      <c r="L681" s="84" t="s">
        <v>87</v>
      </c>
      <c r="M681" s="84" t="s">
        <v>90</v>
      </c>
    </row>
    <row r="682" spans="1:18">
      <c r="A682" s="665"/>
      <c r="B682" s="70" t="s">
        <v>103</v>
      </c>
      <c r="C682" s="74" t="s">
        <v>103</v>
      </c>
      <c r="D682" s="74" t="s">
        <v>103</v>
      </c>
      <c r="E682" s="70"/>
      <c r="G682" s="70" t="s">
        <v>103</v>
      </c>
      <c r="H682" s="70" t="s">
        <v>103</v>
      </c>
      <c r="I682" s="70" t="s">
        <v>103</v>
      </c>
      <c r="K682" s="70" t="s">
        <v>103</v>
      </c>
      <c r="L682" s="70" t="s">
        <v>103</v>
      </c>
      <c r="M682" s="70" t="s">
        <v>103</v>
      </c>
    </row>
    <row r="683" spans="1:18">
      <c r="A683" s="32" t="s">
        <v>35</v>
      </c>
      <c r="B683" s="70">
        <f>GETPIVOTDATA("Répondant",Croisements!$H$283,"Question 14.2",1,"L'âge regrouper",1)</f>
        <v>3</v>
      </c>
      <c r="C683" s="326">
        <f>GETPIVOTDATA("Répondant",Croisements!$H$283,"Question 14.2",1,"L'âge regrouper",2)</f>
        <v>3</v>
      </c>
      <c r="D683" s="326">
        <f>GETPIVOTDATA("Répondant",Croisements!$H$283,"Question 14.2",1,"L'âge regrouper",3)</f>
        <v>0</v>
      </c>
      <c r="E683" s="70">
        <f>B683+C683+D683</f>
        <v>6</v>
      </c>
      <c r="G683" s="65">
        <f>E683*B685/E685</f>
        <v>3.6</v>
      </c>
      <c r="H683" s="65">
        <f>E683*C685/E685</f>
        <v>1.6</v>
      </c>
      <c r="I683" s="65">
        <f>E683*D685/E685</f>
        <v>0.8</v>
      </c>
      <c r="K683" s="65">
        <f>POWER(B683-G683,2)/G683</f>
        <v>0.10000000000000002</v>
      </c>
      <c r="L683" s="65">
        <f t="shared" ref="L683:L684" si="102">POWER(C683-H683,2)/H683</f>
        <v>1.2249999999999999</v>
      </c>
      <c r="M683" s="65">
        <f t="shared" ref="M683:M684" si="103">POWER(D683-I683,2)/I683</f>
        <v>0.80000000000000016</v>
      </c>
      <c r="O683" s="66">
        <f>SUM(K683:M684)</f>
        <v>3.5416666666666661</v>
      </c>
      <c r="Q683" s="66">
        <f>CHIDIST(O683,1)</f>
        <v>5.9845298956641195E-2</v>
      </c>
      <c r="R683" s="93" t="str">
        <f>IF(Q683&lt;0.05,ROUND(Q683,2),IF(Q683&gt;0.051,CONCATENATE(ROUND(Q683,2),"*")))</f>
        <v>0.06*</v>
      </c>
    </row>
    <row r="684" spans="1:18">
      <c r="A684" s="32" t="s">
        <v>36</v>
      </c>
      <c r="B684" s="70">
        <f>GETPIVOTDATA("Répondant",Croisements!$H$283,"Question 14.2",2,"L'âge regrouper",1)</f>
        <v>6</v>
      </c>
      <c r="C684" s="326">
        <f>GETPIVOTDATA("Répondant",Croisements!$H$283,"Question 14.2",2,"L'âge regrouper",2)</f>
        <v>1</v>
      </c>
      <c r="D684" s="326">
        <f>GETPIVOTDATA("Répondant",Croisements!$H$283,"Question 14.2",2,"L'âge regrouper",3)</f>
        <v>2</v>
      </c>
      <c r="E684" s="70">
        <f t="shared" ref="E684" si="104">B684+C684+D684</f>
        <v>9</v>
      </c>
      <c r="G684" s="65">
        <f>E684*B685/E685</f>
        <v>5.4</v>
      </c>
      <c r="H684" s="65">
        <f>E684*C685/E685</f>
        <v>2.4</v>
      </c>
      <c r="I684" s="65">
        <f>E684*D685/E685</f>
        <v>1.2</v>
      </c>
      <c r="K684" s="65">
        <f>POWER(B684-G684,2)/G684</f>
        <v>6.6666666666666582E-2</v>
      </c>
      <c r="L684" s="65">
        <f t="shared" si="102"/>
        <v>0.81666666666666654</v>
      </c>
      <c r="M684" s="65">
        <f t="shared" si="103"/>
        <v>0.53333333333333344</v>
      </c>
    </row>
    <row r="685" spans="1:18">
      <c r="A685" s="46" t="s">
        <v>345</v>
      </c>
      <c r="B685" s="70">
        <f>B683+B684</f>
        <v>9</v>
      </c>
      <c r="C685" s="70">
        <f>C683+C684</f>
        <v>4</v>
      </c>
      <c r="D685" s="70">
        <f>D683+D684</f>
        <v>2</v>
      </c>
      <c r="E685" s="70">
        <f>B683+B684+C683+C684+D684+D683</f>
        <v>15</v>
      </c>
    </row>
    <row r="687" spans="1:18">
      <c r="A687" s="590" t="s">
        <v>787</v>
      </c>
      <c r="B687" s="590"/>
      <c r="C687" s="590"/>
      <c r="D687" s="590"/>
      <c r="E687" s="590"/>
      <c r="F687" s="590"/>
      <c r="G687" s="590"/>
    </row>
    <row r="688" spans="1:18">
      <c r="A688" s="609" t="s">
        <v>637</v>
      </c>
      <c r="B688" s="609"/>
      <c r="C688" s="609"/>
      <c r="D688" s="609"/>
      <c r="E688" s="609"/>
      <c r="F688" s="613"/>
      <c r="G688" s="613"/>
    </row>
    <row r="689" spans="1:18">
      <c r="A689" s="664"/>
      <c r="B689" s="81" t="s">
        <v>86</v>
      </c>
      <c r="C689" s="81" t="s">
        <v>87</v>
      </c>
      <c r="D689" s="81" t="s">
        <v>90</v>
      </c>
      <c r="E689" s="57" t="s">
        <v>345</v>
      </c>
      <c r="F689" s="52"/>
      <c r="G689" s="84" t="s">
        <v>86</v>
      </c>
      <c r="H689" s="84" t="s">
        <v>87</v>
      </c>
      <c r="I689" s="84" t="s">
        <v>90</v>
      </c>
      <c r="K689" s="84" t="s">
        <v>86</v>
      </c>
      <c r="L689" s="84" t="s">
        <v>87</v>
      </c>
      <c r="M689" s="84" t="s">
        <v>90</v>
      </c>
    </row>
    <row r="690" spans="1:18">
      <c r="A690" s="665"/>
      <c r="B690" s="70" t="s">
        <v>103</v>
      </c>
      <c r="C690" s="74" t="s">
        <v>103</v>
      </c>
      <c r="D690" s="74" t="s">
        <v>103</v>
      </c>
      <c r="E690" s="70"/>
      <c r="G690" s="70" t="s">
        <v>103</v>
      </c>
      <c r="H690" s="70" t="s">
        <v>103</v>
      </c>
      <c r="I690" s="70" t="s">
        <v>103</v>
      </c>
      <c r="K690" s="70" t="s">
        <v>103</v>
      </c>
      <c r="L690" s="70" t="s">
        <v>103</v>
      </c>
      <c r="M690" s="70" t="s">
        <v>103</v>
      </c>
    </row>
    <row r="691" spans="1:18">
      <c r="A691" s="32" t="s">
        <v>35</v>
      </c>
      <c r="B691" s="70">
        <f>GETPIVOTDATA("Répondant",Croisements!$H$292,"Question 14.3",1,"L'âge regrouper",1)</f>
        <v>6</v>
      </c>
      <c r="C691" s="326">
        <f>GETPIVOTDATA("Répondant",Croisements!$H$292,"Question 14.3",1,"L'âge regrouper",2)</f>
        <v>2</v>
      </c>
      <c r="D691" s="326">
        <f>GETPIVOTDATA("Répondant",Croisements!$H$292,"Question 14.3",1,"L'âge regrouper",3)</f>
        <v>1</v>
      </c>
      <c r="E691" s="70">
        <f>B691+C691+D691</f>
        <v>9</v>
      </c>
      <c r="G691" s="65">
        <f>E691*B693/E693</f>
        <v>5.4</v>
      </c>
      <c r="H691" s="65">
        <f>E691*C693/E693</f>
        <v>2.4</v>
      </c>
      <c r="I691" s="65">
        <f>E691*D693/E693</f>
        <v>1.2</v>
      </c>
      <c r="K691" s="65">
        <f>POWER(B691-G691,2)/G691</f>
        <v>6.6666666666666582E-2</v>
      </c>
      <c r="L691" s="65">
        <f t="shared" ref="L691:L692" si="105">POWER(C691-H691,2)/H691</f>
        <v>6.6666666666666638E-2</v>
      </c>
      <c r="M691" s="65">
        <f t="shared" ref="M691:M692" si="106">POWER(D691-I691,2)/I691</f>
        <v>3.3333333333333319E-2</v>
      </c>
      <c r="O691" s="66">
        <f>SUM(K691:M692)</f>
        <v>0.41666666666666646</v>
      </c>
      <c r="Q691" s="66">
        <f>CHIDIST(O691,1)</f>
        <v>0.5186050164287257</v>
      </c>
      <c r="R691" s="93" t="str">
        <f>IF(Q691&lt;0.05,ROUND(Q691,2),IF(Q691&gt;0.051,CONCATENATE(ROUND(Q691,2),"*")))</f>
        <v>0.52*</v>
      </c>
    </row>
    <row r="692" spans="1:18">
      <c r="A692" s="32" t="s">
        <v>36</v>
      </c>
      <c r="B692" s="70">
        <f>GETPIVOTDATA("Répondant",Croisements!$H$292,"Question 14.3",2,"L'âge regrouper",1)</f>
        <v>3</v>
      </c>
      <c r="C692" s="326">
        <f>GETPIVOTDATA("Répondant",Croisements!$H$292,"Question 14.3",2,"L'âge regrouper",2)</f>
        <v>2</v>
      </c>
      <c r="D692" s="326">
        <f>GETPIVOTDATA("Répondant",Croisements!$H$292,"Question 14.3",2,"L'âge regrouper",3)</f>
        <v>1</v>
      </c>
      <c r="E692" s="70">
        <f t="shared" ref="E692" si="107">B692+C692+D692</f>
        <v>6</v>
      </c>
      <c r="G692" s="65">
        <f>E692*B693/E693</f>
        <v>3.6</v>
      </c>
      <c r="H692" s="65">
        <f>E692*C693/E693</f>
        <v>1.6</v>
      </c>
      <c r="I692" s="65">
        <f>E692*D693/E693</f>
        <v>0.8</v>
      </c>
      <c r="K692" s="65">
        <f>POWER(B692-G692,2)/G692</f>
        <v>0.10000000000000002</v>
      </c>
      <c r="L692" s="65">
        <f t="shared" si="105"/>
        <v>9.999999999999995E-2</v>
      </c>
      <c r="M692" s="65">
        <f t="shared" si="106"/>
        <v>4.9999999999999975E-2</v>
      </c>
    </row>
    <row r="693" spans="1:18">
      <c r="A693" s="46" t="s">
        <v>345</v>
      </c>
      <c r="B693" s="70">
        <f>B691+B692</f>
        <v>9</v>
      </c>
      <c r="C693" s="70">
        <f>C691+C692</f>
        <v>4</v>
      </c>
      <c r="D693" s="70">
        <f>D691+D692</f>
        <v>2</v>
      </c>
      <c r="E693" s="70">
        <f>B691+B692+C691+C692+D692+D691</f>
        <v>15</v>
      </c>
    </row>
    <row r="695" spans="1:18">
      <c r="A695" s="590" t="s">
        <v>788</v>
      </c>
      <c r="B695" s="590"/>
      <c r="C695" s="590"/>
      <c r="D695" s="590"/>
      <c r="E695" s="590"/>
      <c r="F695" s="590"/>
      <c r="G695" s="590"/>
    </row>
    <row r="696" spans="1:18">
      <c r="A696" s="609" t="s">
        <v>637</v>
      </c>
      <c r="B696" s="609"/>
      <c r="C696" s="609"/>
      <c r="D696" s="609"/>
      <c r="E696" s="609"/>
      <c r="F696" s="613"/>
      <c r="G696" s="613"/>
    </row>
    <row r="697" spans="1:18">
      <c r="A697" s="669"/>
      <c r="B697" s="81" t="s">
        <v>86</v>
      </c>
      <c r="C697" s="81" t="s">
        <v>87</v>
      </c>
      <c r="D697" s="81" t="s">
        <v>90</v>
      </c>
      <c r="E697" s="57" t="s">
        <v>345</v>
      </c>
      <c r="F697" s="52"/>
      <c r="G697" s="84" t="s">
        <v>86</v>
      </c>
      <c r="H697" s="84" t="s">
        <v>87</v>
      </c>
      <c r="I697" s="84" t="s">
        <v>90</v>
      </c>
      <c r="K697" s="84" t="s">
        <v>86</v>
      </c>
      <c r="L697" s="84" t="s">
        <v>87</v>
      </c>
      <c r="M697" s="84" t="s">
        <v>90</v>
      </c>
    </row>
    <row r="698" spans="1:18">
      <c r="A698" s="665"/>
      <c r="B698" s="70" t="s">
        <v>103</v>
      </c>
      <c r="C698" s="74" t="s">
        <v>103</v>
      </c>
      <c r="D698" s="74" t="s">
        <v>103</v>
      </c>
      <c r="E698" s="70"/>
      <c r="G698" s="70" t="s">
        <v>103</v>
      </c>
      <c r="H698" s="70" t="s">
        <v>103</v>
      </c>
      <c r="I698" s="70" t="s">
        <v>103</v>
      </c>
      <c r="K698" s="70" t="s">
        <v>103</v>
      </c>
      <c r="L698" s="70" t="s">
        <v>103</v>
      </c>
      <c r="M698" s="70" t="s">
        <v>103</v>
      </c>
    </row>
    <row r="699" spans="1:18">
      <c r="A699" s="32" t="s">
        <v>35</v>
      </c>
      <c r="B699" s="70">
        <f>GETPIVOTDATA("Répondant",Croisements!$H$301,"Question 14.4",1,"L'âge regrouper",1)</f>
        <v>4</v>
      </c>
      <c r="C699" s="326">
        <f>GETPIVOTDATA("Répondant",Croisements!$H$301,"Question 14.4",1,"L'âge regrouper",2)</f>
        <v>2</v>
      </c>
      <c r="D699" s="326">
        <f>GETPIVOTDATA("Répondant",Croisements!$H$301,"Question 14.4",1,"L'âge regrouper",3)</f>
        <v>1</v>
      </c>
      <c r="E699" s="70">
        <f>B699+C699+D699</f>
        <v>7</v>
      </c>
      <c r="G699" s="65">
        <f>E699*B701/E701</f>
        <v>4.2</v>
      </c>
      <c r="H699" s="65">
        <f>E699*C701/E701</f>
        <v>1.8666666666666667</v>
      </c>
      <c r="I699" s="65">
        <f>E699*D701/E701</f>
        <v>0.93333333333333335</v>
      </c>
      <c r="K699" s="65">
        <f>POWER(B699-G699,2)/G699</f>
        <v>9.5238095238095403E-3</v>
      </c>
      <c r="L699" s="65">
        <f t="shared" ref="L699:L700" si="108">POWER(C699-H699,2)/H699</f>
        <v>9.5238095238095195E-3</v>
      </c>
      <c r="M699" s="65">
        <f t="shared" ref="M699:M700" si="109">POWER(D699-I699,2)/I699</f>
        <v>4.7619047619047597E-3</v>
      </c>
      <c r="O699" s="66">
        <f>SUM(K699:M700)</f>
        <v>4.4642857142857165E-2</v>
      </c>
      <c r="Q699" s="66">
        <f>CHIDIST(O699,1)</f>
        <v>0.83266210635053239</v>
      </c>
      <c r="R699" s="93" t="str">
        <f>IF(Q699&lt;0.05,ROUND(Q699,2),IF(Q699&gt;0.051,CONCATENATE(ROUND(Q699,2),"*")))</f>
        <v>0.83*</v>
      </c>
    </row>
    <row r="700" spans="1:18">
      <c r="A700" s="32" t="s">
        <v>36</v>
      </c>
      <c r="B700" s="70">
        <f>GETPIVOTDATA("Répondant",Croisements!$H$301,"Question 14.4",2,"L'âge regrouper",1)</f>
        <v>5</v>
      </c>
      <c r="C700" s="326">
        <f>GETPIVOTDATA("Répondant",Croisements!$H$301,"Question 14.4",2,"L'âge regrouper",2)</f>
        <v>2</v>
      </c>
      <c r="D700" s="326">
        <f>GETPIVOTDATA("Répondant",Croisements!$H$301,"Question 14.4",2,"L'âge regrouper",3)</f>
        <v>1</v>
      </c>
      <c r="E700" s="70">
        <f t="shared" ref="E700" si="110">B700+C700+D700</f>
        <v>8</v>
      </c>
      <c r="G700" s="65">
        <f>E700*B701/E701</f>
        <v>4.8</v>
      </c>
      <c r="H700" s="65">
        <f>E700*C701/E701</f>
        <v>2.1333333333333333</v>
      </c>
      <c r="I700" s="65">
        <f>E700*D701/E701</f>
        <v>1.0666666666666667</v>
      </c>
      <c r="K700" s="65">
        <f>POWER(B700-G700,2)/G700</f>
        <v>8.3333333333333488E-3</v>
      </c>
      <c r="L700" s="65">
        <f t="shared" si="108"/>
        <v>8.3333333333333297E-3</v>
      </c>
      <c r="M700" s="65">
        <f t="shared" si="109"/>
        <v>4.1666666666666649E-3</v>
      </c>
    </row>
    <row r="701" spans="1:18">
      <c r="A701" s="46" t="s">
        <v>345</v>
      </c>
      <c r="B701" s="70">
        <f>B699+B700</f>
        <v>9</v>
      </c>
      <c r="C701" s="70">
        <f>C699+C700</f>
        <v>4</v>
      </c>
      <c r="D701" s="70">
        <f>D699+D700</f>
        <v>2</v>
      </c>
      <c r="E701" s="70">
        <f>B699+B700+C699+C700+D700+D699</f>
        <v>15</v>
      </c>
    </row>
    <row r="703" spans="1:18">
      <c r="A703" s="590" t="s">
        <v>849</v>
      </c>
      <c r="B703" s="590"/>
      <c r="C703" s="590"/>
      <c r="D703" s="590"/>
      <c r="E703" s="590"/>
      <c r="F703" s="590"/>
      <c r="G703" s="590"/>
    </row>
    <row r="704" spans="1:18">
      <c r="A704" s="609" t="s">
        <v>637</v>
      </c>
      <c r="B704" s="609"/>
      <c r="C704" s="609"/>
      <c r="D704" s="609"/>
      <c r="E704" s="609"/>
      <c r="F704" s="613"/>
      <c r="G704" s="613"/>
    </row>
    <row r="705" spans="1:18">
      <c r="A705" s="664"/>
      <c r="B705" s="81" t="s">
        <v>86</v>
      </c>
      <c r="C705" s="81" t="s">
        <v>87</v>
      </c>
      <c r="D705" s="81" t="s">
        <v>90</v>
      </c>
      <c r="E705" s="57" t="s">
        <v>345</v>
      </c>
      <c r="F705" s="52"/>
      <c r="G705" s="84" t="s">
        <v>86</v>
      </c>
      <c r="H705" s="84" t="s">
        <v>87</v>
      </c>
      <c r="I705" s="84" t="s">
        <v>90</v>
      </c>
      <c r="K705" s="84" t="s">
        <v>86</v>
      </c>
      <c r="L705" s="84" t="s">
        <v>87</v>
      </c>
      <c r="M705" s="84" t="s">
        <v>90</v>
      </c>
    </row>
    <row r="706" spans="1:18">
      <c r="A706" s="665"/>
      <c r="B706" s="70" t="s">
        <v>103</v>
      </c>
      <c r="C706" s="74" t="s">
        <v>103</v>
      </c>
      <c r="D706" s="74" t="s">
        <v>103</v>
      </c>
      <c r="E706" s="70"/>
      <c r="G706" s="70" t="s">
        <v>103</v>
      </c>
      <c r="H706" s="70" t="s">
        <v>103</v>
      </c>
      <c r="I706" s="70" t="s">
        <v>103</v>
      </c>
      <c r="K706" s="70" t="s">
        <v>103</v>
      </c>
      <c r="L706" s="70" t="s">
        <v>103</v>
      </c>
      <c r="M706" s="70" t="s">
        <v>103</v>
      </c>
    </row>
    <row r="707" spans="1:18">
      <c r="A707" s="32" t="s">
        <v>35</v>
      </c>
      <c r="B707" s="70">
        <f>GETPIVOTDATA("Répondant",Croisements!$H$310,"Question 14.5",1,"L'âge regrouper",1)</f>
        <v>5</v>
      </c>
      <c r="C707" s="326">
        <f>GETPIVOTDATA("Répondant",Croisements!$H$310,"Question 14.5",1,"L'âge regrouper",2)</f>
        <v>1</v>
      </c>
      <c r="D707" s="326">
        <f>GETPIVOTDATA("Répondant",Croisements!$H$310,"Question 14.5",1,"L'âge regrouper",3)</f>
        <v>2</v>
      </c>
      <c r="E707" s="70">
        <f>B707+C707+D707</f>
        <v>8</v>
      </c>
      <c r="G707" s="65">
        <f>E707*B709/E709</f>
        <v>4.8</v>
      </c>
      <c r="H707" s="65">
        <f>E707*C709/E709</f>
        <v>2.1333333333333333</v>
      </c>
      <c r="I707" s="65">
        <f>E707*D709/E709</f>
        <v>1.0666666666666667</v>
      </c>
      <c r="K707" s="65">
        <f>POWER(B707-G707,2)/G707</f>
        <v>8.3333333333333488E-3</v>
      </c>
      <c r="L707" s="65">
        <f t="shared" ref="L707:L708" si="111">POWER(C707-H707,2)/H707</f>
        <v>0.6020833333333333</v>
      </c>
      <c r="M707" s="65">
        <f t="shared" ref="M707:M708" si="112">POWER(D707-I707,2)/I707</f>
        <v>0.81666666666666676</v>
      </c>
      <c r="O707" s="66">
        <f>SUM(K707:M708)</f>
        <v>3.0580357142857144</v>
      </c>
      <c r="Q707" s="66">
        <f>CHIDIST(O707,1)</f>
        <v>8.0338735141253184E-2</v>
      </c>
      <c r="R707" s="93" t="str">
        <f>IF(Q707&lt;0.05,ROUND(Q707,2),IF(Q707&gt;0.051,CONCATENATE(ROUND(Q707,2),"*")))</f>
        <v>0.08*</v>
      </c>
    </row>
    <row r="708" spans="1:18">
      <c r="A708" s="32" t="s">
        <v>36</v>
      </c>
      <c r="B708" s="70">
        <f>GETPIVOTDATA("Répondant",Croisements!$H$310,"Question 14.5",2,"L'âge regrouper",1)</f>
        <v>4</v>
      </c>
      <c r="C708" s="326">
        <f>GETPIVOTDATA("Répondant",Croisements!$H$310,"Question 14.5",2,"L'âge regrouper",2)</f>
        <v>3</v>
      </c>
      <c r="D708" s="326">
        <f>GETPIVOTDATA("Répondant",Croisements!$H$310,"Question 14.5",2,"L'âge regrouper",3)</f>
        <v>0</v>
      </c>
      <c r="E708" s="70">
        <f t="shared" ref="E708" si="113">B708+C708+D708</f>
        <v>7</v>
      </c>
      <c r="G708" s="65">
        <f>E708*B709/E709</f>
        <v>4.2</v>
      </c>
      <c r="H708" s="65">
        <f>E708*C709/E709</f>
        <v>1.8666666666666667</v>
      </c>
      <c r="I708" s="65">
        <f>E708*D709/E709</f>
        <v>0.93333333333333335</v>
      </c>
      <c r="K708" s="65">
        <f>POWER(B708-G708,2)/G708</f>
        <v>9.5238095238095403E-3</v>
      </c>
      <c r="L708" s="65">
        <f t="shared" si="111"/>
        <v>0.68809523809523798</v>
      </c>
      <c r="M708" s="65">
        <f t="shared" si="112"/>
        <v>0.93333333333333335</v>
      </c>
    </row>
    <row r="709" spans="1:18">
      <c r="A709" s="46" t="s">
        <v>345</v>
      </c>
      <c r="B709" s="70">
        <f>B707+B708</f>
        <v>9</v>
      </c>
      <c r="C709" s="70">
        <f>C707+C708</f>
        <v>4</v>
      </c>
      <c r="D709" s="70">
        <f>D707+D708</f>
        <v>2</v>
      </c>
      <c r="E709" s="70">
        <f>B707+B708+C707+C708+D708+D707</f>
        <v>15</v>
      </c>
    </row>
    <row r="711" spans="1:18">
      <c r="A711" s="590" t="s">
        <v>790</v>
      </c>
      <c r="B711" s="590"/>
      <c r="C711" s="590"/>
      <c r="D711" s="590"/>
      <c r="E711" s="590"/>
      <c r="F711" s="590"/>
      <c r="G711" s="590"/>
    </row>
    <row r="712" spans="1:18">
      <c r="A712" s="609" t="s">
        <v>637</v>
      </c>
      <c r="B712" s="609"/>
      <c r="C712" s="609"/>
      <c r="D712" s="609"/>
      <c r="E712" s="609"/>
      <c r="F712" s="613"/>
      <c r="G712" s="613"/>
    </row>
    <row r="713" spans="1:18">
      <c r="A713" s="669"/>
      <c r="B713" s="81" t="s">
        <v>86</v>
      </c>
      <c r="C713" s="81" t="s">
        <v>87</v>
      </c>
      <c r="D713" s="81" t="s">
        <v>90</v>
      </c>
      <c r="E713" s="57" t="s">
        <v>345</v>
      </c>
      <c r="F713" s="52"/>
      <c r="G713" s="84" t="s">
        <v>86</v>
      </c>
      <c r="H713" s="84" t="s">
        <v>87</v>
      </c>
      <c r="I713" s="84" t="s">
        <v>90</v>
      </c>
      <c r="K713" s="84" t="s">
        <v>86</v>
      </c>
      <c r="L713" s="84" t="s">
        <v>87</v>
      </c>
      <c r="M713" s="84" t="s">
        <v>90</v>
      </c>
    </row>
    <row r="714" spans="1:18">
      <c r="A714" s="665"/>
      <c r="B714" s="70" t="s">
        <v>103</v>
      </c>
      <c r="C714" s="74" t="s">
        <v>103</v>
      </c>
      <c r="D714" s="74" t="s">
        <v>103</v>
      </c>
      <c r="E714" s="70"/>
      <c r="G714" s="70" t="s">
        <v>103</v>
      </c>
      <c r="H714" s="70" t="s">
        <v>103</v>
      </c>
      <c r="I714" s="70" t="s">
        <v>103</v>
      </c>
      <c r="K714" s="70" t="s">
        <v>103</v>
      </c>
      <c r="L714" s="70" t="s">
        <v>103</v>
      </c>
      <c r="M714" s="70" t="s">
        <v>103</v>
      </c>
    </row>
    <row r="715" spans="1:18">
      <c r="A715" s="32" t="s">
        <v>35</v>
      </c>
      <c r="B715" s="70">
        <f>GETPIVOTDATA("Répondant",Croisements!$H$319,"Question 14.6",1,"L'âge regrouper",1)</f>
        <v>4</v>
      </c>
      <c r="C715" s="326">
        <f>GETPIVOTDATA("Répondant",Croisements!$H$319,"Question 14.6",1,"L'âge regrouper",2)</f>
        <v>3</v>
      </c>
      <c r="D715" s="326">
        <f>GETPIVOTDATA("Répondant",Croisements!$H$319,"Question 14.6",1,"L'âge regrouper",3)</f>
        <v>1</v>
      </c>
      <c r="E715" s="70">
        <f>B715+C715+D715</f>
        <v>8</v>
      </c>
      <c r="G715" s="65">
        <f>E715*B717/E717</f>
        <v>4.8</v>
      </c>
      <c r="H715" s="65">
        <f>E715*C717/E717</f>
        <v>2.1333333333333333</v>
      </c>
      <c r="I715" s="65">
        <f>E715*D717/E717</f>
        <v>1.0666666666666667</v>
      </c>
      <c r="K715" s="65">
        <f>POWER(B715-G715,2)/G715</f>
        <v>0.13333333333333328</v>
      </c>
      <c r="L715" s="65">
        <f t="shared" ref="L715:L716" si="114">POWER(C715-H715,2)/H715</f>
        <v>0.35208333333333336</v>
      </c>
      <c r="M715" s="65">
        <f t="shared" ref="M715:M716" si="115">POWER(D715-I715,2)/I715</f>
        <v>4.1666666666666649E-3</v>
      </c>
      <c r="O715" s="66">
        <f>SUM(K715:M716)</f>
        <v>1.0491071428571428</v>
      </c>
      <c r="Q715" s="66">
        <f>CHIDIST(O715,1)</f>
        <v>0.30571280950451524</v>
      </c>
      <c r="R715" s="93" t="str">
        <f>IF(Q715&lt;0.05,ROUND(Q715,2),IF(Q715&gt;0.051,CONCATENATE(ROUND(Q715,2),"*")))</f>
        <v>0.31*</v>
      </c>
    </row>
    <row r="716" spans="1:18">
      <c r="A716" s="32" t="s">
        <v>36</v>
      </c>
      <c r="B716" s="70">
        <f>GETPIVOTDATA("Répondant",Croisements!$H$319,"Question 14.6",2,"L'âge regrouper",1)</f>
        <v>5</v>
      </c>
      <c r="C716" s="326">
        <f>GETPIVOTDATA("Répondant",Croisements!$H$319,"Question 14.6",2,"L'âge regrouper",2)</f>
        <v>1</v>
      </c>
      <c r="D716" s="326">
        <f>GETPIVOTDATA("Répondant",Croisements!$H$319,"Question 14.6",2,"L'âge regrouper",3)</f>
        <v>1</v>
      </c>
      <c r="E716" s="70">
        <f t="shared" ref="E716" si="116">B716+C716+D716</f>
        <v>7</v>
      </c>
      <c r="G716" s="65">
        <f>E716*B717/E717</f>
        <v>4.2</v>
      </c>
      <c r="H716" s="65">
        <f>E716*C717/E717</f>
        <v>1.8666666666666667</v>
      </c>
      <c r="I716" s="65">
        <f>E716*D717/E717</f>
        <v>0.93333333333333335</v>
      </c>
      <c r="K716" s="65">
        <f>POWER(B716-G716,2)/G716</f>
        <v>0.15238095238095231</v>
      </c>
      <c r="L716" s="65">
        <f t="shared" si="114"/>
        <v>0.40238095238095239</v>
      </c>
      <c r="M716" s="65">
        <f t="shared" si="115"/>
        <v>4.7619047619047597E-3</v>
      </c>
    </row>
    <row r="717" spans="1:18">
      <c r="A717" s="46" t="s">
        <v>345</v>
      </c>
      <c r="B717" s="70">
        <f>B715+B716</f>
        <v>9</v>
      </c>
      <c r="C717" s="70">
        <f>C715+C716</f>
        <v>4</v>
      </c>
      <c r="D717" s="70">
        <f>D715+D716</f>
        <v>2</v>
      </c>
      <c r="E717" s="70">
        <f>B715+B716+C715+C716+D716+D715</f>
        <v>15</v>
      </c>
    </row>
    <row r="719" spans="1:18">
      <c r="A719" s="590" t="s">
        <v>848</v>
      </c>
      <c r="B719" s="590"/>
      <c r="C719" s="590"/>
      <c r="D719" s="590"/>
      <c r="E719" s="590"/>
      <c r="F719" s="590"/>
      <c r="G719" s="590"/>
    </row>
    <row r="720" spans="1:18">
      <c r="A720" s="609" t="s">
        <v>637</v>
      </c>
      <c r="B720" s="609"/>
      <c r="C720" s="609"/>
      <c r="D720" s="609"/>
      <c r="E720" s="609"/>
      <c r="F720" s="613"/>
      <c r="G720" s="613"/>
    </row>
    <row r="721" spans="1:18">
      <c r="A721" s="664"/>
      <c r="B721" s="81" t="s">
        <v>86</v>
      </c>
      <c r="C721" s="81" t="s">
        <v>87</v>
      </c>
      <c r="D721" s="81" t="s">
        <v>90</v>
      </c>
      <c r="E721" s="57" t="s">
        <v>345</v>
      </c>
      <c r="F721" s="52"/>
      <c r="G721" s="84" t="s">
        <v>86</v>
      </c>
      <c r="H721" s="84" t="s">
        <v>87</v>
      </c>
      <c r="I721" s="84" t="s">
        <v>90</v>
      </c>
      <c r="K721" s="84" t="s">
        <v>86</v>
      </c>
      <c r="L721" s="84" t="s">
        <v>87</v>
      </c>
      <c r="M721" s="84" t="s">
        <v>90</v>
      </c>
    </row>
    <row r="722" spans="1:18">
      <c r="A722" s="665"/>
      <c r="B722" s="70" t="s">
        <v>103</v>
      </c>
      <c r="C722" s="74" t="s">
        <v>103</v>
      </c>
      <c r="D722" s="74" t="s">
        <v>103</v>
      </c>
      <c r="E722" s="70"/>
      <c r="G722" s="70" t="s">
        <v>103</v>
      </c>
      <c r="H722" s="70" t="s">
        <v>103</v>
      </c>
      <c r="I722" s="70" t="s">
        <v>103</v>
      </c>
      <c r="K722" s="70" t="s">
        <v>103</v>
      </c>
      <c r="L722" s="70" t="s">
        <v>103</v>
      </c>
      <c r="M722" s="70" t="s">
        <v>103</v>
      </c>
    </row>
    <row r="723" spans="1:18">
      <c r="A723" s="32" t="s">
        <v>35</v>
      </c>
      <c r="B723" s="70">
        <f>GETPIVOTDATA("Répondant",Croisements!$H$328,"Question 14.7",1,"L'âge regrouper",1)</f>
        <v>3</v>
      </c>
      <c r="C723" s="326">
        <f>GETPIVOTDATA("Répondant",Croisements!$H$328,"Question 14.7",1,"L'âge regrouper",2)</f>
        <v>4</v>
      </c>
      <c r="D723" s="326">
        <f>GETPIVOTDATA("Répondant",Croisements!$H$328,"Question 14.7",1,"L'âge regrouper",3)</f>
        <v>1</v>
      </c>
      <c r="E723" s="70">
        <f>B723+C723+D723</f>
        <v>8</v>
      </c>
      <c r="G723" s="65">
        <f>E723*B725/E725</f>
        <v>4.8</v>
      </c>
      <c r="H723" s="65">
        <f>E723*C725/E725</f>
        <v>2.1333333333333333</v>
      </c>
      <c r="I723" s="65">
        <f>E723*D725/E725</f>
        <v>1.0666666666666667</v>
      </c>
      <c r="K723" s="65">
        <f>POWER(B723-G723,2)/G723</f>
        <v>0.67499999999999993</v>
      </c>
      <c r="L723" s="65">
        <f t="shared" ref="L723:L724" si="117">POWER(C723-H723,2)/H723</f>
        <v>1.6333333333333335</v>
      </c>
      <c r="M723" s="65">
        <f t="shared" ref="M723:M724" si="118">POWER(D723-I723,2)/I723</f>
        <v>4.1666666666666649E-3</v>
      </c>
      <c r="O723" s="66">
        <f>SUM(K723:M724)</f>
        <v>4.9553571428571432</v>
      </c>
      <c r="Q723" s="66">
        <f>CHIDIST(O723,1)</f>
        <v>2.6009951867558063E-2</v>
      </c>
      <c r="R723" s="93">
        <f>IF(Q723&lt;0.05,ROUND(Q723,2),IF(Q723&gt;0.051,CONCATENATE(ROUND(Q723,2),"*")))</f>
        <v>0.03</v>
      </c>
    </row>
    <row r="724" spans="1:18">
      <c r="A724" s="32" t="s">
        <v>36</v>
      </c>
      <c r="B724" s="70">
        <f>GETPIVOTDATA("Répondant",Croisements!$H$328,"Question 14.7",2,"L'âge regrouper",1)</f>
        <v>6</v>
      </c>
      <c r="C724" s="326">
        <f>GETPIVOTDATA("Répondant",Croisements!$H$328,"Question 14.7",2,"L'âge regrouper",2)</f>
        <v>0</v>
      </c>
      <c r="D724" s="326">
        <f>GETPIVOTDATA("Répondant",Croisements!$H$328,"Question 14.7",2,"L'âge regrouper",3)</f>
        <v>1</v>
      </c>
      <c r="E724" s="70">
        <f t="shared" ref="E724" si="119">B724+C724+D724</f>
        <v>7</v>
      </c>
      <c r="G724" s="65">
        <f>E724*B725/E725</f>
        <v>4.2</v>
      </c>
      <c r="H724" s="65">
        <f>E724*C725/E725</f>
        <v>1.8666666666666667</v>
      </c>
      <c r="I724" s="65">
        <f>E724*D725/E725</f>
        <v>0.93333333333333335</v>
      </c>
      <c r="K724" s="65">
        <f>POWER(B724-G724,2)/G724</f>
        <v>0.77142857142857124</v>
      </c>
      <c r="L724" s="65">
        <f t="shared" si="117"/>
        <v>1.8666666666666667</v>
      </c>
      <c r="M724" s="65">
        <f t="shared" si="118"/>
        <v>4.7619047619047597E-3</v>
      </c>
    </row>
    <row r="725" spans="1:18">
      <c r="A725" s="46" t="s">
        <v>345</v>
      </c>
      <c r="B725" s="70">
        <f>B723+B724</f>
        <v>9</v>
      </c>
      <c r="C725" s="70">
        <f>C723+C724</f>
        <v>4</v>
      </c>
      <c r="D725" s="70">
        <f>D723+D724</f>
        <v>2</v>
      </c>
      <c r="E725" s="70">
        <f>B723+B724+C723+C724+D724+D723</f>
        <v>15</v>
      </c>
    </row>
    <row r="727" spans="1:18">
      <c r="A727" s="590" t="s">
        <v>792</v>
      </c>
      <c r="B727" s="590"/>
      <c r="C727" s="590"/>
      <c r="D727" s="590"/>
      <c r="E727" s="590"/>
      <c r="F727" s="590"/>
      <c r="G727" s="590"/>
    </row>
    <row r="728" spans="1:18">
      <c r="A728" s="609" t="s">
        <v>637</v>
      </c>
      <c r="B728" s="609"/>
      <c r="C728" s="609"/>
      <c r="D728" s="609"/>
      <c r="E728" s="609"/>
      <c r="F728" s="613"/>
      <c r="G728" s="613"/>
    </row>
    <row r="729" spans="1:18">
      <c r="A729" s="669"/>
      <c r="B729" s="81" t="s">
        <v>86</v>
      </c>
      <c r="C729" s="81" t="s">
        <v>87</v>
      </c>
      <c r="D729" s="81" t="s">
        <v>90</v>
      </c>
      <c r="E729" s="57" t="s">
        <v>345</v>
      </c>
      <c r="F729" s="52"/>
      <c r="G729" s="84" t="s">
        <v>86</v>
      </c>
      <c r="H729" s="84" t="s">
        <v>87</v>
      </c>
      <c r="I729" s="84" t="s">
        <v>90</v>
      </c>
      <c r="K729" s="84" t="s">
        <v>86</v>
      </c>
      <c r="L729" s="84" t="s">
        <v>87</v>
      </c>
      <c r="M729" s="84" t="s">
        <v>90</v>
      </c>
    </row>
    <row r="730" spans="1:18">
      <c r="A730" s="665"/>
      <c r="B730" s="70" t="s">
        <v>103</v>
      </c>
      <c r="C730" s="74" t="s">
        <v>103</v>
      </c>
      <c r="D730" s="74" t="s">
        <v>103</v>
      </c>
      <c r="E730" s="70"/>
      <c r="G730" s="70" t="s">
        <v>103</v>
      </c>
      <c r="H730" s="70" t="s">
        <v>103</v>
      </c>
      <c r="I730" s="70" t="s">
        <v>103</v>
      </c>
      <c r="K730" s="70" t="s">
        <v>103</v>
      </c>
      <c r="L730" s="70" t="s">
        <v>103</v>
      </c>
      <c r="M730" s="70" t="s">
        <v>103</v>
      </c>
    </row>
    <row r="731" spans="1:18">
      <c r="A731" s="32" t="s">
        <v>35</v>
      </c>
      <c r="B731" s="70">
        <f>GETPIVOTDATA("Répondant",Croisements!$H$337,"Question 14.8",1,"L'âge regrouper",1)</f>
        <v>3</v>
      </c>
      <c r="C731" s="326">
        <f>GETPIVOTDATA("Répondant",Croisements!$H$337,"Question 14.8",1,"L'âge regrouper",2)</f>
        <v>2</v>
      </c>
      <c r="D731" s="326">
        <f>GETPIVOTDATA("Répondant",Croisements!$H$337,"Question 14.8",1,"L'âge regrouper",3)</f>
        <v>2</v>
      </c>
      <c r="E731" s="70">
        <f>B731+C731+D731</f>
        <v>7</v>
      </c>
      <c r="G731" s="65">
        <f>E731*B733/E733</f>
        <v>4.2</v>
      </c>
      <c r="H731" s="65">
        <f>E731*C733/E733</f>
        <v>1.8666666666666667</v>
      </c>
      <c r="I731" s="65">
        <f>E731*D733/E733</f>
        <v>0.93333333333333335</v>
      </c>
      <c r="K731" s="65">
        <f>POWER(B731-G731,2)/G731</f>
        <v>0.34285714285714292</v>
      </c>
      <c r="L731" s="65">
        <f t="shared" ref="L731:L732" si="120">POWER(C731-H731,2)/H731</f>
        <v>9.5238095238095195E-3</v>
      </c>
      <c r="M731" s="65">
        <f t="shared" ref="M731:M732" si="121">POWER(D731-I731,2)/I731</f>
        <v>1.2190476190476189</v>
      </c>
      <c r="O731" s="66">
        <f>SUM(K731:M732)</f>
        <v>2.9464285714285712</v>
      </c>
      <c r="Q731" s="66">
        <f>CHIDIST(O731,1)</f>
        <v>8.6067567872339018E-2</v>
      </c>
      <c r="R731" s="93" t="str">
        <f>IF(Q731&lt;0.05,ROUND(Q731,2),IF(Q731&gt;0.051,CONCATENATE(ROUND(Q731,2),"*")))</f>
        <v>0.09*</v>
      </c>
    </row>
    <row r="732" spans="1:18">
      <c r="A732" s="32" t="s">
        <v>36</v>
      </c>
      <c r="B732" s="70">
        <f>GETPIVOTDATA("Répondant",Croisements!$H$337,"Question 14.8",2,"L'âge regrouper",1)</f>
        <v>6</v>
      </c>
      <c r="C732" s="326">
        <f>GETPIVOTDATA("Répondant",Croisements!$H$337,"Question 14.8",2,"L'âge regrouper",2)</f>
        <v>2</v>
      </c>
      <c r="D732" s="326">
        <f>GETPIVOTDATA("Répondant",Croisements!$H$337,"Question 14.8",2,"L'âge regrouper",3)</f>
        <v>0</v>
      </c>
      <c r="E732" s="70">
        <f t="shared" ref="E732" si="122">B732+C732+D732</f>
        <v>8</v>
      </c>
      <c r="G732" s="65">
        <f>E732*B733/E733</f>
        <v>4.8</v>
      </c>
      <c r="H732" s="65">
        <f>E732*C733/E733</f>
        <v>2.1333333333333333</v>
      </c>
      <c r="I732" s="65">
        <f>E732*D733/E733</f>
        <v>1.0666666666666667</v>
      </c>
      <c r="K732" s="65">
        <f>POWER(B732-G732,2)/G732</f>
        <v>0.3000000000000001</v>
      </c>
      <c r="L732" s="65">
        <f t="shared" si="120"/>
        <v>8.3333333333333297E-3</v>
      </c>
      <c r="M732" s="65">
        <f t="shared" si="121"/>
        <v>1.0666666666666667</v>
      </c>
    </row>
    <row r="733" spans="1:18">
      <c r="A733" s="46" t="s">
        <v>345</v>
      </c>
      <c r="B733" s="70">
        <f>B731+B732</f>
        <v>9</v>
      </c>
      <c r="C733" s="70">
        <f>C731+C732</f>
        <v>4</v>
      </c>
      <c r="D733" s="70">
        <f>D731+D732</f>
        <v>2</v>
      </c>
      <c r="E733" s="70">
        <f>B731+B732+C731+C732+D732+D731</f>
        <v>15</v>
      </c>
    </row>
    <row r="735" spans="1:18">
      <c r="A735" s="590" t="s">
        <v>960</v>
      </c>
      <c r="B735" s="590"/>
      <c r="C735" s="590"/>
      <c r="D735" s="590"/>
      <c r="E735" s="590"/>
      <c r="F735" s="590"/>
      <c r="G735" s="590"/>
    </row>
    <row r="736" spans="1:18">
      <c r="A736" s="609" t="s">
        <v>637</v>
      </c>
      <c r="B736" s="609"/>
      <c r="C736" s="609"/>
      <c r="D736" s="609"/>
      <c r="E736" s="609"/>
      <c r="F736" s="613"/>
      <c r="G736" s="613"/>
    </row>
    <row r="737" spans="1:18">
      <c r="A737" s="664"/>
      <c r="B737" s="81" t="s">
        <v>86</v>
      </c>
      <c r="C737" s="81" t="s">
        <v>87</v>
      </c>
      <c r="D737" s="81" t="s">
        <v>90</v>
      </c>
      <c r="E737" s="57" t="s">
        <v>345</v>
      </c>
      <c r="F737" s="52"/>
      <c r="G737" s="84" t="s">
        <v>86</v>
      </c>
      <c r="H737" s="84" t="s">
        <v>87</v>
      </c>
      <c r="I737" s="84" t="s">
        <v>90</v>
      </c>
      <c r="K737" s="84" t="s">
        <v>86</v>
      </c>
      <c r="L737" s="84" t="s">
        <v>87</v>
      </c>
      <c r="M737" s="84" t="s">
        <v>90</v>
      </c>
    </row>
    <row r="738" spans="1:18">
      <c r="A738" s="665"/>
      <c r="B738" s="70" t="s">
        <v>103</v>
      </c>
      <c r="C738" s="74" t="s">
        <v>103</v>
      </c>
      <c r="D738" s="74" t="s">
        <v>103</v>
      </c>
      <c r="E738" s="70"/>
      <c r="G738" s="70" t="s">
        <v>103</v>
      </c>
      <c r="H738" s="70" t="s">
        <v>103</v>
      </c>
      <c r="I738" s="70" t="s">
        <v>103</v>
      </c>
      <c r="K738" s="70" t="s">
        <v>103</v>
      </c>
      <c r="L738" s="70" t="s">
        <v>103</v>
      </c>
      <c r="M738" s="70" t="s">
        <v>103</v>
      </c>
    </row>
    <row r="739" spans="1:18">
      <c r="A739" s="32" t="s">
        <v>35</v>
      </c>
      <c r="B739" s="70">
        <f>GETPIVOTDATA("Répondant",Croisements!$H$346,"Question 15",1,"L'âge regrouper",1)</f>
        <v>4</v>
      </c>
      <c r="C739" s="326">
        <f>GETPIVOTDATA("Répondant",Croisements!$H$346,"Question 15",1,"L'âge regrouper",2)</f>
        <v>2</v>
      </c>
      <c r="D739" s="326">
        <f>GETPIVOTDATA("Répondant",Croisements!$H$346,"Question 15",1,"L'âge regrouper",3)</f>
        <v>1</v>
      </c>
      <c r="E739" s="70">
        <f>B739+C739+D739</f>
        <v>7</v>
      </c>
      <c r="G739" s="65">
        <f>E739*B741/E741</f>
        <v>4.2</v>
      </c>
      <c r="H739" s="65">
        <f>E739*C741/E741</f>
        <v>1.8666666666666667</v>
      </c>
      <c r="I739" s="65">
        <f>E739*D741/E741</f>
        <v>0.93333333333333335</v>
      </c>
      <c r="K739" s="65">
        <f>POWER(B739-G739,2)/G739</f>
        <v>9.5238095238095403E-3</v>
      </c>
      <c r="L739" s="65">
        <f t="shared" ref="L739:L740" si="123">POWER(C739-H739,2)/H739</f>
        <v>9.5238095238095195E-3</v>
      </c>
      <c r="M739" s="65">
        <f t="shared" ref="M739:M740" si="124">POWER(D739-I739,2)/I739</f>
        <v>4.7619047619047597E-3</v>
      </c>
      <c r="O739" s="66">
        <f>SUM(K739:M740)</f>
        <v>4.4642857142857165E-2</v>
      </c>
      <c r="Q739" s="66">
        <f>CHIDIST(O739,1)</f>
        <v>0.83266210635053239</v>
      </c>
      <c r="R739" s="93" t="str">
        <f>IF(Q739&lt;0.05,ROUND(Q739,2),IF(Q739&gt;0.051,CONCATENATE(ROUND(Q739,2),"*")))</f>
        <v>0.83*</v>
      </c>
    </row>
    <row r="740" spans="1:18">
      <c r="A740" s="32" t="s">
        <v>36</v>
      </c>
      <c r="B740" s="70">
        <f>GETPIVOTDATA("Répondant",Croisements!$H$346,"Question 15",2,"L'âge regrouper",1)</f>
        <v>5</v>
      </c>
      <c r="C740" s="326">
        <f>GETPIVOTDATA("Répondant",Croisements!$H$346,"Question 15",2,"L'âge regrouper",2)</f>
        <v>2</v>
      </c>
      <c r="D740" s="326">
        <f>GETPIVOTDATA("Répondant",Croisements!$H$346,"Question 15",2,"L'âge regrouper",3)</f>
        <v>1</v>
      </c>
      <c r="E740" s="70">
        <f t="shared" ref="E740" si="125">B740+C740+D740</f>
        <v>8</v>
      </c>
      <c r="G740" s="65">
        <f>E740*B741/E741</f>
        <v>4.8</v>
      </c>
      <c r="H740" s="65">
        <f>E740*C741/E741</f>
        <v>2.1333333333333333</v>
      </c>
      <c r="I740" s="65">
        <f>E740*D741/E741</f>
        <v>1.0666666666666667</v>
      </c>
      <c r="K740" s="65">
        <f>POWER(B740-G740,2)/G740</f>
        <v>8.3333333333333488E-3</v>
      </c>
      <c r="L740" s="65">
        <f t="shared" si="123"/>
        <v>8.3333333333333297E-3</v>
      </c>
      <c r="M740" s="65">
        <f t="shared" si="124"/>
        <v>4.1666666666666649E-3</v>
      </c>
    </row>
    <row r="741" spans="1:18">
      <c r="A741" s="46" t="s">
        <v>345</v>
      </c>
      <c r="B741" s="70">
        <f>B739+B740</f>
        <v>9</v>
      </c>
      <c r="C741" s="70">
        <f>C739+C740</f>
        <v>4</v>
      </c>
      <c r="D741" s="70">
        <f>D739+D740</f>
        <v>2</v>
      </c>
      <c r="E741" s="70">
        <f>B739+B740+C739+C740+D740+D739</f>
        <v>15</v>
      </c>
    </row>
    <row r="743" spans="1:18">
      <c r="A743" s="590" t="s">
        <v>843</v>
      </c>
      <c r="B743" s="590"/>
      <c r="C743" s="590"/>
      <c r="D743" s="590"/>
      <c r="E743" s="590"/>
      <c r="F743" s="590"/>
      <c r="G743" s="590"/>
    </row>
    <row r="744" spans="1:18">
      <c r="A744" s="609" t="s">
        <v>637</v>
      </c>
      <c r="B744" s="609"/>
      <c r="C744" s="609"/>
      <c r="D744" s="609"/>
      <c r="E744" s="609"/>
      <c r="F744" s="613"/>
      <c r="G744" s="613"/>
    </row>
    <row r="745" spans="1:18">
      <c r="A745" s="669"/>
      <c r="B745" s="81" t="s">
        <v>86</v>
      </c>
      <c r="C745" s="81" t="s">
        <v>87</v>
      </c>
      <c r="D745" s="81" t="s">
        <v>90</v>
      </c>
      <c r="E745" s="57" t="s">
        <v>345</v>
      </c>
      <c r="F745" s="52"/>
      <c r="G745" s="84" t="s">
        <v>86</v>
      </c>
      <c r="H745" s="84" t="s">
        <v>87</v>
      </c>
      <c r="I745" s="84" t="s">
        <v>90</v>
      </c>
      <c r="K745" s="84" t="s">
        <v>86</v>
      </c>
      <c r="L745" s="84" t="s">
        <v>87</v>
      </c>
      <c r="M745" s="84" t="s">
        <v>90</v>
      </c>
    </row>
    <row r="746" spans="1:18">
      <c r="A746" s="665"/>
      <c r="B746" s="70" t="s">
        <v>103</v>
      </c>
      <c r="C746" s="74" t="s">
        <v>103</v>
      </c>
      <c r="D746" s="74" t="s">
        <v>103</v>
      </c>
      <c r="E746" s="70"/>
      <c r="G746" s="70" t="s">
        <v>103</v>
      </c>
      <c r="H746" s="70" t="s">
        <v>103</v>
      </c>
      <c r="I746" s="70" t="s">
        <v>103</v>
      </c>
      <c r="K746" s="70" t="s">
        <v>103</v>
      </c>
      <c r="L746" s="70" t="s">
        <v>103</v>
      </c>
      <c r="M746" s="70" t="s">
        <v>103</v>
      </c>
    </row>
    <row r="747" spans="1:18">
      <c r="A747" s="32" t="s">
        <v>35</v>
      </c>
      <c r="B747" s="70">
        <f>GETPIVOTDATA("Répondant",Croisements!$H$355,"Question 15A",1,"L'âge regrouper",1)</f>
        <v>2</v>
      </c>
      <c r="C747" s="326">
        <f>GETPIVOTDATA("Répondant",Croisements!$H$355,"Question 15A",1,"L'âge regrouper",2)</f>
        <v>2</v>
      </c>
      <c r="D747" s="326">
        <f>GETPIVOTDATA("Répondant",Croisements!$H$355,"Question 15A",1,"L'âge regrouper",3)</f>
        <v>0</v>
      </c>
      <c r="E747" s="70">
        <f>B747+C747+D747</f>
        <v>4</v>
      </c>
      <c r="G747" s="65">
        <f>E747*B749/E749</f>
        <v>2.2857142857142856</v>
      </c>
      <c r="H747" s="65">
        <f>E747*C749/E749</f>
        <v>1.1428571428571428</v>
      </c>
      <c r="I747" s="65">
        <f>E747*D749/E749</f>
        <v>0.5714285714285714</v>
      </c>
      <c r="K747" s="65">
        <f>POWER(B747-G747,2)/G747</f>
        <v>3.5714285714285685E-2</v>
      </c>
      <c r="L747" s="65">
        <f t="shared" ref="L747:L748" si="126">POWER(C747-H747,2)/H747</f>
        <v>0.64285714285714302</v>
      </c>
      <c r="M747" s="65">
        <f t="shared" ref="M747:M748" si="127">POWER(D747-I747,2)/I747</f>
        <v>0.5714285714285714</v>
      </c>
      <c r="O747" s="66">
        <f>SUM(K747:M748)</f>
        <v>2.9166666666666665</v>
      </c>
      <c r="Q747" s="66">
        <f>CHIDIST(O747,1)</f>
        <v>8.7668795129929311E-2</v>
      </c>
      <c r="R747" s="93" t="str">
        <f>IF(Q747&lt;0.05,ROUND(Q747,2),IF(Q747&gt;0.051,CONCATENATE(ROUND(Q747,2),"*")))</f>
        <v>0.09*</v>
      </c>
    </row>
    <row r="748" spans="1:18">
      <c r="A748" s="32" t="s">
        <v>36</v>
      </c>
      <c r="B748" s="70">
        <f>GETPIVOTDATA("Répondant",Croisements!$H$355,"Question 15A",2,"L'âge regrouper",1)</f>
        <v>2</v>
      </c>
      <c r="C748" s="326">
        <f>GETPIVOTDATA("Répondant",Croisements!$H$355,"Question 15A",2,"L'âge regrouper",2)</f>
        <v>0</v>
      </c>
      <c r="D748" s="326">
        <f>GETPIVOTDATA("Répondant",Croisements!$H$355,"Question 15A",2,"L'âge regrouper",3)</f>
        <v>1</v>
      </c>
      <c r="E748" s="70">
        <f t="shared" ref="E748" si="128">B748+C748+D748</f>
        <v>3</v>
      </c>
      <c r="G748" s="65">
        <f>E748*B749/E749</f>
        <v>1.7142857142857142</v>
      </c>
      <c r="H748" s="65">
        <f>E748*C749/E749</f>
        <v>0.8571428571428571</v>
      </c>
      <c r="I748" s="65">
        <f>E748*D749/E749</f>
        <v>0.42857142857142855</v>
      </c>
      <c r="K748" s="65">
        <f>POWER(B748-G748,2)/G748</f>
        <v>4.7619047619047651E-2</v>
      </c>
      <c r="L748" s="65">
        <f t="shared" si="126"/>
        <v>0.8571428571428571</v>
      </c>
      <c r="M748" s="65">
        <f t="shared" si="127"/>
        <v>0.76190476190476186</v>
      </c>
    </row>
    <row r="749" spans="1:18">
      <c r="A749" s="46" t="s">
        <v>345</v>
      </c>
      <c r="B749" s="70">
        <f>B747+B748</f>
        <v>4</v>
      </c>
      <c r="C749" s="70">
        <f>C747+C748</f>
        <v>2</v>
      </c>
      <c r="D749" s="70">
        <f>D747+D748</f>
        <v>1</v>
      </c>
      <c r="E749" s="70">
        <f>B747+B748+C747+C748+D748+D747</f>
        <v>7</v>
      </c>
    </row>
    <row r="751" spans="1:18">
      <c r="A751" s="590" t="s">
        <v>794</v>
      </c>
      <c r="B751" s="590"/>
      <c r="C751" s="590"/>
      <c r="D751" s="590"/>
      <c r="E751" s="590"/>
      <c r="F751" s="590"/>
      <c r="G751" s="590"/>
    </row>
    <row r="752" spans="1:18">
      <c r="A752" s="609" t="s">
        <v>637</v>
      </c>
      <c r="B752" s="609"/>
      <c r="C752" s="609"/>
      <c r="D752" s="609"/>
      <c r="E752" s="609"/>
      <c r="F752" s="613"/>
      <c r="G752" s="613"/>
    </row>
    <row r="753" spans="1:18">
      <c r="A753" s="664"/>
      <c r="B753" s="81" t="s">
        <v>86</v>
      </c>
      <c r="C753" s="81" t="s">
        <v>87</v>
      </c>
      <c r="D753" s="81" t="s">
        <v>90</v>
      </c>
      <c r="E753" s="57" t="s">
        <v>345</v>
      </c>
      <c r="F753" s="52"/>
      <c r="G753" s="84" t="s">
        <v>86</v>
      </c>
      <c r="H753" s="84" t="s">
        <v>87</v>
      </c>
      <c r="I753" s="84" t="s">
        <v>90</v>
      </c>
      <c r="K753" s="84" t="s">
        <v>86</v>
      </c>
      <c r="L753" s="84" t="s">
        <v>87</v>
      </c>
      <c r="M753" s="84" t="s">
        <v>90</v>
      </c>
    </row>
    <row r="754" spans="1:18">
      <c r="A754" s="665"/>
      <c r="B754" s="70" t="s">
        <v>103</v>
      </c>
      <c r="C754" s="74" t="s">
        <v>103</v>
      </c>
      <c r="D754" s="74" t="s">
        <v>103</v>
      </c>
      <c r="E754" s="70"/>
      <c r="G754" s="70" t="s">
        <v>103</v>
      </c>
      <c r="H754" s="70" t="s">
        <v>103</v>
      </c>
      <c r="I754" s="70" t="s">
        <v>103</v>
      </c>
      <c r="K754" s="70" t="s">
        <v>103</v>
      </c>
      <c r="L754" s="70" t="s">
        <v>103</v>
      </c>
      <c r="M754" s="70" t="s">
        <v>103</v>
      </c>
    </row>
    <row r="755" spans="1:18">
      <c r="A755" s="32" t="s">
        <v>460</v>
      </c>
      <c r="B755" s="70">
        <f>GETPIVOTDATA("Répondant",Croisements!$H$365,"Question 16.1",1,"L'âge regrouper",1)+GETPIVOTDATA("Répondant",Croisements!$H$365,"Question 16.1",2,"L'âge regrouper",1)</f>
        <v>4</v>
      </c>
      <c r="C755" s="326">
        <f>GETPIVOTDATA("Répondant",Croisements!$H$365,"Question 16.1",1,"L'âge regrouper",2)+GETPIVOTDATA("Répondant",Croisements!$H$365,"Question 16.1",2,"L'âge regrouper",2)</f>
        <v>1</v>
      </c>
      <c r="D755" s="326">
        <f>GETPIVOTDATA("Répondant",Croisements!$H$365,"Question 16.1",1,"L'âge regrouper",3)+GETPIVOTDATA("Répondant",Croisements!$H$365,"Question 16.1",2,"L'âge regrouper",3)</f>
        <v>2</v>
      </c>
      <c r="E755" s="70">
        <f>B755+C755+D755</f>
        <v>7</v>
      </c>
      <c r="G755" s="65">
        <f>E755*B757/E757</f>
        <v>4.5</v>
      </c>
      <c r="H755" s="65">
        <f>E755*C757/E757</f>
        <v>1.5</v>
      </c>
      <c r="I755" s="65">
        <f>E755*D757/E757</f>
        <v>1</v>
      </c>
      <c r="K755" s="65">
        <f>POWER(B755-G755,2)/G755</f>
        <v>5.5555555555555552E-2</v>
      </c>
      <c r="L755" s="65">
        <f t="shared" ref="L755:L756" si="129">POWER(C755-H755,2)/H755</f>
        <v>0.16666666666666666</v>
      </c>
      <c r="M755" s="65">
        <f t="shared" ref="M755:M756" si="130">POWER(D755-I755,2)/I755</f>
        <v>1</v>
      </c>
      <c r="O755" s="66">
        <f>SUM(K755:M756)</f>
        <v>2.4444444444444446</v>
      </c>
      <c r="Q755" s="66">
        <f>CHIDIST(O755,1)</f>
        <v>0.11794163538761532</v>
      </c>
      <c r="R755" s="93" t="str">
        <f>IF(Q755&lt;0.05,ROUND(Q755,2),IF(Q755&gt;0.051,CONCATENATE(ROUND(Q755,2),"*")))</f>
        <v>0.12*</v>
      </c>
    </row>
    <row r="756" spans="1:18">
      <c r="A756" s="32" t="s">
        <v>461</v>
      </c>
      <c r="B756" s="70">
        <f>GETPIVOTDATA("Répondant",Croisements!$H$365,"Question 16.1",3,"L'âge regrouper",1)+GETPIVOTDATA("Répondant",Croisements!$H$365,"Question 16.1",4,"L'âge regrouper",1)</f>
        <v>5</v>
      </c>
      <c r="C756" s="326">
        <f>GETPIVOTDATA("Répondant",Croisements!$H$365,"Question 16.1",3,"L'âge regrouper",2)+GETPIVOTDATA("Répondant",Croisements!$H$365,"Question 16.1",4,"L'âge regrouper",2)</f>
        <v>2</v>
      </c>
      <c r="D756" s="326">
        <f>GETPIVOTDATA("Répondant",Croisements!$H$365,"Question 16.1",3,"L'âge regrouper",3)+GETPIVOTDATA("Répondant",Croisements!$H$365,"Question 16.1",4,"L'âge regrouper",3)</f>
        <v>0</v>
      </c>
      <c r="E756" s="70">
        <f t="shared" ref="E756" si="131">B756+C756+D756</f>
        <v>7</v>
      </c>
      <c r="G756" s="65">
        <f>E756*B757/E757</f>
        <v>4.5</v>
      </c>
      <c r="H756" s="65">
        <f>E756*C757/E757</f>
        <v>1.5</v>
      </c>
      <c r="I756" s="65">
        <f>E756*D757/E757</f>
        <v>1</v>
      </c>
      <c r="K756" s="65">
        <f>POWER(B756-G756,2)/G756</f>
        <v>5.5555555555555552E-2</v>
      </c>
      <c r="L756" s="65">
        <f t="shared" si="129"/>
        <v>0.16666666666666666</v>
      </c>
      <c r="M756" s="65">
        <f t="shared" si="130"/>
        <v>1</v>
      </c>
    </row>
    <row r="757" spans="1:18">
      <c r="A757" s="46" t="s">
        <v>345</v>
      </c>
      <c r="B757" s="70">
        <f>B755+B756</f>
        <v>9</v>
      </c>
      <c r="C757" s="70">
        <f>C755+C756</f>
        <v>3</v>
      </c>
      <c r="D757" s="70">
        <f>D755+D756</f>
        <v>2</v>
      </c>
      <c r="E757" s="70">
        <f>B755+B756+C755+C756+D756+D755</f>
        <v>14</v>
      </c>
    </row>
    <row r="759" spans="1:18">
      <c r="A759" s="590" t="s">
        <v>962</v>
      </c>
      <c r="B759" s="590"/>
      <c r="C759" s="590"/>
      <c r="D759" s="590"/>
      <c r="E759" s="590"/>
      <c r="F759" s="590"/>
      <c r="G759" s="590"/>
    </row>
    <row r="760" spans="1:18">
      <c r="A760" s="609" t="s">
        <v>637</v>
      </c>
      <c r="B760" s="609"/>
      <c r="C760" s="609"/>
      <c r="D760" s="609"/>
      <c r="E760" s="609"/>
      <c r="F760" s="613"/>
      <c r="G760" s="613"/>
    </row>
    <row r="761" spans="1:18">
      <c r="A761" s="669"/>
      <c r="B761" s="81" t="s">
        <v>86</v>
      </c>
      <c r="C761" s="81" t="s">
        <v>87</v>
      </c>
      <c r="D761" s="81" t="s">
        <v>90</v>
      </c>
      <c r="E761" s="57" t="s">
        <v>345</v>
      </c>
      <c r="F761" s="52"/>
      <c r="G761" s="84" t="s">
        <v>86</v>
      </c>
      <c r="H761" s="84" t="s">
        <v>87</v>
      </c>
      <c r="I761" s="84" t="s">
        <v>90</v>
      </c>
      <c r="K761" s="84" t="s">
        <v>86</v>
      </c>
      <c r="L761" s="84" t="s">
        <v>87</v>
      </c>
      <c r="M761" s="84" t="s">
        <v>90</v>
      </c>
    </row>
    <row r="762" spans="1:18">
      <c r="A762" s="665"/>
      <c r="B762" s="70" t="s">
        <v>103</v>
      </c>
      <c r="C762" s="74" t="s">
        <v>103</v>
      </c>
      <c r="D762" s="74" t="s">
        <v>103</v>
      </c>
      <c r="E762" s="70"/>
      <c r="G762" s="70" t="s">
        <v>103</v>
      </c>
      <c r="H762" s="70" t="s">
        <v>103</v>
      </c>
      <c r="I762" s="70" t="s">
        <v>103</v>
      </c>
      <c r="K762" s="70" t="s">
        <v>103</v>
      </c>
      <c r="L762" s="70" t="s">
        <v>103</v>
      </c>
      <c r="M762" s="70" t="s">
        <v>103</v>
      </c>
    </row>
    <row r="763" spans="1:18">
      <c r="A763" s="32" t="s">
        <v>460</v>
      </c>
      <c r="B763" s="70">
        <f>GETPIVOTDATA("Répondant",Croisements!$H$377,"Question 16.2",1,"L'âge regrouper",1)+GETPIVOTDATA("Répondant",Croisements!$H$377,"Question 16.2",2,"L'âge regrouper",1)</f>
        <v>5</v>
      </c>
      <c r="C763" s="326">
        <f>GETPIVOTDATA("Répondant",Croisements!$H$377,"Question 16.2",1,"L'âge regrouper",2)+GETPIVOTDATA("Répondant",Croisements!$H$377,"Question 16.2",2,"L'âge regrouper",2)</f>
        <v>2</v>
      </c>
      <c r="D763" s="326">
        <f>GETPIVOTDATA("Répondant",Croisements!$H$377,"Question 16.2",1,"L'âge regrouper",3)+GETPIVOTDATA("Répondant",Croisements!$H$377,"Question 16.2",2,"L'âge regrouper",3)</f>
        <v>1</v>
      </c>
      <c r="E763" s="70">
        <f>B763+C763+D763</f>
        <v>8</v>
      </c>
      <c r="G763" s="65">
        <f>E763*B765/E765</f>
        <v>4.3076923076923075</v>
      </c>
      <c r="H763" s="65">
        <f>E763*C765/E765</f>
        <v>2.4615384615384617</v>
      </c>
      <c r="I763" s="65">
        <f>E763*D765/E765</f>
        <v>1.2307692307692308</v>
      </c>
      <c r="K763" s="65">
        <f>POWER(B763-G763,2)/G763</f>
        <v>0.11126373626373634</v>
      </c>
      <c r="L763" s="65">
        <f t="shared" ref="L763:L764" si="132">POWER(C763-H763,2)/H763</f>
        <v>8.6538461538461578E-2</v>
      </c>
      <c r="M763" s="65">
        <f t="shared" ref="M763:M764" si="133">POWER(D763-I763,2)/I763</f>
        <v>4.3269230769230789E-2</v>
      </c>
      <c r="O763" s="66">
        <f>SUM(K763:M764)</f>
        <v>0.6267857142857145</v>
      </c>
      <c r="Q763" s="66">
        <f>CHIDIST(O763,1)</f>
        <v>0.42853679206178202</v>
      </c>
      <c r="R763" s="93" t="str">
        <f>IF(Q763&lt;0.05,ROUND(Q763,2),IF(Q763&gt;0.051,CONCATENATE(ROUND(Q763,2),"*")))</f>
        <v>0.43*</v>
      </c>
    </row>
    <row r="764" spans="1:18">
      <c r="A764" s="32" t="s">
        <v>461</v>
      </c>
      <c r="B764" s="70">
        <f>GETPIVOTDATA("Répondant",Croisements!$H$377,"Question 16.2",3,"L'âge regrouper",1)+GETPIVOTDATA("Répondant",Croisements!$H$377,"Question 16.2",4,"L'âge regrouper",1)</f>
        <v>2</v>
      </c>
      <c r="C764" s="326">
        <f>GETPIVOTDATA("Répondant",Croisements!$H$377,"Question 16.2",3,"L'âge regrouper",2)+GETPIVOTDATA("Répondant",Croisements!$H$377,"Question 16.2",4,"L'âge regrouper",2)</f>
        <v>2</v>
      </c>
      <c r="D764" s="326">
        <f>GETPIVOTDATA("Répondant",Croisements!$H$377,"Question 16.2",3,"L'âge regrouper",3)+GETPIVOTDATA("Répondant",Croisements!$H$377,"Question 16.2",4,"L'âge regrouper",3)</f>
        <v>1</v>
      </c>
      <c r="E764" s="70">
        <f t="shared" ref="E764" si="134">B764+C764+D764</f>
        <v>5</v>
      </c>
      <c r="G764" s="65">
        <f>E764*B765/E765</f>
        <v>2.6923076923076925</v>
      </c>
      <c r="H764" s="65">
        <f>E764*C765/E765</f>
        <v>1.5384615384615385</v>
      </c>
      <c r="I764" s="65">
        <f>E764*D765/E765</f>
        <v>0.76923076923076927</v>
      </c>
      <c r="K764" s="65">
        <f>POWER(B764-G764,2)/G764</f>
        <v>0.17802197802197811</v>
      </c>
      <c r="L764" s="65">
        <f t="shared" si="132"/>
        <v>0.13846153846153841</v>
      </c>
      <c r="M764" s="65">
        <f t="shared" si="133"/>
        <v>6.9230769230769207E-2</v>
      </c>
    </row>
    <row r="765" spans="1:18">
      <c r="A765" s="46" t="s">
        <v>345</v>
      </c>
      <c r="B765" s="70">
        <f>B763+B764</f>
        <v>7</v>
      </c>
      <c r="C765" s="70">
        <f>C763+C764</f>
        <v>4</v>
      </c>
      <c r="D765" s="70">
        <f>D763+D764</f>
        <v>2</v>
      </c>
      <c r="E765" s="70">
        <f>B763+B764+C763+C764+D764+D763</f>
        <v>13</v>
      </c>
    </row>
    <row r="767" spans="1:18">
      <c r="A767" s="590" t="s">
        <v>963</v>
      </c>
      <c r="B767" s="590"/>
      <c r="C767" s="590"/>
      <c r="D767" s="590"/>
      <c r="E767" s="590"/>
      <c r="F767" s="590"/>
      <c r="G767" s="590"/>
    </row>
    <row r="768" spans="1:18">
      <c r="A768" s="609" t="s">
        <v>637</v>
      </c>
      <c r="B768" s="609"/>
      <c r="C768" s="609"/>
      <c r="D768" s="609"/>
      <c r="E768" s="609"/>
      <c r="F768" s="613"/>
      <c r="G768" s="613"/>
    </row>
    <row r="769" spans="1:18">
      <c r="A769" s="664"/>
      <c r="B769" s="81" t="s">
        <v>86</v>
      </c>
      <c r="C769" s="81" t="s">
        <v>87</v>
      </c>
      <c r="D769" s="81" t="s">
        <v>90</v>
      </c>
      <c r="E769" s="57" t="s">
        <v>345</v>
      </c>
      <c r="F769" s="52"/>
      <c r="G769" s="84" t="s">
        <v>86</v>
      </c>
      <c r="H769" s="84" t="s">
        <v>87</v>
      </c>
      <c r="I769" s="84" t="s">
        <v>90</v>
      </c>
      <c r="K769" s="84" t="s">
        <v>86</v>
      </c>
      <c r="L769" s="84" t="s">
        <v>87</v>
      </c>
      <c r="M769" s="84" t="s">
        <v>90</v>
      </c>
    </row>
    <row r="770" spans="1:18">
      <c r="A770" s="665"/>
      <c r="B770" s="70" t="s">
        <v>103</v>
      </c>
      <c r="C770" s="74" t="s">
        <v>103</v>
      </c>
      <c r="D770" s="74" t="s">
        <v>103</v>
      </c>
      <c r="E770" s="70"/>
      <c r="G770" s="70" t="s">
        <v>103</v>
      </c>
      <c r="H770" s="70" t="s">
        <v>103</v>
      </c>
      <c r="I770" s="70" t="s">
        <v>103</v>
      </c>
      <c r="K770" s="70" t="s">
        <v>103</v>
      </c>
      <c r="L770" s="70" t="s">
        <v>103</v>
      </c>
      <c r="M770" s="70" t="s">
        <v>103</v>
      </c>
    </row>
    <row r="771" spans="1:18">
      <c r="A771" s="32" t="s">
        <v>460</v>
      </c>
      <c r="B771" s="70">
        <f>GETPIVOTDATA("Répondant",Croisements!$H$389,"Question 16.3",1,"L'âge regrouper",1)+GETPIVOTDATA("Répondant",Croisements!$H$389,"Question 16.3",2,"L'âge regrouper",1)</f>
        <v>5</v>
      </c>
      <c r="C771" s="326">
        <f>GETPIVOTDATA("Répondant",Croisements!$H$389,"Question 16.3",1,"L'âge regrouper",2)+GETPIVOTDATA("Répondant",Croisements!$H$389,"Question 16.3",2,"L'âge regrouper",2)</f>
        <v>3</v>
      </c>
      <c r="D771" s="326">
        <f>GETPIVOTDATA("Répondant",Croisements!$H$389,"Question 16.3",1,"L'âge regrouper",3)+GETPIVOTDATA("Répondant",Croisements!$H$389,"Question 16.3",2,"L'âge regrouper",3)</f>
        <v>0</v>
      </c>
      <c r="E771" s="70">
        <f>B771+C771+D771</f>
        <v>8</v>
      </c>
      <c r="G771" s="65">
        <f>E771*B773/E773</f>
        <v>5.1428571428571432</v>
      </c>
      <c r="H771" s="65">
        <f>E771*C773/E773</f>
        <v>2.2857142857142856</v>
      </c>
      <c r="I771" s="65">
        <f>E771*D773/E773</f>
        <v>0.5714285714285714</v>
      </c>
      <c r="K771" s="65">
        <f>POWER(B771-G771,2)/G771</f>
        <v>3.9682539682539889E-3</v>
      </c>
      <c r="L771" s="65">
        <f t="shared" ref="L771:L772" si="135">POWER(C771-H771,2)/H771</f>
        <v>0.22321428571428584</v>
      </c>
      <c r="M771" s="65">
        <f t="shared" ref="M771:M772" si="136">POWER(D771-I771,2)/I771</f>
        <v>0.5714285714285714</v>
      </c>
      <c r="O771" s="66">
        <f>SUM(K771:M772)</f>
        <v>1.8634259259259258</v>
      </c>
      <c r="Q771" s="66">
        <f>CHIDIST(O771,1)</f>
        <v>0.17222991948304273</v>
      </c>
      <c r="R771" s="93" t="str">
        <f>IF(Q771&lt;0.05,ROUND(Q771,2),IF(Q771&gt;0.051,CONCATENATE(ROUND(Q771,2),"*")))</f>
        <v>0.17*</v>
      </c>
    </row>
    <row r="772" spans="1:18">
      <c r="A772" s="32" t="s">
        <v>461</v>
      </c>
      <c r="B772" s="70">
        <f>GETPIVOTDATA("Répondant",Croisements!$H$389,"Question 16.3",3,"L'âge regrouper",1)+GETPIVOTDATA("Répondant",Croisements!$H$389,"Question 16.3",4,"L'âge regrouper",1)</f>
        <v>4</v>
      </c>
      <c r="C772" s="326">
        <f>GETPIVOTDATA("Répondant",Croisements!$H$389,"Question 16.3",3,"L'âge regrouper",2)+GETPIVOTDATA("Répondant",Croisements!$H$389,"Question 16.3",4,"L'âge regrouper",2)</f>
        <v>1</v>
      </c>
      <c r="D772" s="326">
        <f>GETPIVOTDATA("Répondant",Croisements!$H$389,"Question 16.3",3,"L'âge regrouper",3)+GETPIVOTDATA("Répondant",Croisements!$H$389,"Question 16.3",4,"L'âge regrouper",3)</f>
        <v>1</v>
      </c>
      <c r="E772" s="70">
        <f t="shared" ref="E772" si="137">B772+C772+D772</f>
        <v>6</v>
      </c>
      <c r="G772" s="65">
        <f>E772*B773/E773</f>
        <v>3.8571428571428572</v>
      </c>
      <c r="H772" s="65">
        <f>E772*C773/E773</f>
        <v>1.7142857142857142</v>
      </c>
      <c r="I772" s="65">
        <f>E772*D773/E773</f>
        <v>0.42857142857142855</v>
      </c>
      <c r="K772" s="65">
        <f>POWER(B772-G772,2)/G772</f>
        <v>5.2910052910052864E-3</v>
      </c>
      <c r="L772" s="65">
        <f t="shared" si="135"/>
        <v>0.29761904761904756</v>
      </c>
      <c r="M772" s="65">
        <f t="shared" si="136"/>
        <v>0.76190476190476186</v>
      </c>
    </row>
    <row r="773" spans="1:18">
      <c r="A773" s="46" t="s">
        <v>345</v>
      </c>
      <c r="B773" s="70">
        <f>B771+B772</f>
        <v>9</v>
      </c>
      <c r="C773" s="70">
        <f>C771+C772</f>
        <v>4</v>
      </c>
      <c r="D773" s="70">
        <f>D771+D772</f>
        <v>1</v>
      </c>
      <c r="E773" s="70">
        <f>B771+B772+C771+C772+D772+D771</f>
        <v>14</v>
      </c>
    </row>
    <row r="775" spans="1:18">
      <c r="A775" s="590" t="s">
        <v>795</v>
      </c>
      <c r="B775" s="590"/>
      <c r="C775" s="590"/>
      <c r="D775" s="590"/>
      <c r="E775" s="590"/>
      <c r="F775" s="590"/>
      <c r="G775" s="590"/>
      <c r="H775" s="590"/>
    </row>
    <row r="776" spans="1:18">
      <c r="A776" s="609" t="s">
        <v>637</v>
      </c>
      <c r="B776" s="609"/>
      <c r="C776" s="609"/>
      <c r="D776" s="609"/>
      <c r="E776" s="609"/>
      <c r="F776" s="613"/>
      <c r="G776" s="613"/>
    </row>
    <row r="777" spans="1:18">
      <c r="A777" s="664"/>
      <c r="B777" s="81" t="s">
        <v>86</v>
      </c>
      <c r="C777" s="81" t="s">
        <v>87</v>
      </c>
      <c r="D777" s="81" t="s">
        <v>90</v>
      </c>
      <c r="E777" s="57" t="s">
        <v>345</v>
      </c>
      <c r="F777" s="52"/>
      <c r="G777" s="84" t="s">
        <v>86</v>
      </c>
      <c r="H777" s="84" t="s">
        <v>87</v>
      </c>
      <c r="I777" s="84" t="s">
        <v>90</v>
      </c>
      <c r="K777" s="84" t="s">
        <v>86</v>
      </c>
      <c r="L777" s="84" t="s">
        <v>87</v>
      </c>
      <c r="M777" s="84" t="s">
        <v>90</v>
      </c>
    </row>
    <row r="778" spans="1:18">
      <c r="A778" s="665"/>
      <c r="B778" s="387" t="s">
        <v>103</v>
      </c>
      <c r="C778" s="74" t="s">
        <v>103</v>
      </c>
      <c r="D778" s="74" t="s">
        <v>103</v>
      </c>
      <c r="E778" s="387"/>
      <c r="G778" s="387" t="s">
        <v>103</v>
      </c>
      <c r="H778" s="387" t="s">
        <v>103</v>
      </c>
      <c r="I778" s="387" t="s">
        <v>103</v>
      </c>
      <c r="K778" s="387" t="s">
        <v>103</v>
      </c>
      <c r="L778" s="387" t="s">
        <v>103</v>
      </c>
      <c r="M778" s="387" t="s">
        <v>103</v>
      </c>
    </row>
    <row r="779" spans="1:18">
      <c r="A779" s="32" t="s">
        <v>611</v>
      </c>
      <c r="B779" s="387">
        <f>GETPIVOTDATA("Répondant",Croisements!$H$400,"Question 17",1,"L'âge regrouper",1)</f>
        <v>3</v>
      </c>
      <c r="C779" s="387">
        <f>GETPIVOTDATA("Répondant",Croisements!$H$400,"Question 17",1,"L'âge regrouper",2)</f>
        <v>2</v>
      </c>
      <c r="D779" s="387">
        <f>GETPIVOTDATA("Répondant",Croisements!$H$400,"Question 17",1,"L'âge regrouper",3)</f>
        <v>0</v>
      </c>
      <c r="E779" s="387">
        <f>B779+C779+D779</f>
        <v>5</v>
      </c>
      <c r="G779" s="65">
        <f>E779*$B$782/$E$782</f>
        <v>2.7777777777777777</v>
      </c>
      <c r="H779" s="65">
        <f>E779*$C$782/$E$782</f>
        <v>1.1111111111111112</v>
      </c>
      <c r="I779" s="65">
        <f>E779*$D$782/$E$782</f>
        <v>1.1111111111111112</v>
      </c>
      <c r="K779" s="65">
        <f>POWER(B779-G779,2)/G779</f>
        <v>1.7777777777777795E-2</v>
      </c>
      <c r="L779" s="65">
        <f t="shared" ref="L779:L781" si="138">POWER(C779-H779,2)/H779</f>
        <v>0.71111111111111103</v>
      </c>
      <c r="M779" s="65">
        <f t="shared" ref="M779:M781" si="139">POWER(D779-I779,2)/I779</f>
        <v>1.1111111111111112</v>
      </c>
      <c r="O779" s="66">
        <f>SUM(K779:M781)</f>
        <v>5.98</v>
      </c>
      <c r="Q779" s="66">
        <f>CHIDIST(O779,1)</f>
        <v>1.4469002202444745E-2</v>
      </c>
      <c r="R779" s="93">
        <f>IF(Q779&lt;0.05,ROUND(Q779,2),IF(Q779&gt;0.051,CONCATENATE(ROUND(Q779,2),"*")))</f>
        <v>0.01</v>
      </c>
    </row>
    <row r="780" spans="1:18">
      <c r="A780" s="32" t="s">
        <v>612</v>
      </c>
      <c r="B780" s="387">
        <f>GETPIVOTDATA("Répondant",Croisements!$H$400,"Question 17",2,"L'âge regrouper",1)</f>
        <v>3</v>
      </c>
      <c r="C780" s="387">
        <f>GETPIVOTDATA("Répondant",Croisements!$H$400,"Question 17",2,"L'âge regrouper",2)</f>
        <v>2</v>
      </c>
      <c r="D780" s="387">
        <f>GETPIVOTDATA("Répondant",Croisements!$H$400,"Question 17",2,"L'âge regrouper",3)</f>
        <v>0</v>
      </c>
      <c r="E780" s="387">
        <f>B780+C780+D780</f>
        <v>5</v>
      </c>
      <c r="G780" s="65">
        <f>E780*$B$782/$E$782</f>
        <v>2.7777777777777777</v>
      </c>
      <c r="H780" s="65">
        <f t="shared" ref="H780:H781" si="140">E780*$C$782/$E$782</f>
        <v>1.1111111111111112</v>
      </c>
      <c r="I780" s="65">
        <f t="shared" ref="I780:I781" si="141">E780*$D$782/$E$782</f>
        <v>1.1111111111111112</v>
      </c>
      <c r="K780" s="65">
        <f>POWER(B780-G780,2)/G780</f>
        <v>1.7777777777777795E-2</v>
      </c>
      <c r="L780" s="65">
        <f t="shared" si="138"/>
        <v>0.71111111111111103</v>
      </c>
      <c r="M780" s="65">
        <f t="shared" si="139"/>
        <v>1.1111111111111112</v>
      </c>
      <c r="O780" s="66"/>
      <c r="Q780" s="66"/>
      <c r="R780" s="93"/>
    </row>
    <row r="781" spans="1:18">
      <c r="A781" s="32" t="s">
        <v>613</v>
      </c>
      <c r="B781" s="387">
        <f>GETPIVOTDATA("Répondant",Croisements!$H$400,"Question 17",3,"L'âge regrouper",1)</f>
        <v>2</v>
      </c>
      <c r="C781" s="387">
        <f>GETPIVOTDATA("Répondant",Croisements!$H$400,"Question 17",3,"L'âge regrouper",2)</f>
        <v>0</v>
      </c>
      <c r="D781" s="387">
        <f>GETPIVOTDATA("Répondant",Croisements!$H$400,"Question 17",3,"L'âge regrouper",3)</f>
        <v>2</v>
      </c>
      <c r="E781" s="387">
        <f t="shared" ref="E781" si="142">B781+C781+D781</f>
        <v>4</v>
      </c>
      <c r="G781" s="65">
        <f>E781*$B$782/$E$782</f>
        <v>2.2222222222222223</v>
      </c>
      <c r="H781" s="65">
        <f t="shared" si="140"/>
        <v>0.88888888888888884</v>
      </c>
      <c r="I781" s="65">
        <f t="shared" si="141"/>
        <v>0.88888888888888884</v>
      </c>
      <c r="K781" s="65">
        <f>POWER(B781-G781,2)/G781</f>
        <v>2.222222222222224E-2</v>
      </c>
      <c r="L781" s="65">
        <f t="shared" si="138"/>
        <v>0.88888888888888884</v>
      </c>
      <c r="M781" s="65">
        <f t="shared" si="139"/>
        <v>1.3888888888888891</v>
      </c>
    </row>
    <row r="782" spans="1:18">
      <c r="A782" s="46" t="s">
        <v>345</v>
      </c>
      <c r="B782" s="387">
        <f>B779+B781</f>
        <v>5</v>
      </c>
      <c r="C782" s="387">
        <f>C779+C781</f>
        <v>2</v>
      </c>
      <c r="D782" s="387">
        <f>D779+D781</f>
        <v>2</v>
      </c>
      <c r="E782" s="387">
        <f>B779+B781+C779+C781+D781+D779</f>
        <v>9</v>
      </c>
    </row>
    <row r="784" spans="1:18">
      <c r="A784" s="590" t="s">
        <v>504</v>
      </c>
      <c r="B784" s="590"/>
      <c r="C784" s="590"/>
      <c r="D784" s="590"/>
      <c r="E784" s="590"/>
      <c r="F784" s="590"/>
      <c r="G784" s="56"/>
    </row>
    <row r="785" spans="1:18">
      <c r="A785" s="609" t="s">
        <v>637</v>
      </c>
      <c r="B785" s="609"/>
      <c r="C785" s="609"/>
      <c r="D785" s="609"/>
      <c r="E785" s="609"/>
      <c r="F785" s="613"/>
      <c r="G785" s="89"/>
    </row>
    <row r="786" spans="1:18">
      <c r="A786" s="669"/>
      <c r="B786" s="81" t="s">
        <v>86</v>
      </c>
      <c r="C786" s="81" t="s">
        <v>87</v>
      </c>
      <c r="D786" s="81" t="s">
        <v>90</v>
      </c>
      <c r="E786" s="57" t="s">
        <v>345</v>
      </c>
      <c r="F786" s="52"/>
      <c r="G786" s="84" t="s">
        <v>86</v>
      </c>
      <c r="H786" s="84" t="s">
        <v>87</v>
      </c>
      <c r="I786" s="84" t="s">
        <v>90</v>
      </c>
      <c r="K786" s="84" t="s">
        <v>86</v>
      </c>
      <c r="L786" s="84" t="s">
        <v>87</v>
      </c>
      <c r="M786" s="84" t="s">
        <v>90</v>
      </c>
    </row>
    <row r="787" spans="1:18">
      <c r="A787" s="665"/>
      <c r="B787" s="70" t="s">
        <v>103</v>
      </c>
      <c r="C787" s="74" t="s">
        <v>103</v>
      </c>
      <c r="D787" s="74" t="s">
        <v>103</v>
      </c>
      <c r="E787" s="70"/>
      <c r="G787" s="70" t="s">
        <v>103</v>
      </c>
      <c r="H787" s="70" t="s">
        <v>103</v>
      </c>
      <c r="I787" s="70" t="s">
        <v>103</v>
      </c>
      <c r="K787" s="70" t="s">
        <v>103</v>
      </c>
      <c r="L787" s="70" t="s">
        <v>103</v>
      </c>
      <c r="M787" s="70" t="s">
        <v>103</v>
      </c>
    </row>
    <row r="788" spans="1:18">
      <c r="A788" s="32" t="s">
        <v>460</v>
      </c>
      <c r="B788" s="70">
        <f>GETPIVOTDATA("Répondant",Croisements!$H$411,"Question 18",1,"L'âge regrouper",1)+GETPIVOTDATA("Répondant",Croisements!$H$411,"Question 18",2,"L'âge regrouper",1)</f>
        <v>6</v>
      </c>
      <c r="C788" s="326">
        <f>GETPIVOTDATA("Répondant",Croisements!$H$411,"Question 18",1,"L'âge regrouper",2)+GETPIVOTDATA("Répondant",Croisements!$H$411,"Question 18",2,"L'âge regrouper",2)</f>
        <v>1</v>
      </c>
      <c r="D788" s="326">
        <f>GETPIVOTDATA("Répondant",Croisements!$H$411,"Question 18",1,"L'âge regrouper",3)+GETPIVOTDATA("Répondant",Croisements!$H$411,"Question 18",2,"L'âge regrouper",3)</f>
        <v>1</v>
      </c>
      <c r="E788" s="70">
        <f>B788+C788+D788</f>
        <v>8</v>
      </c>
      <c r="G788" s="65">
        <f>E788*B790/E790</f>
        <v>4.8</v>
      </c>
      <c r="H788" s="65">
        <f>E788*C790/E790</f>
        <v>2.1333333333333333</v>
      </c>
      <c r="I788" s="65">
        <f>E788*D790/E790</f>
        <v>1.0666666666666667</v>
      </c>
      <c r="K788" s="65">
        <f>POWER(B788-G788,2)/G788</f>
        <v>0.3000000000000001</v>
      </c>
      <c r="L788" s="65">
        <f t="shared" ref="L788:L789" si="143">POWER(C788-H788,2)/H788</f>
        <v>0.6020833333333333</v>
      </c>
      <c r="M788" s="65">
        <f t="shared" ref="M788:M789" si="144">POWER(D788-I788,2)/I788</f>
        <v>4.1666666666666649E-3</v>
      </c>
      <c r="O788" s="66">
        <f>SUM(K788:M789)</f>
        <v>1.9419642857142856</v>
      </c>
      <c r="Q788" s="66">
        <f>CHIDIST(O788,1)</f>
        <v>0.16345541367213962</v>
      </c>
      <c r="R788" s="93" t="str">
        <f>IF(Q788&lt;0.05,ROUND(Q788,2),IF(Q788&gt;0.051,CONCATENATE(ROUND(Q788,2),"*")))</f>
        <v>0.16*</v>
      </c>
    </row>
    <row r="789" spans="1:18">
      <c r="A789" s="32" t="s">
        <v>461</v>
      </c>
      <c r="B789" s="75">
        <f>GETPIVOTDATA("Répondant",Croisements!$H$411,"Question 18",3,"L'âge regrouper",1)+GETPIVOTDATA("Répondant",Croisements!$H$411,"Question 18",4,"L'âge regrouper",1)</f>
        <v>3</v>
      </c>
      <c r="C789" s="325">
        <f>GETPIVOTDATA("Répondant",Croisements!$H$411,"Question 18",3,"L'âge regrouper",2)+GETPIVOTDATA("Répondant",Croisements!$H$411,"Question 18",4,"L'âge regrouper",2)</f>
        <v>3</v>
      </c>
      <c r="D789" s="325">
        <f>GETPIVOTDATA("Répondant",Croisements!$H$411,"Question 18",3,"L'âge regrouper",3)+GETPIVOTDATA("Répondant",Croisements!$H$411,"Question 18",4,"L'âge regrouper",3)</f>
        <v>1</v>
      </c>
      <c r="E789" s="70">
        <f t="shared" ref="E789" si="145">B789+C789+D789</f>
        <v>7</v>
      </c>
      <c r="G789" s="65">
        <f>E789*B790/E790</f>
        <v>4.2</v>
      </c>
      <c r="H789" s="65">
        <f>E789*C790/E790</f>
        <v>1.8666666666666667</v>
      </c>
      <c r="I789" s="65">
        <f>E789*D790/E790</f>
        <v>0.93333333333333335</v>
      </c>
      <c r="K789" s="65">
        <f>POWER(B789-G789,2)/G789</f>
        <v>0.34285714285714292</v>
      </c>
      <c r="L789" s="65">
        <f t="shared" si="143"/>
        <v>0.68809523809523798</v>
      </c>
      <c r="M789" s="65">
        <f t="shared" si="144"/>
        <v>4.7619047619047597E-3</v>
      </c>
    </row>
    <row r="790" spans="1:18">
      <c r="A790" s="46" t="s">
        <v>345</v>
      </c>
      <c r="B790" s="70">
        <f>B788+B789</f>
        <v>9</v>
      </c>
      <c r="C790" s="70">
        <f>C788+C789</f>
        <v>4</v>
      </c>
      <c r="D790" s="70">
        <f>D788+D789</f>
        <v>2</v>
      </c>
      <c r="E790" s="70">
        <f>B788+B789+C788+C789+D789+D788</f>
        <v>15</v>
      </c>
    </row>
    <row r="792" spans="1:18">
      <c r="A792" s="590" t="s">
        <v>518</v>
      </c>
      <c r="B792" s="590"/>
      <c r="C792" s="590"/>
      <c r="D792" s="590"/>
      <c r="E792" s="590"/>
      <c r="F792" s="590"/>
      <c r="G792" s="590"/>
      <c r="H792" s="590"/>
      <c r="I792" s="590"/>
    </row>
    <row r="793" spans="1:18">
      <c r="A793" s="609" t="s">
        <v>637</v>
      </c>
      <c r="B793" s="609"/>
      <c r="C793" s="609"/>
      <c r="D793" s="609"/>
      <c r="E793" s="609"/>
      <c r="F793" s="613"/>
      <c r="G793" s="613"/>
    </row>
    <row r="794" spans="1:18">
      <c r="A794" s="664"/>
      <c r="B794" s="81" t="s">
        <v>86</v>
      </c>
      <c r="C794" s="81" t="s">
        <v>87</v>
      </c>
      <c r="D794" s="81" t="s">
        <v>90</v>
      </c>
      <c r="E794" s="57" t="s">
        <v>345</v>
      </c>
      <c r="F794" s="52"/>
      <c r="G794" s="84" t="s">
        <v>86</v>
      </c>
      <c r="H794" s="84" t="s">
        <v>87</v>
      </c>
      <c r="I794" s="84" t="s">
        <v>90</v>
      </c>
      <c r="K794" s="84" t="s">
        <v>86</v>
      </c>
      <c r="L794" s="84" t="s">
        <v>87</v>
      </c>
      <c r="M794" s="84" t="s">
        <v>90</v>
      </c>
    </row>
    <row r="795" spans="1:18">
      <c r="A795" s="665"/>
      <c r="B795" s="70" t="s">
        <v>103</v>
      </c>
      <c r="C795" s="74" t="s">
        <v>103</v>
      </c>
      <c r="D795" s="74" t="s">
        <v>103</v>
      </c>
      <c r="E795" s="70"/>
      <c r="G795" s="70" t="s">
        <v>103</v>
      </c>
      <c r="H795" s="70" t="s">
        <v>103</v>
      </c>
      <c r="I795" s="70" t="s">
        <v>103</v>
      </c>
      <c r="K795" s="70" t="s">
        <v>103</v>
      </c>
      <c r="L795" s="70" t="s">
        <v>103</v>
      </c>
      <c r="M795" s="70" t="s">
        <v>103</v>
      </c>
    </row>
    <row r="796" spans="1:18">
      <c r="A796" s="32" t="s">
        <v>460</v>
      </c>
      <c r="B796" s="70">
        <f>GETPIVOTDATA("Répondant",Croisements!$H$421,"Question 19",1,"L'âge regrouper",1)+GETPIVOTDATA("Répondant",Croisements!$H$421,"Question 19",2,"L'âge regrouper",1)</f>
        <v>6</v>
      </c>
      <c r="C796" s="326">
        <f>GETPIVOTDATA("Répondant",Croisements!$H$421,"Question 19",1,"L'âge regrouper",2)+GETPIVOTDATA("Répondant",Croisements!$H$421,"Question 19",2,"L'âge regrouper",2)</f>
        <v>1</v>
      </c>
      <c r="D796" s="326">
        <f>GETPIVOTDATA("Répondant",Croisements!$H$421,"Question 19",1,"L'âge regrouper",3)+GETPIVOTDATA("Répondant",Croisements!$H$421,"Question 19",2,"L'âge regrouper",3)</f>
        <v>1</v>
      </c>
      <c r="E796" s="70">
        <f>B796+C796+D796</f>
        <v>8</v>
      </c>
      <c r="G796" s="65">
        <f>E796*$B$798/$E$798</f>
        <v>5.1428571428571432</v>
      </c>
      <c r="H796" s="65">
        <f>E796*$C$798/$E$798</f>
        <v>1.7142857142857142</v>
      </c>
      <c r="I796" s="65">
        <f>E796*$D$798/$E$798</f>
        <v>1.1428571428571428</v>
      </c>
      <c r="K796" s="65">
        <f>POWER(B796-G796,2)/G796</f>
        <v>0.14285714285714274</v>
      </c>
      <c r="L796" s="65">
        <f t="shared" ref="L796:M797" si="146">POWER(C796-H796,2)/H796</f>
        <v>0.29761904761904756</v>
      </c>
      <c r="M796" s="65">
        <f t="shared" si="146"/>
        <v>1.7857142857142842E-2</v>
      </c>
      <c r="O796" s="66">
        <f>SUM(K796:M797)</f>
        <v>1.0694444444444442</v>
      </c>
      <c r="Q796" s="66">
        <f>CHIDIST(O796,1)</f>
        <v>0.30107096635160868</v>
      </c>
      <c r="R796" s="93" t="str">
        <f>IF(Q796&lt;0.05,ROUND(Q796,2),IF(Q796&gt;0.051,CONCATENATE(ROUND(Q796,2),"*")))</f>
        <v>0.3*</v>
      </c>
    </row>
    <row r="797" spans="1:18">
      <c r="A797" s="32" t="s">
        <v>461</v>
      </c>
      <c r="B797" s="70">
        <f>GETPIVOTDATA("Répondant",Croisements!$H$421,"Question 19",3,"L'âge regrouper",1)+GETPIVOTDATA("Répondant",Croisements!$H$421,"Question 19",4,"L'âge regrouper",1)</f>
        <v>3</v>
      </c>
      <c r="C797" s="326">
        <f>GETPIVOTDATA("Répondant",Croisements!$H$421,"Question 19",3,"L'âge regrouper",2)+GETPIVOTDATA("Répondant",Croisements!$H$421,"Question 19",4,"L'âge regrouper",2)</f>
        <v>2</v>
      </c>
      <c r="D797" s="326">
        <f>GETPIVOTDATA("Répondant",Croisements!$H$421,"Question 19",3,"L'âge regrouper",3)+GETPIVOTDATA("Répondant",Croisements!$H$421,"Question 19",4,"L'âge regrouper",3)</f>
        <v>1</v>
      </c>
      <c r="E797" s="70">
        <f t="shared" ref="E797" si="147">B797+C797+D797</f>
        <v>6</v>
      </c>
      <c r="G797" s="65">
        <f>E797*$B$798/$E$798</f>
        <v>3.8571428571428572</v>
      </c>
      <c r="H797" s="65">
        <f>E797*$C$798/$E$798</f>
        <v>1.2857142857142858</v>
      </c>
      <c r="I797" s="65">
        <f>E797*$D$798/$E$798</f>
        <v>0.8571428571428571</v>
      </c>
      <c r="K797" s="65">
        <f t="shared" ref="K797" si="148">POWER(B797-G797,2)/G797</f>
        <v>0.19047619047619052</v>
      </c>
      <c r="L797" s="65">
        <f t="shared" si="146"/>
        <v>0.39682539682539669</v>
      </c>
      <c r="M797" s="65">
        <f t="shared" si="146"/>
        <v>2.3809523809523826E-2</v>
      </c>
    </row>
    <row r="798" spans="1:18">
      <c r="A798" s="46" t="s">
        <v>345</v>
      </c>
      <c r="B798" s="70">
        <f>SUM(B796:B797)</f>
        <v>9</v>
      </c>
      <c r="C798" s="70">
        <f>SUM(C796:C797)</f>
        <v>3</v>
      </c>
      <c r="D798" s="70">
        <f>SUM(D796:D797)</f>
        <v>2</v>
      </c>
      <c r="E798" s="57">
        <f>SUM(B796:D797)</f>
        <v>14</v>
      </c>
    </row>
    <row r="800" spans="1:18">
      <c r="A800" s="590" t="s">
        <v>844</v>
      </c>
      <c r="B800" s="590"/>
      <c r="C800" s="590"/>
      <c r="D800" s="590"/>
      <c r="E800" s="590"/>
      <c r="F800" s="590"/>
      <c r="G800" s="590"/>
      <c r="H800" s="590"/>
      <c r="I800" s="590"/>
      <c r="J800" s="590"/>
    </row>
    <row r="801" spans="1:18">
      <c r="A801" s="609" t="s">
        <v>637</v>
      </c>
      <c r="B801" s="609"/>
      <c r="C801" s="609"/>
      <c r="D801" s="609"/>
      <c r="E801" s="609"/>
      <c r="F801" s="87"/>
      <c r="G801" s="87"/>
    </row>
    <row r="802" spans="1:18">
      <c r="A802" s="669"/>
      <c r="B802" s="81" t="s">
        <v>86</v>
      </c>
      <c r="C802" s="81" t="s">
        <v>87</v>
      </c>
      <c r="D802" s="81" t="s">
        <v>90</v>
      </c>
      <c r="E802" s="57" t="s">
        <v>345</v>
      </c>
      <c r="G802" s="84" t="s">
        <v>86</v>
      </c>
      <c r="H802" s="84" t="s">
        <v>87</v>
      </c>
      <c r="I802" s="84" t="s">
        <v>90</v>
      </c>
      <c r="K802" s="84" t="s">
        <v>86</v>
      </c>
      <c r="L802" s="84" t="s">
        <v>87</v>
      </c>
      <c r="M802" s="84" t="s">
        <v>90</v>
      </c>
    </row>
    <row r="803" spans="1:18">
      <c r="A803" s="665"/>
      <c r="B803" s="70" t="s">
        <v>103</v>
      </c>
      <c r="C803" s="74" t="s">
        <v>103</v>
      </c>
      <c r="D803" s="74" t="s">
        <v>103</v>
      </c>
      <c r="E803" s="70"/>
      <c r="G803" s="70" t="s">
        <v>103</v>
      </c>
      <c r="H803" s="70" t="s">
        <v>103</v>
      </c>
      <c r="I803" s="70" t="s">
        <v>103</v>
      </c>
      <c r="K803" s="70" t="s">
        <v>103</v>
      </c>
      <c r="L803" s="70" t="s">
        <v>103</v>
      </c>
      <c r="M803" s="70" t="s">
        <v>103</v>
      </c>
    </row>
    <row r="804" spans="1:18">
      <c r="A804" s="32" t="s">
        <v>460</v>
      </c>
      <c r="B804" s="70">
        <f>GETPIVOTDATA("Répondant",Croisements!$H$432,"Question 20.1",1,"L'âge regrouper",1)+GETPIVOTDATA("Répondant",Croisements!$H$432,"Question 20.1",2,"L'âge regrouper",1)</f>
        <v>6</v>
      </c>
      <c r="C804" s="326">
        <f>GETPIVOTDATA("Répondant",Croisements!$H$432,"Question 20.1",1,"L'âge regrouper",2)+GETPIVOTDATA("Répondant",Croisements!$H$432,"Question 20.1",2,"L'âge regrouper",2)</f>
        <v>2</v>
      </c>
      <c r="D804" s="326">
        <f>GETPIVOTDATA("Répondant",Croisements!$H$432,"Question 20.1",1,"L'âge regrouper",3)+GETPIVOTDATA("Répondant",Croisements!$H$432,"Question 20.1",2,"L'âge regrouper",3)</f>
        <v>1</v>
      </c>
      <c r="E804" s="70">
        <f>B804+C804+D804</f>
        <v>9</v>
      </c>
      <c r="G804" s="65">
        <f>E804*B806/E806</f>
        <v>5.1428571428571432</v>
      </c>
      <c r="H804" s="65">
        <f>E804*C806/E806</f>
        <v>2.5714285714285716</v>
      </c>
      <c r="I804" s="65">
        <f>E804*D806/E806</f>
        <v>1.2857142857142858</v>
      </c>
      <c r="K804" s="65">
        <f>POWER(B804-G804,2)/G804</f>
        <v>0.14285714285714274</v>
      </c>
      <c r="L804" s="65">
        <f t="shared" ref="L804:L805" si="149">POWER(C804-H804,2)/H804</f>
        <v>0.12698412698412706</v>
      </c>
      <c r="M804" s="65">
        <f t="shared" ref="M804:M805" si="150">POWER(D804-I804,2)/I804</f>
        <v>6.349206349206353E-2</v>
      </c>
      <c r="O804" s="66">
        <f>SUM(K804:M805)</f>
        <v>0.93333333333333335</v>
      </c>
      <c r="Q804" s="66">
        <f>CHIDIST(O804,1)</f>
        <v>0.33399825582199799</v>
      </c>
      <c r="R804" s="93" t="str">
        <f>IF(Q804&lt;0.05,ROUND(Q804,2),IF(Q804&gt;0.051,CONCATENATE(ROUND(Q804,2),"*")))</f>
        <v>0.33*</v>
      </c>
    </row>
    <row r="805" spans="1:18">
      <c r="A805" s="32" t="s">
        <v>461</v>
      </c>
      <c r="B805" s="70">
        <f>GETPIVOTDATA("Répondant",Croisements!$H$432,"Question 20.1",3,"L'âge regrouper",1)+GETPIVOTDATA("Répondant",Croisements!$H$432,"Question 20.1",4,"L'âge regrouper",1)</f>
        <v>2</v>
      </c>
      <c r="C805" s="326">
        <f>GETPIVOTDATA("Répondant",Croisements!$H$432,"Question 20.1",3,"L'âge regrouper",2)+GETPIVOTDATA("Répondant",Croisements!$H$432,"Question 20.1",4,"L'âge regrouper",2)</f>
        <v>2</v>
      </c>
      <c r="D805" s="326">
        <f>GETPIVOTDATA("Répondant",Croisements!$H$432,"Question 20.1",3,"L'âge regrouper",3)+GETPIVOTDATA("Répondant",Croisements!$H$432,"Question 20.1",4,"L'âge regrouper",3)</f>
        <v>1</v>
      </c>
      <c r="E805" s="70">
        <f t="shared" ref="E805" si="151">B805+C805+D805</f>
        <v>5</v>
      </c>
      <c r="G805" s="65">
        <f>E805*B806/E806</f>
        <v>2.8571428571428572</v>
      </c>
      <c r="H805" s="65">
        <f>E805*C806/E806</f>
        <v>1.4285714285714286</v>
      </c>
      <c r="I805" s="65">
        <f>E805*D806/E806</f>
        <v>0.7142857142857143</v>
      </c>
      <c r="K805" s="65">
        <f>POWER(B805-G805,2)/G805</f>
        <v>0.25714285714285717</v>
      </c>
      <c r="L805" s="65">
        <f t="shared" si="149"/>
        <v>0.22857142857142854</v>
      </c>
      <c r="M805" s="65">
        <f t="shared" si="150"/>
        <v>0.11428571428571427</v>
      </c>
    </row>
    <row r="806" spans="1:18">
      <c r="A806" s="46" t="s">
        <v>345</v>
      </c>
      <c r="B806" s="70">
        <f>B804+B805</f>
        <v>8</v>
      </c>
      <c r="C806" s="70">
        <f>C804+C805</f>
        <v>4</v>
      </c>
      <c r="D806" s="70">
        <f>D804+D805</f>
        <v>2</v>
      </c>
      <c r="E806" s="70">
        <f>B804+B805+C804+C805+D805+D804</f>
        <v>14</v>
      </c>
    </row>
    <row r="808" spans="1:18">
      <c r="A808" s="590" t="s">
        <v>845</v>
      </c>
      <c r="B808" s="590"/>
      <c r="C808" s="590"/>
      <c r="D808" s="590"/>
      <c r="E808" s="590"/>
      <c r="F808" s="590"/>
      <c r="G808" s="590"/>
    </row>
    <row r="809" spans="1:18">
      <c r="A809" s="609" t="s">
        <v>637</v>
      </c>
      <c r="B809" s="609"/>
      <c r="C809" s="609"/>
      <c r="D809" s="609"/>
      <c r="E809" s="609"/>
      <c r="F809" s="613"/>
      <c r="G809" s="613"/>
    </row>
    <row r="810" spans="1:18">
      <c r="A810" s="664"/>
      <c r="B810" s="81" t="s">
        <v>86</v>
      </c>
      <c r="C810" s="81" t="s">
        <v>87</v>
      </c>
      <c r="D810" s="81" t="s">
        <v>90</v>
      </c>
      <c r="E810" s="57" t="s">
        <v>345</v>
      </c>
      <c r="F810" s="52"/>
      <c r="G810" s="84" t="s">
        <v>86</v>
      </c>
      <c r="H810" s="84" t="s">
        <v>87</v>
      </c>
      <c r="I810" s="84" t="s">
        <v>90</v>
      </c>
      <c r="K810" s="84" t="s">
        <v>86</v>
      </c>
      <c r="L810" s="84" t="s">
        <v>87</v>
      </c>
      <c r="M810" s="84" t="s">
        <v>90</v>
      </c>
    </row>
    <row r="811" spans="1:18">
      <c r="A811" s="665"/>
      <c r="B811" s="70" t="s">
        <v>103</v>
      </c>
      <c r="C811" s="74" t="s">
        <v>103</v>
      </c>
      <c r="D811" s="74" t="s">
        <v>103</v>
      </c>
      <c r="E811" s="70"/>
      <c r="G811" s="70" t="s">
        <v>103</v>
      </c>
      <c r="H811" s="70" t="s">
        <v>103</v>
      </c>
      <c r="I811" s="70" t="s">
        <v>103</v>
      </c>
      <c r="K811" s="70" t="s">
        <v>103</v>
      </c>
      <c r="L811" s="70" t="s">
        <v>103</v>
      </c>
      <c r="M811" s="70" t="s">
        <v>103</v>
      </c>
    </row>
    <row r="812" spans="1:18">
      <c r="A812" s="32" t="s">
        <v>460</v>
      </c>
      <c r="B812" s="70">
        <f>GETPIVOTDATA("Répondant",Croisements!$H$443,"Question 20.2",1,"L'âge regrouper",1)+GETPIVOTDATA("Répondant",Croisements!$H$443,"Question 20.2",2,"L'âge regrouper",1)</f>
        <v>3</v>
      </c>
      <c r="C812" s="326">
        <f>GETPIVOTDATA("Répondant",Croisements!$H$443,"Question 20.2",1,"L'âge regrouper",2)+GETPIVOTDATA("Répondant",Croisements!$H$443,"Question 20.2",2,"L'âge regrouper",2)</f>
        <v>1</v>
      </c>
      <c r="D812" s="326">
        <f>GETPIVOTDATA("Répondant",Croisements!$H$443,"Question 20.2",1,"L'âge regrouper",3)+GETPIVOTDATA("Répondant",Croisements!$H$443,"Question 20.2",2,"L'âge regrouper",3)</f>
        <v>2</v>
      </c>
      <c r="E812" s="70">
        <f>B812+C812+D812</f>
        <v>6</v>
      </c>
      <c r="G812" s="65">
        <f>E812*B814/E814</f>
        <v>2.7272727272727271</v>
      </c>
      <c r="H812" s="65">
        <f>E812*C814/E814</f>
        <v>2.1818181818181817</v>
      </c>
      <c r="I812" s="65">
        <f>E812*D814/E814</f>
        <v>1.0909090909090908</v>
      </c>
      <c r="K812" s="65">
        <f>POWER(B812-G812,2)/G812</f>
        <v>2.7272727272727317E-2</v>
      </c>
      <c r="L812" s="65">
        <f t="shared" ref="L812:L813" si="152">POWER(C812-H812,2)/H812</f>
        <v>0.64015151515151503</v>
      </c>
      <c r="M812" s="65">
        <f t="shared" ref="M812:M813" si="153">POWER(D812-I812,2)/I812</f>
        <v>0.75757575757575779</v>
      </c>
      <c r="O812" s="66">
        <f>SUM(K812:M813)</f>
        <v>3.1350000000000007</v>
      </c>
      <c r="Q812" s="66">
        <f>CHIDIST(O812,1)</f>
        <v>7.6628386708398777E-2</v>
      </c>
      <c r="R812" s="93" t="str">
        <f>IF(Q812&lt;0.05,ROUND(Q812,2),IF(Q812&gt;0.051,CONCATENATE(ROUND(Q812,2),"*")))</f>
        <v>0.08*</v>
      </c>
    </row>
    <row r="813" spans="1:18">
      <c r="A813" s="32" t="s">
        <v>461</v>
      </c>
      <c r="B813" s="70">
        <f>GETPIVOTDATA("Répondant",Croisements!$H$443,"Question 20.2",3,"L'âge regrouper",1)+GETPIVOTDATA("Répondant",Croisements!$H$443,"Question 20.2",4,"L'âge regrouper",1)</f>
        <v>2</v>
      </c>
      <c r="C813" s="326">
        <f>GETPIVOTDATA("Répondant",Croisements!$H$443,"Question 20.2",3,"L'âge regrouper",2)+GETPIVOTDATA("Répondant",Croisements!$H$443,"Question 20.2",4,"L'âge regrouper",2)</f>
        <v>3</v>
      </c>
      <c r="D813" s="326">
        <f>GETPIVOTDATA("Répondant",Croisements!$H$443,"Question 20.2",3,"L'âge regrouper",3)+GETPIVOTDATA("Répondant",Croisements!$H$443,"Question 20.2",4,"L'âge regrouper",3)</f>
        <v>0</v>
      </c>
      <c r="E813" s="70">
        <f t="shared" ref="E813" si="154">B813+C813+D813</f>
        <v>5</v>
      </c>
      <c r="G813" s="65">
        <f>E813*B814/E814</f>
        <v>2.2727272727272729</v>
      </c>
      <c r="H813" s="65">
        <f>E813*C814/E814</f>
        <v>1.8181818181818181</v>
      </c>
      <c r="I813" s="65">
        <f>E813*D814/E814</f>
        <v>0.90909090909090906</v>
      </c>
      <c r="K813" s="65">
        <f>POWER(B813-G813,2)/G813</f>
        <v>3.2727272727272771E-2</v>
      </c>
      <c r="L813" s="65">
        <f t="shared" si="152"/>
        <v>0.7681818181818183</v>
      </c>
      <c r="M813" s="65">
        <f t="shared" si="153"/>
        <v>0.90909090909090906</v>
      </c>
    </row>
    <row r="814" spans="1:18">
      <c r="A814" s="46" t="s">
        <v>345</v>
      </c>
      <c r="B814" s="70">
        <f>B812+B813</f>
        <v>5</v>
      </c>
      <c r="C814" s="70">
        <f>C812+C813</f>
        <v>4</v>
      </c>
      <c r="D814" s="70">
        <f>D812+D813</f>
        <v>2</v>
      </c>
      <c r="E814" s="70">
        <f>B812+B813+C812+C813+D813+D812</f>
        <v>11</v>
      </c>
    </row>
    <row r="816" spans="1:18">
      <c r="A816" s="590" t="s">
        <v>846</v>
      </c>
      <c r="B816" s="590"/>
      <c r="C816" s="590"/>
      <c r="D816" s="590"/>
      <c r="E816" s="590"/>
      <c r="F816" s="590"/>
      <c r="G816" s="590"/>
    </row>
    <row r="817" spans="1:18">
      <c r="A817" s="633" t="s">
        <v>637</v>
      </c>
      <c r="B817" s="633"/>
      <c r="C817" s="633"/>
      <c r="D817" s="633"/>
      <c r="E817" s="633"/>
      <c r="F817" s="668"/>
      <c r="G817" s="668"/>
    </row>
    <row r="818" spans="1:18">
      <c r="A818" s="669"/>
      <c r="B818" s="81" t="s">
        <v>86</v>
      </c>
      <c r="C818" s="81" t="s">
        <v>87</v>
      </c>
      <c r="D818" s="81" t="s">
        <v>90</v>
      </c>
      <c r="E818" s="57" t="s">
        <v>345</v>
      </c>
      <c r="F818" s="52"/>
      <c r="G818" s="84" t="s">
        <v>86</v>
      </c>
      <c r="H818" s="84" t="s">
        <v>87</v>
      </c>
      <c r="I818" s="84" t="s">
        <v>90</v>
      </c>
      <c r="K818" s="84" t="s">
        <v>86</v>
      </c>
      <c r="L818" s="84" t="s">
        <v>87</v>
      </c>
      <c r="M818" s="84" t="s">
        <v>90</v>
      </c>
    </row>
    <row r="819" spans="1:18">
      <c r="A819" s="665"/>
      <c r="B819" s="70" t="s">
        <v>103</v>
      </c>
      <c r="C819" s="74" t="s">
        <v>103</v>
      </c>
      <c r="D819" s="74" t="s">
        <v>103</v>
      </c>
      <c r="E819" s="70"/>
      <c r="G819" s="70" t="s">
        <v>103</v>
      </c>
      <c r="H819" s="70" t="s">
        <v>103</v>
      </c>
      <c r="I819" s="70" t="s">
        <v>103</v>
      </c>
      <c r="K819" s="70" t="s">
        <v>103</v>
      </c>
      <c r="L819" s="70" t="s">
        <v>103</v>
      </c>
      <c r="M819" s="70" t="s">
        <v>103</v>
      </c>
    </row>
    <row r="820" spans="1:18">
      <c r="A820" s="32" t="s">
        <v>460</v>
      </c>
      <c r="B820" s="70">
        <f>GETPIVOTDATA("Répondant",Croisements!$H$454,"Question 20.3",1,"L'âge regrouper",1)+GETPIVOTDATA("Répondant",Croisements!$H$454,"Question 20.3",2,"L'âge regrouper",1)</f>
        <v>4</v>
      </c>
      <c r="C820" s="326">
        <f>GETPIVOTDATA("Répondant",Croisements!$H$454,"Question 20.3",1,"L'âge regrouper",2)+GETPIVOTDATA("Répondant",Croisements!$H$454,"Question 20.3",2,"L'âge regrouper",2)</f>
        <v>2</v>
      </c>
      <c r="D820" s="326">
        <f>GETPIVOTDATA("Répondant",Croisements!$H$454,"Question 20.3",1,"L'âge regrouper",3)+GETPIVOTDATA("Répondant",Croisements!$H$454,"Question 20.3",2,"L'âge regrouper",3)</f>
        <v>2</v>
      </c>
      <c r="E820" s="70">
        <f>B820+C820+D820</f>
        <v>8</v>
      </c>
      <c r="G820" s="65">
        <f>E820*B822/E822</f>
        <v>4.9230769230769234</v>
      </c>
      <c r="H820" s="65">
        <f>E820*C822/E822</f>
        <v>1.8461538461538463</v>
      </c>
      <c r="I820" s="65">
        <f>E820*D822/E822</f>
        <v>1.2307692307692308</v>
      </c>
      <c r="K820" s="65">
        <f>POWER(B820-G820,2)/G820</f>
        <v>0.17307692307692316</v>
      </c>
      <c r="L820" s="65">
        <f t="shared" ref="L820:L821" si="155">POWER(C820-H820,2)/H820</f>
        <v>1.2820512820512803E-2</v>
      </c>
      <c r="M820" s="65">
        <f t="shared" ref="M820:M821" si="156">POWER(D820-I820,2)/I820</f>
        <v>0.48076923076923067</v>
      </c>
      <c r="O820" s="66">
        <f>SUM(K820:M821)</f>
        <v>1.7333333333333332</v>
      </c>
      <c r="Q820" s="66">
        <f>CHIDIST(O820,1)</f>
        <v>0.18798575930229819</v>
      </c>
      <c r="R820" s="93" t="str">
        <f>IF(Q820&lt;0.05,ROUND(Q820,2),IF(Q820&gt;0.051,CONCATENATE(ROUND(Q820,2),"*")))</f>
        <v>0.19*</v>
      </c>
    </row>
    <row r="821" spans="1:18">
      <c r="A821" s="32" t="s">
        <v>461</v>
      </c>
      <c r="B821" s="70">
        <f>GETPIVOTDATA("Répondant",Croisements!$H$454,"Question 20.3",3,"L'âge regrouper",1)+GETPIVOTDATA("Répondant",Croisements!$H$454,"Question 20.3",4,"L'âge regrouper",1)</f>
        <v>4</v>
      </c>
      <c r="C821" s="326">
        <f>GETPIVOTDATA("Répondant",Croisements!$H$454,"Question 20.3",3,"L'âge regrouper",2)+GETPIVOTDATA("Répondant",Croisements!$H$454,"Question 20.3",4,"L'âge regrouper",2)</f>
        <v>1</v>
      </c>
      <c r="D821" s="326">
        <f>GETPIVOTDATA("Répondant",Croisements!$H$454,"Question 20.3",3,"L'âge regrouper",3)+GETPIVOTDATA("Répondant",Croisements!$H$454,"Question 20.3",4,"L'âge regrouper",3)</f>
        <v>0</v>
      </c>
      <c r="E821" s="70">
        <f t="shared" ref="E821" si="157">B821+C821+D821</f>
        <v>5</v>
      </c>
      <c r="G821" s="65">
        <f>E821*B822/E822</f>
        <v>3.0769230769230771</v>
      </c>
      <c r="H821" s="65">
        <f>E821*C822/E822</f>
        <v>1.1538461538461537</v>
      </c>
      <c r="I821" s="65">
        <f>E821*D822/E822</f>
        <v>0.76923076923076927</v>
      </c>
      <c r="K821" s="65">
        <f>POWER(B821-G821,2)/G821</f>
        <v>0.27692307692307683</v>
      </c>
      <c r="L821" s="65">
        <f t="shared" si="155"/>
        <v>2.0512820512820489E-2</v>
      </c>
      <c r="M821" s="65">
        <f t="shared" si="156"/>
        <v>0.76923076923076927</v>
      </c>
    </row>
    <row r="822" spans="1:18">
      <c r="A822" s="46" t="s">
        <v>345</v>
      </c>
      <c r="B822" s="70">
        <f>B820+B821</f>
        <v>8</v>
      </c>
      <c r="C822" s="70">
        <f>C820+C821</f>
        <v>3</v>
      </c>
      <c r="D822" s="70">
        <f>D820+D821</f>
        <v>2</v>
      </c>
      <c r="E822" s="70">
        <f>B820+B821+C820+C821+D821+D820</f>
        <v>13</v>
      </c>
    </row>
    <row r="824" spans="1:18">
      <c r="A824" s="590" t="s">
        <v>506</v>
      </c>
      <c r="B824" s="590"/>
      <c r="C824" s="590"/>
      <c r="D824" s="590"/>
      <c r="E824" s="590"/>
      <c r="F824" s="590"/>
      <c r="G824" s="590"/>
      <c r="H824" s="590"/>
      <c r="I824" s="590"/>
    </row>
    <row r="825" spans="1:18">
      <c r="A825" s="633" t="s">
        <v>637</v>
      </c>
      <c r="B825" s="633"/>
      <c r="C825" s="633"/>
      <c r="D825" s="633"/>
      <c r="E825" s="633"/>
      <c r="F825" s="668"/>
      <c r="G825" s="668"/>
    </row>
    <row r="826" spans="1:18">
      <c r="A826" s="664"/>
      <c r="B826" s="81" t="s">
        <v>86</v>
      </c>
      <c r="C826" s="81" t="s">
        <v>87</v>
      </c>
      <c r="D826" s="81" t="s">
        <v>90</v>
      </c>
      <c r="E826" s="57" t="s">
        <v>345</v>
      </c>
      <c r="F826" s="52"/>
      <c r="G826" s="84" t="s">
        <v>86</v>
      </c>
      <c r="H826" s="84" t="s">
        <v>87</v>
      </c>
      <c r="I826" s="84" t="s">
        <v>90</v>
      </c>
      <c r="K826" s="84" t="s">
        <v>86</v>
      </c>
      <c r="L826" s="84" t="s">
        <v>87</v>
      </c>
      <c r="M826" s="84" t="s">
        <v>90</v>
      </c>
    </row>
    <row r="827" spans="1:18">
      <c r="A827" s="665"/>
      <c r="B827" s="70" t="s">
        <v>103</v>
      </c>
      <c r="C827" s="74" t="s">
        <v>103</v>
      </c>
      <c r="D827" s="74" t="s">
        <v>103</v>
      </c>
      <c r="E827" s="70"/>
      <c r="G827" s="70" t="s">
        <v>103</v>
      </c>
      <c r="H827" s="70" t="s">
        <v>103</v>
      </c>
      <c r="I827" s="70" t="s">
        <v>103</v>
      </c>
      <c r="K827" s="70" t="s">
        <v>103</v>
      </c>
      <c r="L827" s="70" t="s">
        <v>103</v>
      </c>
      <c r="M827" s="70" t="s">
        <v>103</v>
      </c>
    </row>
    <row r="828" spans="1:18">
      <c r="A828" s="32" t="s">
        <v>47</v>
      </c>
      <c r="B828" s="70">
        <f>GETPIVOTDATA("Répondant",Croisements!$H$465,"Question 21",1,"L'âge regrouper",1)</f>
        <v>2</v>
      </c>
      <c r="C828" s="326">
        <f>GETPIVOTDATA("Répondant",Croisements!$H$465,"Question 21",1,"L'âge regrouper",2)</f>
        <v>2</v>
      </c>
      <c r="D828" s="326">
        <f>GETPIVOTDATA("Répondant",Croisements!$H$465,"Question 21",1,"L'âge regrouper",3)</f>
        <v>1</v>
      </c>
      <c r="E828" s="70">
        <f>B828+C828+D828</f>
        <v>5</v>
      </c>
      <c r="G828" s="65">
        <f>E828*$B$832/$E$832</f>
        <v>3</v>
      </c>
      <c r="H828" s="65">
        <f>E828*$C$832/$E$832</f>
        <v>1.3333333333333333</v>
      </c>
      <c r="I828" s="65">
        <f>E828*$D$832/$E$832</f>
        <v>0.66666666666666663</v>
      </c>
      <c r="K828" s="65">
        <f>POWER(B828-G828,2)/G828</f>
        <v>0.33333333333333331</v>
      </c>
      <c r="L828" s="65">
        <f t="shared" ref="L828:L831" si="158">POWER(C828-H828,2)/H828</f>
        <v>0.33333333333333343</v>
      </c>
      <c r="M828" s="65">
        <f t="shared" ref="M828:M831" si="159">POWER(D828-I828,2)/I828</f>
        <v>0.16666666666666671</v>
      </c>
      <c r="O828" s="66">
        <f>SUM(K828:M831)</f>
        <v>7.5</v>
      </c>
      <c r="Q828" s="66">
        <f>CHIDIST(O828,1)</f>
        <v>6.1698993205441602E-3</v>
      </c>
      <c r="R828" s="93">
        <f>IF(Q828&lt;0.05,ROUND(Q828,2),IF(Q828&gt;0.051,CONCATENATE(ROUND(Q828,2),"*")))</f>
        <v>0.01</v>
      </c>
    </row>
    <row r="829" spans="1:18">
      <c r="A829" s="32" t="s">
        <v>48</v>
      </c>
      <c r="B829" s="387">
        <f>GETPIVOTDATA("Répondant",Croisements!$H$465,"Question 21",2,"L'âge regrouper",1)</f>
        <v>2</v>
      </c>
      <c r="C829" s="387">
        <f>GETPIVOTDATA("Répondant",Croisements!$H$465,"Question 21",2,"L'âge regrouper",2)</f>
        <v>2</v>
      </c>
      <c r="D829" s="387">
        <f>GETPIVOTDATA("Répondant",Croisements!$H$465,"Question 21",2,"L'âge regrouper",3)</f>
        <v>0</v>
      </c>
      <c r="E829" s="70">
        <f t="shared" ref="E829:E831" si="160">B829+C829+D829</f>
        <v>4</v>
      </c>
      <c r="G829" s="65">
        <f t="shared" ref="G829:G831" si="161">E829*$B$832/$E$832</f>
        <v>2.4</v>
      </c>
      <c r="H829" s="65">
        <f>E829*$C$832/$E$832</f>
        <v>1.0666666666666667</v>
      </c>
      <c r="I829" s="65">
        <f t="shared" ref="I829:I831" si="162">E829*$D$832/$E$832</f>
        <v>0.53333333333333333</v>
      </c>
      <c r="K829" s="65">
        <f t="shared" ref="K829:K831" si="163">POWER(B829-G829,2)/G829</f>
        <v>6.6666666666666638E-2</v>
      </c>
      <c r="L829" s="65">
        <f t="shared" si="158"/>
        <v>0.81666666666666676</v>
      </c>
      <c r="M829" s="65">
        <f t="shared" si="159"/>
        <v>0.53333333333333333</v>
      </c>
    </row>
    <row r="830" spans="1:18">
      <c r="A830" s="32" t="s">
        <v>49</v>
      </c>
      <c r="B830" s="387">
        <f>GETPIVOTDATA("Répondant",Croisements!$H$465,"Question 21",3,"L'âge regrouper",1)</f>
        <v>4</v>
      </c>
      <c r="C830" s="387">
        <f>GETPIVOTDATA("Répondant",Croisements!$H$465,"Question 21",3,"L'âge regrouper",2)</f>
        <v>0</v>
      </c>
      <c r="D830" s="387">
        <f>GETPIVOTDATA("Répondant",Croisements!$H$465,"Question 21",3,"L'âge regrouper",3)</f>
        <v>0</v>
      </c>
      <c r="E830" s="70">
        <f t="shared" si="160"/>
        <v>4</v>
      </c>
      <c r="G830" s="65">
        <f t="shared" si="161"/>
        <v>2.4</v>
      </c>
      <c r="H830" s="65">
        <f>E830*$C$832/$E$832</f>
        <v>1.0666666666666667</v>
      </c>
      <c r="I830" s="65">
        <f t="shared" si="162"/>
        <v>0.53333333333333333</v>
      </c>
      <c r="K830" s="65">
        <f t="shared" si="163"/>
        <v>1.0666666666666669</v>
      </c>
      <c r="L830" s="65">
        <f t="shared" si="158"/>
        <v>1.0666666666666667</v>
      </c>
      <c r="M830" s="65">
        <f t="shared" si="159"/>
        <v>0.53333333333333333</v>
      </c>
    </row>
    <row r="831" spans="1:18">
      <c r="A831" s="32" t="s">
        <v>50</v>
      </c>
      <c r="B831" s="387">
        <f>GETPIVOTDATA("Répondant",Croisements!$H$465,"Question 21",4,"L'âge regrouper",1)</f>
        <v>1</v>
      </c>
      <c r="C831" s="387">
        <f>GETPIVOTDATA("Répondant",Croisements!$H$465,"Question 21",4,"L'âge regrouper",2)</f>
        <v>0</v>
      </c>
      <c r="D831" s="387">
        <f>GETPIVOTDATA("Répondant",Croisements!$H$465,"Question 21",4,"L'âge regrouper",3)</f>
        <v>1</v>
      </c>
      <c r="E831" s="70">
        <f t="shared" si="160"/>
        <v>2</v>
      </c>
      <c r="G831" s="65">
        <f t="shared" si="161"/>
        <v>1.2</v>
      </c>
      <c r="H831" s="65">
        <f t="shared" ref="H831" si="164">E831*$C$832/$E$832</f>
        <v>0.53333333333333333</v>
      </c>
      <c r="I831" s="65">
        <f t="shared" si="162"/>
        <v>0.26666666666666666</v>
      </c>
      <c r="K831" s="65">
        <f t="shared" si="163"/>
        <v>3.3333333333333319E-2</v>
      </c>
      <c r="L831" s="65">
        <f t="shared" si="158"/>
        <v>0.53333333333333333</v>
      </c>
      <c r="M831" s="65">
        <f t="shared" si="159"/>
        <v>2.0166666666666671</v>
      </c>
    </row>
    <row r="832" spans="1:18">
      <c r="A832" s="46" t="s">
        <v>345</v>
      </c>
      <c r="B832" s="70">
        <f>SUM(B828:B831)</f>
        <v>9</v>
      </c>
      <c r="C832" s="70">
        <f t="shared" ref="C832:D832" si="165">SUM(C828:C831)</f>
        <v>4</v>
      </c>
      <c r="D832" s="70">
        <f t="shared" si="165"/>
        <v>2</v>
      </c>
      <c r="E832" s="57">
        <f>SUM(B828:D831)</f>
        <v>15</v>
      </c>
    </row>
    <row r="834" spans="1:18">
      <c r="A834" s="590" t="s">
        <v>507</v>
      </c>
      <c r="B834" s="590"/>
      <c r="C834" s="590"/>
      <c r="D834" s="590"/>
      <c r="E834" s="590"/>
      <c r="F834" s="590"/>
      <c r="G834" s="590"/>
      <c r="H834" s="590"/>
      <c r="I834" s="590"/>
    </row>
    <row r="835" spans="1:18">
      <c r="A835" s="633" t="s">
        <v>637</v>
      </c>
      <c r="B835" s="633"/>
      <c r="C835" s="633"/>
      <c r="D835" s="633"/>
      <c r="E835" s="633"/>
      <c r="F835" s="668"/>
      <c r="G835" s="668"/>
    </row>
    <row r="836" spans="1:18">
      <c r="A836" s="669"/>
      <c r="B836" s="81" t="s">
        <v>86</v>
      </c>
      <c r="C836" s="81" t="s">
        <v>87</v>
      </c>
      <c r="D836" s="81" t="s">
        <v>90</v>
      </c>
      <c r="E836" s="57" t="s">
        <v>345</v>
      </c>
      <c r="F836" s="52"/>
      <c r="G836" s="84" t="s">
        <v>86</v>
      </c>
      <c r="H836" s="84" t="s">
        <v>87</v>
      </c>
      <c r="I836" s="84" t="s">
        <v>90</v>
      </c>
      <c r="K836" s="84" t="s">
        <v>86</v>
      </c>
      <c r="L836" s="84" t="s">
        <v>87</v>
      </c>
      <c r="M836" s="84" t="s">
        <v>90</v>
      </c>
    </row>
    <row r="837" spans="1:18">
      <c r="A837" s="665"/>
      <c r="B837" s="70" t="s">
        <v>103</v>
      </c>
      <c r="C837" s="74" t="s">
        <v>103</v>
      </c>
      <c r="D837" s="74" t="s">
        <v>103</v>
      </c>
      <c r="E837" s="70"/>
      <c r="G837" s="70" t="s">
        <v>103</v>
      </c>
      <c r="H837" s="70" t="s">
        <v>103</v>
      </c>
      <c r="I837" s="70" t="s">
        <v>103</v>
      </c>
      <c r="K837" s="70" t="s">
        <v>103</v>
      </c>
      <c r="L837" s="70" t="s">
        <v>103</v>
      </c>
      <c r="M837" s="70" t="s">
        <v>103</v>
      </c>
    </row>
    <row r="838" spans="1:18">
      <c r="A838" s="32" t="s">
        <v>460</v>
      </c>
      <c r="B838" s="70">
        <f>GETPIVOTDATA("Répondant",Croisements!$H$477,"Question 21A",1,"L'âge regrouper",1)+GETPIVOTDATA("Répondant",Croisements!$H$477,"Question 21A",2,"L'âge regrouper",1)</f>
        <v>4</v>
      </c>
      <c r="C838" s="326">
        <f>GETPIVOTDATA("Répondant",Croisements!$H$477,"Question 21A",1,"L'âge regrouper",2)+GETPIVOTDATA("Répondant",Croisements!$H$477,"Question 21A",2,"L'âge regrouper",2)</f>
        <v>1</v>
      </c>
      <c r="D838" s="326">
        <f>GETPIVOTDATA("Répondant",Croisements!$H$477,"Question 21A",1,"L'âge regrouper",3)+GETPIVOTDATA("Répondant",Croisements!$H$477,"Question 21A",2,"L'âge regrouper",3)</f>
        <v>0</v>
      </c>
      <c r="E838" s="70">
        <f>B838+C838+D838</f>
        <v>5</v>
      </c>
      <c r="G838" s="65">
        <f>E838*B840/E840</f>
        <v>3.5</v>
      </c>
      <c r="H838" s="65">
        <f>E838*C840/E840</f>
        <v>1</v>
      </c>
      <c r="I838" s="65">
        <f>E838*D840/E840</f>
        <v>0.5</v>
      </c>
      <c r="K838" s="65">
        <f>POWER(B838-G838,2)/G838</f>
        <v>7.1428571428571425E-2</v>
      </c>
      <c r="L838" s="65">
        <f t="shared" ref="L838:L839" si="166">POWER(C838-H838,2)/H838</f>
        <v>0</v>
      </c>
      <c r="M838" s="65">
        <f t="shared" ref="M838:M839" si="167">POWER(D838-I838,2)/I838</f>
        <v>0.5</v>
      </c>
      <c r="O838" s="66">
        <f>SUM(K838:M839)</f>
        <v>1.1428571428571428</v>
      </c>
      <c r="Q838" s="66">
        <f>CHIDIST(O838,1)</f>
        <v>0.2850494074026127</v>
      </c>
      <c r="R838" s="93" t="str">
        <f>IF(Q838&lt;0.05,ROUND(Q838,2),IF(Q838&gt;0.051,CONCATENATE(ROUND(Q838,2),"*")))</f>
        <v>0.29*</v>
      </c>
    </row>
    <row r="839" spans="1:18">
      <c r="A839" s="32" t="s">
        <v>461</v>
      </c>
      <c r="B839" s="70">
        <f>GETPIVOTDATA("Répondant",Croisements!$H$477,"Question 21A",3,"L'âge regrouper",1)+GETPIVOTDATA("Répondant",Croisements!$H$477,"Question 21A",4,"L'âge regrouper",1)</f>
        <v>3</v>
      </c>
      <c r="C839" s="326">
        <f>GETPIVOTDATA("Répondant",Croisements!$H$477,"Question 21A",3,"L'âge regrouper",2)+GETPIVOTDATA("Répondant",Croisements!$H$477,"Question 21A",4,"L'âge regrouper",2)</f>
        <v>1</v>
      </c>
      <c r="D839" s="326">
        <f>GETPIVOTDATA("Répondant",Croisements!$H$477,"Question 21A",3,"L'âge regrouper",3)+GETPIVOTDATA("Répondant",Croisements!$H$477,"Question 21A",4,"L'âge regrouper",3)</f>
        <v>1</v>
      </c>
      <c r="E839" s="70">
        <f t="shared" ref="E839" si="168">B839+C839+D839</f>
        <v>5</v>
      </c>
      <c r="G839" s="65">
        <f>E839*B840/E840</f>
        <v>3.5</v>
      </c>
      <c r="H839" s="65">
        <f>E839*C840/E840</f>
        <v>1</v>
      </c>
      <c r="I839" s="65">
        <f>E839*D840/E840</f>
        <v>0.5</v>
      </c>
      <c r="K839" s="65">
        <f>POWER(B839-G839,2)/G839</f>
        <v>7.1428571428571425E-2</v>
      </c>
      <c r="L839" s="65">
        <f t="shared" si="166"/>
        <v>0</v>
      </c>
      <c r="M839" s="65">
        <f t="shared" si="167"/>
        <v>0.5</v>
      </c>
    </row>
    <row r="840" spans="1:18">
      <c r="A840" s="46" t="s">
        <v>345</v>
      </c>
      <c r="B840" s="70">
        <f>B838+B839</f>
        <v>7</v>
      </c>
      <c r="C840" s="70">
        <f>C838+C839</f>
        <v>2</v>
      </c>
      <c r="D840" s="70">
        <f>D838+D839</f>
        <v>1</v>
      </c>
      <c r="E840" s="70">
        <f>B838+B839+C838+C839+D839+D838</f>
        <v>10</v>
      </c>
    </row>
    <row r="842" spans="1:18">
      <c r="A842" s="590" t="s">
        <v>799</v>
      </c>
      <c r="B842" s="590"/>
      <c r="C842" s="590"/>
      <c r="D842" s="590"/>
      <c r="E842" s="590"/>
      <c r="F842" s="590"/>
      <c r="G842" s="590"/>
    </row>
    <row r="843" spans="1:18">
      <c r="A843" s="633" t="s">
        <v>637</v>
      </c>
      <c r="B843" s="633"/>
      <c r="C843" s="633"/>
      <c r="D843" s="633"/>
      <c r="E843" s="633"/>
      <c r="F843" s="668"/>
      <c r="G843" s="668"/>
    </row>
    <row r="844" spans="1:18">
      <c r="A844" s="664"/>
      <c r="B844" s="81" t="s">
        <v>86</v>
      </c>
      <c r="C844" s="81" t="s">
        <v>87</v>
      </c>
      <c r="D844" s="81" t="s">
        <v>90</v>
      </c>
      <c r="E844" s="57" t="s">
        <v>345</v>
      </c>
      <c r="F844" s="52"/>
      <c r="G844" s="84" t="s">
        <v>86</v>
      </c>
      <c r="H844" s="84" t="s">
        <v>87</v>
      </c>
      <c r="I844" s="84" t="s">
        <v>90</v>
      </c>
      <c r="K844" s="84" t="s">
        <v>86</v>
      </c>
      <c r="L844" s="84" t="s">
        <v>87</v>
      </c>
      <c r="M844" s="84" t="s">
        <v>90</v>
      </c>
    </row>
    <row r="845" spans="1:18">
      <c r="A845" s="665"/>
      <c r="B845" s="70" t="s">
        <v>103</v>
      </c>
      <c r="C845" s="74" t="s">
        <v>103</v>
      </c>
      <c r="D845" s="74" t="s">
        <v>103</v>
      </c>
      <c r="E845" s="70"/>
      <c r="G845" s="70" t="s">
        <v>103</v>
      </c>
      <c r="H845" s="70" t="s">
        <v>103</v>
      </c>
      <c r="I845" s="70" t="s">
        <v>103</v>
      </c>
      <c r="K845" s="70" t="s">
        <v>103</v>
      </c>
      <c r="L845" s="70" t="s">
        <v>103</v>
      </c>
      <c r="M845" s="70" t="s">
        <v>103</v>
      </c>
    </row>
    <row r="846" spans="1:18">
      <c r="A846" s="32" t="s">
        <v>35</v>
      </c>
      <c r="B846" s="70">
        <f>GETPIVOTDATA("Répondant",Croisements!$H$488,"Question 22.1",1,"L'âge regrouper",1)</f>
        <v>4</v>
      </c>
      <c r="C846" s="326">
        <f>GETPIVOTDATA("Répondant",Croisements!$H$488,"Question 22.1",1,"L'âge regrouper",2)</f>
        <v>2</v>
      </c>
      <c r="D846" s="326">
        <f>GETPIVOTDATA("Répondant",Croisements!$H$488,"Question 22.1",1,"L'âge regrouper",3)</f>
        <v>2</v>
      </c>
      <c r="E846" s="70">
        <f>B846+C846+D846</f>
        <v>8</v>
      </c>
      <c r="G846" s="65">
        <f>E846*B848/E848</f>
        <v>4.8</v>
      </c>
      <c r="H846" s="65">
        <f>E846*C848/E848</f>
        <v>2.1333333333333333</v>
      </c>
      <c r="I846" s="65">
        <f>E846*D848/E848</f>
        <v>1.0666666666666667</v>
      </c>
      <c r="K846" s="65">
        <f>POWER(B846-G846,2)/G846</f>
        <v>0.13333333333333328</v>
      </c>
      <c r="L846" s="65">
        <f t="shared" ref="L846:L847" si="169">POWER(C846-H846,2)/H846</f>
        <v>8.3333333333333297E-3</v>
      </c>
      <c r="M846" s="65">
        <f t="shared" ref="M846:M847" si="170">POWER(D846-I846,2)/I846</f>
        <v>0.81666666666666676</v>
      </c>
      <c r="O846" s="66">
        <f>SUM(K846:M847)</f>
        <v>2.0535714285714288</v>
      </c>
      <c r="Q846" s="66">
        <f>CHIDIST(O846,1)</f>
        <v>0.15184961832503807</v>
      </c>
      <c r="R846" s="93" t="str">
        <f>IF(Q846&lt;0.05,ROUND(Q846,2),IF(Q846&gt;0.051,CONCATENATE(ROUND(Q846,2),"*")))</f>
        <v>0.15*</v>
      </c>
    </row>
    <row r="847" spans="1:18">
      <c r="A847" s="32" t="s">
        <v>36</v>
      </c>
      <c r="B847" s="387">
        <f>GETPIVOTDATA("Répondant",Croisements!$H$488,"Question 22.1",2,"L'âge regrouper",1)</f>
        <v>5</v>
      </c>
      <c r="C847" s="326">
        <f>GETPIVOTDATA("Répondant",Croisements!$H$488,"Question 22.1",2,"L'âge regrouper",2)</f>
        <v>2</v>
      </c>
      <c r="D847" s="387">
        <f>GETPIVOTDATA("Répondant",Croisements!$H$488,"Question 22.1",2,"L'âge regrouper",3)</f>
        <v>0</v>
      </c>
      <c r="E847" s="70">
        <f t="shared" ref="E847" si="171">B847+C847+D847</f>
        <v>7</v>
      </c>
      <c r="G847" s="65">
        <f>E847*B848/E848</f>
        <v>4.2</v>
      </c>
      <c r="H847" s="65">
        <f>E847*C848/E848</f>
        <v>1.8666666666666667</v>
      </c>
      <c r="I847" s="65">
        <f>E847*D848/E848</f>
        <v>0.93333333333333335</v>
      </c>
      <c r="K847" s="65">
        <f>POWER(B847-G847,2)/G847</f>
        <v>0.15238095238095231</v>
      </c>
      <c r="L847" s="65">
        <f t="shared" si="169"/>
        <v>9.5238095238095195E-3</v>
      </c>
      <c r="M847" s="65">
        <f t="shared" si="170"/>
        <v>0.93333333333333335</v>
      </c>
    </row>
    <row r="848" spans="1:18">
      <c r="A848" s="46" t="s">
        <v>345</v>
      </c>
      <c r="B848" s="70">
        <f>B846+B847</f>
        <v>9</v>
      </c>
      <c r="C848" s="70">
        <f>C846+C847</f>
        <v>4</v>
      </c>
      <c r="D848" s="70">
        <f>D846+D847</f>
        <v>2</v>
      </c>
      <c r="E848" s="70">
        <f>B846+B847+C846+C847+D847+D846</f>
        <v>15</v>
      </c>
    </row>
    <row r="850" spans="1:18">
      <c r="A850" s="590" t="s">
        <v>761</v>
      </c>
      <c r="B850" s="590"/>
      <c r="C850" s="590"/>
      <c r="D850" s="590"/>
      <c r="E850" s="590"/>
      <c r="F850" s="590"/>
      <c r="G850" s="590"/>
    </row>
    <row r="851" spans="1:18">
      <c r="A851" s="633" t="s">
        <v>637</v>
      </c>
      <c r="B851" s="633"/>
      <c r="C851" s="633"/>
      <c r="D851" s="633"/>
      <c r="E851" s="633"/>
      <c r="F851" s="668"/>
      <c r="G851" s="668"/>
    </row>
    <row r="852" spans="1:18">
      <c r="A852" s="669"/>
      <c r="B852" s="81" t="s">
        <v>86</v>
      </c>
      <c r="C852" s="81" t="s">
        <v>87</v>
      </c>
      <c r="D852" s="81" t="s">
        <v>90</v>
      </c>
      <c r="E852" s="57" t="s">
        <v>345</v>
      </c>
      <c r="F852" s="52"/>
      <c r="G852" s="84" t="s">
        <v>86</v>
      </c>
      <c r="H852" s="84" t="s">
        <v>87</v>
      </c>
      <c r="I852" s="84" t="s">
        <v>90</v>
      </c>
      <c r="K852" s="84" t="s">
        <v>86</v>
      </c>
      <c r="L852" s="84" t="s">
        <v>87</v>
      </c>
      <c r="M852" s="84" t="s">
        <v>90</v>
      </c>
    </row>
    <row r="853" spans="1:18">
      <c r="A853" s="665"/>
      <c r="B853" s="70" t="s">
        <v>103</v>
      </c>
      <c r="C853" s="74" t="s">
        <v>103</v>
      </c>
      <c r="D853" s="74" t="s">
        <v>103</v>
      </c>
      <c r="E853" s="70"/>
      <c r="G853" s="70" t="s">
        <v>103</v>
      </c>
      <c r="H853" s="70" t="s">
        <v>103</v>
      </c>
      <c r="I853" s="70" t="s">
        <v>103</v>
      </c>
      <c r="K853" s="70" t="s">
        <v>103</v>
      </c>
      <c r="L853" s="70" t="s">
        <v>103</v>
      </c>
      <c r="M853" s="70" t="s">
        <v>103</v>
      </c>
    </row>
    <row r="854" spans="1:18">
      <c r="A854" s="32" t="s">
        <v>35</v>
      </c>
      <c r="B854" s="70">
        <f>GETPIVOTDATA("Répondant",Croisements!$H$500,"Question 22.2",1,"L'âge regrouper",1)</f>
        <v>5</v>
      </c>
      <c r="C854" s="326">
        <f>GETPIVOTDATA("Répondant",Croisements!$H$500,"Question 22.2",1,"L'âge regrouper",2)</f>
        <v>1</v>
      </c>
      <c r="D854" s="326">
        <f>GETPIVOTDATA("Répondant",Croisements!$H$500,"Question 22.2",1,"L'âge regrouper",3)</f>
        <v>1</v>
      </c>
      <c r="E854" s="70">
        <f>B854+C854+D854</f>
        <v>7</v>
      </c>
      <c r="G854" s="65">
        <f>E854*B856/E856</f>
        <v>4.2</v>
      </c>
      <c r="H854" s="65">
        <f>E854*C856/E856</f>
        <v>1.8666666666666667</v>
      </c>
      <c r="I854" s="65">
        <f>E854*D856/E856</f>
        <v>0.93333333333333335</v>
      </c>
      <c r="K854" s="65">
        <f>POWER(B854-G854,2)/G854</f>
        <v>0.15238095238095231</v>
      </c>
      <c r="L854" s="65">
        <f t="shared" ref="L854:L855" si="172">POWER(C854-H854,2)/H854</f>
        <v>0.40238095238095239</v>
      </c>
      <c r="M854" s="65">
        <f t="shared" ref="M854:M855" si="173">POWER(D854-I854,2)/I854</f>
        <v>4.7619047619047597E-3</v>
      </c>
      <c r="O854" s="66">
        <f>SUM(K854:M855)</f>
        <v>1.0491071428571428</v>
      </c>
      <c r="Q854" s="66">
        <f>CHIDIST(O854,1)</f>
        <v>0.30571280950451524</v>
      </c>
      <c r="R854" s="93" t="str">
        <f>IF(Q854&lt;0.05,ROUND(Q854,2),IF(Q854&gt;0.051,CONCATENATE(ROUND(Q854,2),"*")))</f>
        <v>0.31*</v>
      </c>
    </row>
    <row r="855" spans="1:18">
      <c r="A855" s="32" t="s">
        <v>36</v>
      </c>
      <c r="B855" s="387">
        <f>GETPIVOTDATA("Répondant",Croisements!$H$500,"Question 22.2",2,"L'âge regrouper",1)</f>
        <v>4</v>
      </c>
      <c r="C855" s="387">
        <f>GETPIVOTDATA("Répondant",Croisements!$H$500,"Question 22.2",2,"L'âge regrouper",2)</f>
        <v>3</v>
      </c>
      <c r="D855" s="387">
        <f>GETPIVOTDATA("Répondant",Croisements!$H$500,"Question 22.2",2,"L'âge regrouper",3)</f>
        <v>1</v>
      </c>
      <c r="E855" s="70">
        <f t="shared" ref="E855" si="174">B855+C855+D855</f>
        <v>8</v>
      </c>
      <c r="G855" s="65">
        <f>E855*B856/E856</f>
        <v>4.8</v>
      </c>
      <c r="H855" s="65">
        <f>E855*C856/E856</f>
        <v>2.1333333333333333</v>
      </c>
      <c r="I855" s="65">
        <f>E855*D856/E856</f>
        <v>1.0666666666666667</v>
      </c>
      <c r="K855" s="65">
        <f>POWER(B855-G855,2)/G855</f>
        <v>0.13333333333333328</v>
      </c>
      <c r="L855" s="65">
        <f t="shared" si="172"/>
        <v>0.35208333333333336</v>
      </c>
      <c r="M855" s="65">
        <f t="shared" si="173"/>
        <v>4.1666666666666649E-3</v>
      </c>
    </row>
    <row r="856" spans="1:18">
      <c r="A856" s="46" t="s">
        <v>345</v>
      </c>
      <c r="B856" s="70">
        <f>B854+B855</f>
        <v>9</v>
      </c>
      <c r="C856" s="70">
        <f>C854+C855</f>
        <v>4</v>
      </c>
      <c r="D856" s="70">
        <f>D854+D855</f>
        <v>2</v>
      </c>
      <c r="E856" s="70">
        <f>B854+B855+C854+C855+D855+D854</f>
        <v>15</v>
      </c>
    </row>
    <row r="858" spans="1:18">
      <c r="A858" s="590" t="s">
        <v>762</v>
      </c>
      <c r="B858" s="590"/>
      <c r="C858" s="590"/>
      <c r="D858" s="590"/>
      <c r="E858" s="590"/>
      <c r="F858" s="590"/>
      <c r="G858" s="590"/>
    </row>
    <row r="859" spans="1:18">
      <c r="A859" s="633" t="s">
        <v>637</v>
      </c>
      <c r="B859" s="633"/>
      <c r="C859" s="633"/>
      <c r="D859" s="633"/>
      <c r="E859" s="633"/>
      <c r="F859" s="668"/>
      <c r="G859" s="668"/>
    </row>
    <row r="860" spans="1:18">
      <c r="A860" s="664"/>
      <c r="B860" s="81" t="s">
        <v>86</v>
      </c>
      <c r="C860" s="81" t="s">
        <v>87</v>
      </c>
      <c r="D860" s="81" t="s">
        <v>90</v>
      </c>
      <c r="E860" s="57" t="s">
        <v>345</v>
      </c>
      <c r="F860" s="52"/>
      <c r="G860" s="84" t="s">
        <v>86</v>
      </c>
      <c r="H860" s="84" t="s">
        <v>87</v>
      </c>
      <c r="I860" s="84" t="s">
        <v>90</v>
      </c>
      <c r="K860" s="84" t="s">
        <v>86</v>
      </c>
      <c r="L860" s="84" t="s">
        <v>87</v>
      </c>
      <c r="M860" s="84" t="s">
        <v>90</v>
      </c>
    </row>
    <row r="861" spans="1:18">
      <c r="A861" s="665"/>
      <c r="B861" s="70" t="s">
        <v>103</v>
      </c>
      <c r="C861" s="74" t="s">
        <v>103</v>
      </c>
      <c r="D861" s="74" t="s">
        <v>103</v>
      </c>
      <c r="E861" s="70"/>
      <c r="G861" s="70" t="s">
        <v>103</v>
      </c>
      <c r="H861" s="70" t="s">
        <v>103</v>
      </c>
      <c r="I861" s="70" t="s">
        <v>103</v>
      </c>
      <c r="K861" s="70" t="s">
        <v>103</v>
      </c>
      <c r="L861" s="70" t="s">
        <v>103</v>
      </c>
      <c r="M861" s="70" t="s">
        <v>103</v>
      </c>
    </row>
    <row r="862" spans="1:18">
      <c r="A862" s="32" t="s">
        <v>35</v>
      </c>
      <c r="B862" s="70">
        <f>GETPIVOTDATA("Répondant",Croisements!$H$510,"Question 22.3",1,"L'âge regrouper",1)</f>
        <v>4</v>
      </c>
      <c r="C862" s="326">
        <f>GETPIVOTDATA("Répondant",Croisements!$H$510,"Question 22.3",1,"L'âge regrouper",2)</f>
        <v>2</v>
      </c>
      <c r="D862" s="326">
        <f>GETPIVOTDATA("Répondant",Croisements!$H$510,"Question 22.3",1,"L'âge regrouper",3)</f>
        <v>2</v>
      </c>
      <c r="E862" s="70">
        <f>B862+C862+D862</f>
        <v>8</v>
      </c>
      <c r="G862" s="65">
        <f>E862*B864/E864</f>
        <v>4.8</v>
      </c>
      <c r="H862" s="65">
        <f>E862*C864/E864</f>
        <v>2.1333333333333333</v>
      </c>
      <c r="I862" s="65">
        <f>E862*D864/E864</f>
        <v>1.0666666666666667</v>
      </c>
      <c r="K862" s="65">
        <f>POWER(B862-G862,2)/G862</f>
        <v>0.13333333333333328</v>
      </c>
      <c r="L862" s="65">
        <f t="shared" ref="L862:L863" si="175">POWER(C862-H862,2)/H862</f>
        <v>8.3333333333333297E-3</v>
      </c>
      <c r="M862" s="65">
        <f t="shared" ref="M862:M863" si="176">POWER(D862-I862,2)/I862</f>
        <v>0.81666666666666676</v>
      </c>
      <c r="O862" s="66">
        <f>SUM(K862:M863)</f>
        <v>2.0535714285714288</v>
      </c>
      <c r="Q862" s="66">
        <f>CHIDIST(O862,1)</f>
        <v>0.15184961832503807</v>
      </c>
      <c r="R862" s="93" t="str">
        <f>IF(Q862&lt;0.05,ROUND(Q862,2),IF(Q862&gt;0.051,CONCATENATE(ROUND(Q862,2),"*")))</f>
        <v>0.15*</v>
      </c>
    </row>
    <row r="863" spans="1:18">
      <c r="A863" s="32" t="s">
        <v>36</v>
      </c>
      <c r="B863" s="387">
        <f>GETPIVOTDATA("Répondant",Croisements!$H$510,"Question 22.3",2,"L'âge regrouper",1)</f>
        <v>5</v>
      </c>
      <c r="C863" s="387">
        <f>GETPIVOTDATA("Répondant",Croisements!$H$510,"Question 22.3",2,"L'âge regrouper",2)</f>
        <v>2</v>
      </c>
      <c r="D863" s="387">
        <f>GETPIVOTDATA("Répondant",Croisements!$H$510,"Question 22.3",2,"L'âge regrouper",3)</f>
        <v>0</v>
      </c>
      <c r="E863" s="70">
        <f t="shared" ref="E863" si="177">B863+C863+D863</f>
        <v>7</v>
      </c>
      <c r="G863" s="65">
        <f>E863*B864/E864</f>
        <v>4.2</v>
      </c>
      <c r="H863" s="65">
        <f>E863*C864/E864</f>
        <v>1.8666666666666667</v>
      </c>
      <c r="I863" s="65">
        <f>E863*D864/E864</f>
        <v>0.93333333333333335</v>
      </c>
      <c r="K863" s="65">
        <f>POWER(B863-G863,2)/G863</f>
        <v>0.15238095238095231</v>
      </c>
      <c r="L863" s="65">
        <f t="shared" si="175"/>
        <v>9.5238095238095195E-3</v>
      </c>
      <c r="M863" s="65">
        <f t="shared" si="176"/>
        <v>0.93333333333333335</v>
      </c>
    </row>
    <row r="864" spans="1:18">
      <c r="A864" s="46" t="s">
        <v>345</v>
      </c>
      <c r="B864" s="70">
        <f>B862+B863</f>
        <v>9</v>
      </c>
      <c r="C864" s="70">
        <f>C862+C863</f>
        <v>4</v>
      </c>
      <c r="D864" s="70">
        <f>D862+D863</f>
        <v>2</v>
      </c>
      <c r="E864" s="70">
        <f>B862+B863+C862+C863+D863+D862</f>
        <v>15</v>
      </c>
    </row>
    <row r="866" spans="1:18">
      <c r="A866" s="590" t="s">
        <v>899</v>
      </c>
      <c r="B866" s="590"/>
      <c r="C866" s="590"/>
      <c r="D866" s="590"/>
      <c r="E866" s="590"/>
      <c r="F866" s="590"/>
      <c r="G866" s="590"/>
    </row>
    <row r="867" spans="1:18">
      <c r="A867" s="633" t="s">
        <v>637</v>
      </c>
      <c r="B867" s="633"/>
      <c r="C867" s="633"/>
      <c r="D867" s="633"/>
      <c r="E867" s="633"/>
      <c r="F867" s="668"/>
      <c r="G867" s="668"/>
    </row>
    <row r="868" spans="1:18">
      <c r="A868" s="664"/>
      <c r="B868" s="81" t="s">
        <v>86</v>
      </c>
      <c r="C868" s="81" t="s">
        <v>87</v>
      </c>
      <c r="D868" s="81" t="s">
        <v>90</v>
      </c>
      <c r="E868" s="57" t="s">
        <v>345</v>
      </c>
      <c r="F868" s="52"/>
      <c r="G868" s="84" t="s">
        <v>86</v>
      </c>
      <c r="H868" s="84" t="s">
        <v>87</v>
      </c>
      <c r="I868" s="84" t="s">
        <v>90</v>
      </c>
      <c r="K868" s="84" t="s">
        <v>86</v>
      </c>
      <c r="L868" s="84" t="s">
        <v>87</v>
      </c>
      <c r="M868" s="84" t="s">
        <v>90</v>
      </c>
    </row>
    <row r="869" spans="1:18">
      <c r="A869" s="665"/>
      <c r="B869" s="70" t="s">
        <v>103</v>
      </c>
      <c r="C869" s="74" t="s">
        <v>103</v>
      </c>
      <c r="D869" s="74" t="s">
        <v>103</v>
      </c>
      <c r="E869" s="70"/>
      <c r="G869" s="70" t="s">
        <v>103</v>
      </c>
      <c r="H869" s="70" t="s">
        <v>103</v>
      </c>
      <c r="I869" s="70" t="s">
        <v>103</v>
      </c>
      <c r="K869" s="70" t="s">
        <v>103</v>
      </c>
      <c r="L869" s="70" t="s">
        <v>103</v>
      </c>
      <c r="M869" s="70" t="s">
        <v>103</v>
      </c>
    </row>
    <row r="870" spans="1:18">
      <c r="A870" s="32" t="s">
        <v>35</v>
      </c>
      <c r="B870" s="70">
        <f>GETPIVOTDATA("Répondant",Croisements!$H$521,"Question 22.5",1,"L'âge regrouper",1)</f>
        <v>4</v>
      </c>
      <c r="C870" s="387">
        <f>GETPIVOTDATA("Répondant",Croisements!$H$521,"Question 22.5",1,"L'âge regrouper",2)</f>
        <v>1</v>
      </c>
      <c r="D870" s="387">
        <f>GETPIVOTDATA("Répondant",Croisements!$H$521,"Question 22.5",1,"L'âge regrouper",3)</f>
        <v>1</v>
      </c>
      <c r="E870" s="70">
        <f>B870+C870+D870</f>
        <v>6</v>
      </c>
      <c r="G870" s="65">
        <f>E870*B872/E872</f>
        <v>3.6</v>
      </c>
      <c r="H870" s="65">
        <f>E870*C872/E872</f>
        <v>1.6</v>
      </c>
      <c r="I870" s="65">
        <f>E870*D872/E872</f>
        <v>0.8</v>
      </c>
      <c r="K870" s="65">
        <f>POWER(B870-G870,2)/G870</f>
        <v>4.4444444444444418E-2</v>
      </c>
      <c r="L870" s="65">
        <f t="shared" ref="L870:L871" si="178">POWER(C870-H870,2)/H870</f>
        <v>0.22500000000000006</v>
      </c>
      <c r="M870" s="65">
        <f t="shared" ref="M870:M871" si="179">POWER(D870-I870,2)/I870</f>
        <v>4.9999999999999975E-2</v>
      </c>
      <c r="O870" s="66">
        <f>SUM(K870:M871)</f>
        <v>0.53240740740740755</v>
      </c>
      <c r="Q870" s="66">
        <f>CHIDIST(O870,1)</f>
        <v>0.46559649028969091</v>
      </c>
      <c r="R870" s="93" t="str">
        <f>IF(Q870&lt;0.05,ROUND(Q870,2),IF(Q870&gt;0.051,CONCATENATE(ROUND(Q870,2),"*")))</f>
        <v>0.47*</v>
      </c>
    </row>
    <row r="871" spans="1:18">
      <c r="A871" s="32" t="s">
        <v>36</v>
      </c>
      <c r="B871" s="387">
        <f>GETPIVOTDATA("Répondant",Croisements!$H$521,"Question 22.5",2,"L'âge regrouper",1)</f>
        <v>5</v>
      </c>
      <c r="C871" s="387">
        <f>GETPIVOTDATA("Répondant",Croisements!$H$521,"Question 22.5",2,"L'âge regrouper",2)</f>
        <v>3</v>
      </c>
      <c r="D871" s="387">
        <f>GETPIVOTDATA("Répondant",Croisements!$H$521,"Question 22.5",2,"L'âge regrouper",3)</f>
        <v>1</v>
      </c>
      <c r="E871" s="70">
        <f t="shared" ref="E871" si="180">B871+C871+D871</f>
        <v>9</v>
      </c>
      <c r="G871" s="65">
        <f>E871*B872/E872</f>
        <v>5.4</v>
      </c>
      <c r="H871" s="65">
        <f>E871*C872/E872</f>
        <v>2.4</v>
      </c>
      <c r="I871" s="65">
        <f>E871*D872/E872</f>
        <v>1.2</v>
      </c>
      <c r="K871" s="65">
        <f>POWER(B871-G871,2)/G871</f>
        <v>2.9629629629629679E-2</v>
      </c>
      <c r="L871" s="65">
        <f t="shared" si="178"/>
        <v>0.15000000000000005</v>
      </c>
      <c r="M871" s="65">
        <f t="shared" si="179"/>
        <v>3.3333333333333319E-2</v>
      </c>
    </row>
    <row r="872" spans="1:18">
      <c r="A872" s="46" t="s">
        <v>345</v>
      </c>
      <c r="B872" s="70">
        <f>B870+B871</f>
        <v>9</v>
      </c>
      <c r="C872" s="70">
        <f>C870+C871</f>
        <v>4</v>
      </c>
      <c r="D872" s="70">
        <f>D870+D871</f>
        <v>2</v>
      </c>
      <c r="E872" s="70">
        <f>B870+B871+C870+C871+D871+D870</f>
        <v>15</v>
      </c>
    </row>
    <row r="874" spans="1:18">
      <c r="A874" s="590" t="s">
        <v>902</v>
      </c>
      <c r="B874" s="590"/>
      <c r="C874" s="590"/>
      <c r="D874" s="590"/>
      <c r="E874" s="590"/>
      <c r="F874" s="590"/>
      <c r="G874" s="590"/>
    </row>
    <row r="875" spans="1:18">
      <c r="A875" s="633" t="s">
        <v>637</v>
      </c>
      <c r="B875" s="633"/>
      <c r="C875" s="633"/>
      <c r="D875" s="633"/>
      <c r="E875" s="633"/>
      <c r="F875" s="668"/>
      <c r="G875" s="668"/>
    </row>
    <row r="876" spans="1:18">
      <c r="A876" s="669"/>
      <c r="B876" s="81" t="s">
        <v>86</v>
      </c>
      <c r="C876" s="81" t="s">
        <v>87</v>
      </c>
      <c r="D876" s="81" t="s">
        <v>90</v>
      </c>
      <c r="E876" s="57" t="s">
        <v>345</v>
      </c>
      <c r="F876" s="52"/>
      <c r="G876" s="84" t="s">
        <v>86</v>
      </c>
      <c r="H876" s="84" t="s">
        <v>87</v>
      </c>
      <c r="I876" s="84" t="s">
        <v>90</v>
      </c>
      <c r="K876" s="84" t="s">
        <v>86</v>
      </c>
      <c r="L876" s="84" t="s">
        <v>87</v>
      </c>
      <c r="M876" s="84" t="s">
        <v>90</v>
      </c>
    </row>
    <row r="877" spans="1:18">
      <c r="A877" s="665"/>
      <c r="B877" s="70" t="s">
        <v>103</v>
      </c>
      <c r="C877" s="74" t="s">
        <v>103</v>
      </c>
      <c r="D877" s="74" t="s">
        <v>103</v>
      </c>
      <c r="E877" s="70"/>
      <c r="G877" s="70" t="s">
        <v>103</v>
      </c>
      <c r="H877" s="70" t="s">
        <v>103</v>
      </c>
      <c r="I877" s="70" t="s">
        <v>103</v>
      </c>
      <c r="K877" s="70" t="s">
        <v>103</v>
      </c>
      <c r="L877" s="70" t="s">
        <v>103</v>
      </c>
      <c r="M877" s="70" t="s">
        <v>103</v>
      </c>
    </row>
    <row r="878" spans="1:18">
      <c r="A878" s="32" t="s">
        <v>35</v>
      </c>
      <c r="B878" s="70">
        <f>GETPIVOTDATA("Répondant",Croisements!$H$531,"Question 22.6",1,"L'âge regrouper",1)</f>
        <v>3</v>
      </c>
      <c r="C878" s="326">
        <f>GETPIVOTDATA("Répondant",Croisements!$H$531,"Question 22.6",1,"L'âge regrouper",2)</f>
        <v>2</v>
      </c>
      <c r="D878" s="326">
        <f>GETPIVOTDATA("Répondant",Croisements!$H$531,"Question 22.6",1,"L'âge regrouper",3)</f>
        <v>2</v>
      </c>
      <c r="E878" s="70">
        <f>B878+C878+D878</f>
        <v>7</v>
      </c>
      <c r="G878" s="65">
        <f>E878*B880/E880</f>
        <v>4.2</v>
      </c>
      <c r="H878" s="65">
        <f>E878*C880/E880</f>
        <v>1.8666666666666667</v>
      </c>
      <c r="I878" s="65">
        <f>E878*D880/E880</f>
        <v>0.93333333333333335</v>
      </c>
      <c r="K878" s="65">
        <f>POWER(B878-G878,2)/G878</f>
        <v>0.34285714285714292</v>
      </c>
      <c r="L878" s="65">
        <f t="shared" ref="L878:L879" si="181">POWER(C878-H878,2)/H878</f>
        <v>9.5238095238095195E-3</v>
      </c>
      <c r="M878" s="65">
        <f t="shared" ref="M878:M879" si="182">POWER(D878-I878,2)/I878</f>
        <v>1.2190476190476189</v>
      </c>
      <c r="O878" s="66">
        <f>SUM(K878:M879)</f>
        <v>2.9464285714285712</v>
      </c>
      <c r="Q878" s="66">
        <f>CHIDIST(O878,1)</f>
        <v>8.6067567872339018E-2</v>
      </c>
      <c r="R878" s="93" t="str">
        <f>IF(Q878&lt;0.05,ROUND(Q878,2),IF(Q878&gt;0.051,CONCATENATE(ROUND(Q878,2),"*")))</f>
        <v>0.09*</v>
      </c>
    </row>
    <row r="879" spans="1:18">
      <c r="A879" s="32" t="s">
        <v>36</v>
      </c>
      <c r="B879" s="70">
        <f>GETPIVOTDATA("Répondant",Croisements!$H$531,"Question 22.6",2,"L'âge regrouper",1)</f>
        <v>6</v>
      </c>
      <c r="C879" s="326">
        <f>GETPIVOTDATA("Répondant",Croisements!$H$531,"Question 22.6",2,"L'âge regrouper",2)</f>
        <v>2</v>
      </c>
      <c r="D879" s="326">
        <f>GETPIVOTDATA("Répondant",Croisements!$H$531,"Question 22.6",2,"L'âge regrouper",3)</f>
        <v>0</v>
      </c>
      <c r="E879" s="70">
        <f t="shared" ref="E879" si="183">B879+C879+D879</f>
        <v>8</v>
      </c>
      <c r="G879" s="65">
        <f>E879*B880/E880</f>
        <v>4.8</v>
      </c>
      <c r="H879" s="65">
        <f>E879*C880/E880</f>
        <v>2.1333333333333333</v>
      </c>
      <c r="I879" s="65">
        <f>E879*D880/E880</f>
        <v>1.0666666666666667</v>
      </c>
      <c r="K879" s="65">
        <f>POWER(B879-G879,2)/G879</f>
        <v>0.3000000000000001</v>
      </c>
      <c r="L879" s="65">
        <f t="shared" si="181"/>
        <v>8.3333333333333297E-3</v>
      </c>
      <c r="M879" s="65">
        <f t="shared" si="182"/>
        <v>1.0666666666666667</v>
      </c>
    </row>
    <row r="880" spans="1:18">
      <c r="A880" s="46" t="s">
        <v>345</v>
      </c>
      <c r="B880" s="70">
        <f>B878+B879</f>
        <v>9</v>
      </c>
      <c r="C880" s="70">
        <f>C878+C879</f>
        <v>4</v>
      </c>
      <c r="D880" s="70">
        <f>D878+D879</f>
        <v>2</v>
      </c>
      <c r="E880" s="70">
        <f>B878+B879+C878+C879+D879+D878</f>
        <v>15</v>
      </c>
    </row>
    <row r="882" spans="1:18">
      <c r="A882" s="323" t="s">
        <v>508</v>
      </c>
      <c r="B882" s="323"/>
      <c r="C882" s="323"/>
      <c r="D882" s="323"/>
      <c r="E882" s="323"/>
      <c r="F882" s="323"/>
      <c r="G882" s="323"/>
    </row>
    <row r="883" spans="1:18">
      <c r="A883" s="633" t="s">
        <v>637</v>
      </c>
      <c r="B883" s="633"/>
      <c r="C883" s="633"/>
      <c r="D883" s="633"/>
      <c r="E883" s="633"/>
      <c r="F883" s="668"/>
      <c r="G883" s="668"/>
    </row>
    <row r="884" spans="1:18">
      <c r="A884" s="664"/>
      <c r="B884" s="81" t="s">
        <v>86</v>
      </c>
      <c r="C884" s="81" t="s">
        <v>87</v>
      </c>
      <c r="D884" s="81" t="s">
        <v>90</v>
      </c>
      <c r="E884" s="57" t="s">
        <v>345</v>
      </c>
      <c r="F884" s="52"/>
      <c r="G884" s="84" t="s">
        <v>86</v>
      </c>
      <c r="H884" s="84" t="s">
        <v>87</v>
      </c>
      <c r="I884" s="84" t="s">
        <v>90</v>
      </c>
      <c r="K884" s="84" t="s">
        <v>86</v>
      </c>
      <c r="L884" s="84" t="s">
        <v>87</v>
      </c>
      <c r="M884" s="84" t="s">
        <v>90</v>
      </c>
    </row>
    <row r="885" spans="1:18">
      <c r="A885" s="665"/>
      <c r="B885" s="70" t="s">
        <v>103</v>
      </c>
      <c r="C885" s="74" t="s">
        <v>103</v>
      </c>
      <c r="D885" s="74" t="s">
        <v>103</v>
      </c>
      <c r="E885" s="70"/>
      <c r="G885" s="70" t="s">
        <v>103</v>
      </c>
      <c r="H885" s="70" t="s">
        <v>103</v>
      </c>
      <c r="I885" s="70" t="s">
        <v>103</v>
      </c>
      <c r="K885" s="70" t="s">
        <v>103</v>
      </c>
      <c r="L885" s="70" t="s">
        <v>103</v>
      </c>
      <c r="M885" s="70" t="s">
        <v>103</v>
      </c>
    </row>
    <row r="886" spans="1:18">
      <c r="A886" s="32" t="s">
        <v>35</v>
      </c>
      <c r="B886" s="70">
        <f>GETPIVOTDATA("Répondant",Croisements!$H$540,"Question 23",1,"L'âge regrouper",1)</f>
        <v>6</v>
      </c>
      <c r="C886" s="326">
        <f>GETPIVOTDATA("Répondant",Croisements!$H$540,"Question 23",1,"L'âge regrouper",2)</f>
        <v>1</v>
      </c>
      <c r="D886" s="326">
        <f>GETPIVOTDATA("Répondant",Croisements!$H$540,"Question 23",1,"L'âge regrouper",3)</f>
        <v>1</v>
      </c>
      <c r="E886" s="70">
        <f>B886+C886+D886</f>
        <v>8</v>
      </c>
      <c r="G886" s="65">
        <f>E886*B888/E888</f>
        <v>4.8</v>
      </c>
      <c r="H886" s="65">
        <f>E886*C888/E888</f>
        <v>2.1333333333333333</v>
      </c>
      <c r="I886" s="65">
        <f>E886*D888/E888</f>
        <v>1.0666666666666667</v>
      </c>
      <c r="K886" s="65">
        <f>POWER(B886-G886,2)/G886</f>
        <v>0.3000000000000001</v>
      </c>
      <c r="L886" s="65">
        <f t="shared" ref="L886:L887" si="184">POWER(C886-H886,2)/H886</f>
        <v>0.6020833333333333</v>
      </c>
      <c r="M886" s="65">
        <f t="shared" ref="M886:M887" si="185">POWER(D886-I886,2)/I886</f>
        <v>4.1666666666666649E-3</v>
      </c>
      <c r="O886" s="66">
        <f>SUM(K886:M887)</f>
        <v>1.9419642857142856</v>
      </c>
      <c r="Q886" s="66">
        <f>CHIDIST(O886,1)</f>
        <v>0.16345541367213962</v>
      </c>
      <c r="R886" s="93" t="str">
        <f>IF(Q886&lt;0.05,ROUND(Q886,2),IF(Q886&gt;0.051,CONCATENATE(ROUND(Q886,2),"*")))</f>
        <v>0.16*</v>
      </c>
    </row>
    <row r="887" spans="1:18">
      <c r="A887" s="32" t="s">
        <v>36</v>
      </c>
      <c r="B887" s="70">
        <f>GETPIVOTDATA("Répondant",Croisements!$H$540,"Question 23",2,"L'âge regrouper",1)</f>
        <v>3</v>
      </c>
      <c r="C887" s="326">
        <f>GETPIVOTDATA("Répondant",Croisements!$H$540,"Question 23",2,"L'âge regrouper",2)</f>
        <v>3</v>
      </c>
      <c r="D887" s="326">
        <f>GETPIVOTDATA("Répondant",Croisements!$H$540,"Question 23",2,"L'âge regrouper",3)</f>
        <v>1</v>
      </c>
      <c r="E887" s="70">
        <f t="shared" ref="E887" si="186">B887+C887+D887</f>
        <v>7</v>
      </c>
      <c r="G887" s="65">
        <f>E887*B888/E888</f>
        <v>4.2</v>
      </c>
      <c r="H887" s="65">
        <f>E887*C888/E888</f>
        <v>1.8666666666666667</v>
      </c>
      <c r="I887" s="65">
        <f>E887*D888/E888</f>
        <v>0.93333333333333335</v>
      </c>
      <c r="K887" s="65">
        <f>POWER(B887-G887,2)/G887</f>
        <v>0.34285714285714292</v>
      </c>
      <c r="L887" s="65">
        <f t="shared" si="184"/>
        <v>0.68809523809523798</v>
      </c>
      <c r="M887" s="65">
        <f t="shared" si="185"/>
        <v>4.7619047619047597E-3</v>
      </c>
    </row>
    <row r="888" spans="1:18">
      <c r="A888" s="46" t="s">
        <v>345</v>
      </c>
      <c r="B888" s="70">
        <f>B886+B887</f>
        <v>9</v>
      </c>
      <c r="C888" s="70">
        <f>C886+C887</f>
        <v>4</v>
      </c>
      <c r="D888" s="70">
        <f>D886+D887</f>
        <v>2</v>
      </c>
      <c r="E888" s="70">
        <f>B886+B887+C886+C887+D887+D886</f>
        <v>15</v>
      </c>
    </row>
    <row r="890" spans="1:18">
      <c r="A890" s="323" t="s">
        <v>510</v>
      </c>
      <c r="B890" s="323"/>
      <c r="C890" s="323"/>
      <c r="D890" s="323"/>
      <c r="E890" s="323"/>
      <c r="F890" s="323"/>
      <c r="G890" s="323"/>
      <c r="H890" s="323"/>
    </row>
    <row r="891" spans="1:18">
      <c r="A891" s="633" t="s">
        <v>637</v>
      </c>
      <c r="B891" s="633"/>
      <c r="C891" s="633"/>
      <c r="D891" s="633"/>
      <c r="E891" s="633"/>
      <c r="F891" s="668"/>
      <c r="G891" s="668"/>
    </row>
    <row r="892" spans="1:18">
      <c r="A892" s="669"/>
      <c r="B892" s="81" t="s">
        <v>86</v>
      </c>
      <c r="C892" s="81" t="s">
        <v>87</v>
      </c>
      <c r="D892" s="81" t="s">
        <v>90</v>
      </c>
      <c r="E892" s="57" t="s">
        <v>345</v>
      </c>
      <c r="F892" s="52"/>
      <c r="G892" s="84" t="s">
        <v>86</v>
      </c>
      <c r="H892" s="84" t="s">
        <v>87</v>
      </c>
      <c r="I892" s="84" t="s">
        <v>90</v>
      </c>
      <c r="K892" s="84" t="s">
        <v>86</v>
      </c>
      <c r="L892" s="84" t="s">
        <v>87</v>
      </c>
      <c r="M892" s="84" t="s">
        <v>90</v>
      </c>
    </row>
    <row r="893" spans="1:18">
      <c r="A893" s="665"/>
      <c r="B893" s="70" t="s">
        <v>103</v>
      </c>
      <c r="C893" s="74" t="s">
        <v>103</v>
      </c>
      <c r="D893" s="74" t="s">
        <v>103</v>
      </c>
      <c r="E893" s="70"/>
      <c r="G893" s="70" t="s">
        <v>103</v>
      </c>
      <c r="H893" s="70" t="s">
        <v>103</v>
      </c>
      <c r="I893" s="70" t="s">
        <v>103</v>
      </c>
      <c r="K893" s="70" t="s">
        <v>103</v>
      </c>
      <c r="L893" s="70" t="s">
        <v>103</v>
      </c>
      <c r="M893" s="70" t="s">
        <v>103</v>
      </c>
    </row>
    <row r="894" spans="1:18">
      <c r="A894" s="32" t="s">
        <v>35</v>
      </c>
      <c r="B894" s="70">
        <f>GETPIVOTDATA("Répondant",Croisements!$H$550,"Question 24",1,"L'âge regrouper",1)</f>
        <v>5</v>
      </c>
      <c r="C894" s="326">
        <f>GETPIVOTDATA("Répondant",Croisements!$H$550,"Question 24",1,"L'âge regrouper",2)</f>
        <v>2</v>
      </c>
      <c r="D894" s="326">
        <f>GETPIVOTDATA("Répondant",Croisements!$H$550,"Question 24",1,"L'âge regrouper",3)</f>
        <v>1</v>
      </c>
      <c r="E894" s="70">
        <f>B894+C894+D894</f>
        <v>8</v>
      </c>
      <c r="G894" s="65">
        <f>E894*B896/E896</f>
        <v>4.8</v>
      </c>
      <c r="H894" s="65">
        <f>E894*C896/E896</f>
        <v>2.1333333333333333</v>
      </c>
      <c r="I894" s="65">
        <f>E894*D896/E896</f>
        <v>1.0666666666666667</v>
      </c>
      <c r="K894" s="65">
        <f>POWER(B894-G894,2)/G894</f>
        <v>8.3333333333333488E-3</v>
      </c>
      <c r="L894" s="65">
        <f t="shared" ref="L894:L895" si="187">POWER(C894-H894,2)/H894</f>
        <v>8.3333333333333297E-3</v>
      </c>
      <c r="M894" s="65">
        <f t="shared" ref="M894:M895" si="188">POWER(D894-I894,2)/I894</f>
        <v>4.1666666666666649E-3</v>
      </c>
      <c r="O894" s="66">
        <f>SUM(K894:M895)</f>
        <v>4.4642857142857158E-2</v>
      </c>
      <c r="Q894" s="66">
        <f>CHIDIST(O894,1)</f>
        <v>0.83266210635053239</v>
      </c>
      <c r="R894" s="93" t="str">
        <f>IF(Q894&lt;0.05,ROUND(Q894,2),IF(Q894&gt;0.051,CONCATENATE(ROUND(Q894,2),"*")))</f>
        <v>0.83*</v>
      </c>
    </row>
    <row r="895" spans="1:18">
      <c r="A895" s="32" t="s">
        <v>36</v>
      </c>
      <c r="B895" s="70">
        <f>GETPIVOTDATA("Répondant",Croisements!$H$550,"Question 24",2,"L'âge regrouper",1)</f>
        <v>4</v>
      </c>
      <c r="C895" s="326">
        <f>GETPIVOTDATA("Répondant",Croisements!$H$550,"Question 24",2,"L'âge regrouper",2)</f>
        <v>2</v>
      </c>
      <c r="D895" s="326">
        <f>GETPIVOTDATA("Répondant",Croisements!$H$550,"Question 24",2,"L'âge regrouper",3)</f>
        <v>1</v>
      </c>
      <c r="E895" s="70">
        <f t="shared" ref="E895" si="189">B895+C895+D895</f>
        <v>7</v>
      </c>
      <c r="G895" s="65">
        <f>E895*B896/E896</f>
        <v>4.2</v>
      </c>
      <c r="H895" s="65">
        <f>E895*C896/E896</f>
        <v>1.8666666666666667</v>
      </c>
      <c r="I895" s="65">
        <f>E895*D896/E896</f>
        <v>0.93333333333333335</v>
      </c>
      <c r="K895" s="65">
        <f>POWER(B895-G895,2)/G895</f>
        <v>9.5238095238095403E-3</v>
      </c>
      <c r="L895" s="65">
        <f t="shared" si="187"/>
        <v>9.5238095238095195E-3</v>
      </c>
      <c r="M895" s="65">
        <f t="shared" si="188"/>
        <v>4.7619047619047597E-3</v>
      </c>
    </row>
    <row r="896" spans="1:18">
      <c r="A896" s="46" t="s">
        <v>345</v>
      </c>
      <c r="B896" s="70">
        <f>B894+B895</f>
        <v>9</v>
      </c>
      <c r="C896" s="70">
        <f>C894+C895</f>
        <v>4</v>
      </c>
      <c r="D896" s="70">
        <f>D894+D895</f>
        <v>2</v>
      </c>
      <c r="E896" s="70">
        <f>B894+B895+C894+C895+D895+D894</f>
        <v>15</v>
      </c>
    </row>
    <row r="898" spans="1:18">
      <c r="A898" s="590" t="s">
        <v>511</v>
      </c>
      <c r="B898" s="590"/>
      <c r="C898" s="590"/>
      <c r="D898" s="590"/>
      <c r="E898" s="590"/>
      <c r="F898" s="590"/>
      <c r="G898" s="590"/>
      <c r="H898" s="590"/>
      <c r="I898" s="590"/>
    </row>
    <row r="899" spans="1:18">
      <c r="A899" s="633" t="s">
        <v>637</v>
      </c>
      <c r="B899" s="633"/>
      <c r="C899" s="633"/>
      <c r="D899" s="633"/>
      <c r="E899" s="633"/>
      <c r="F899" s="668"/>
      <c r="G899" s="668"/>
    </row>
    <row r="900" spans="1:18">
      <c r="A900" s="664"/>
      <c r="B900" s="81" t="s">
        <v>86</v>
      </c>
      <c r="C900" s="81" t="s">
        <v>87</v>
      </c>
      <c r="D900" s="81" t="s">
        <v>90</v>
      </c>
      <c r="E900" s="57" t="s">
        <v>345</v>
      </c>
      <c r="F900" s="52"/>
      <c r="G900" s="84" t="s">
        <v>86</v>
      </c>
      <c r="H900" s="84" t="s">
        <v>87</v>
      </c>
      <c r="I900" s="84" t="s">
        <v>90</v>
      </c>
      <c r="K900" s="84" t="s">
        <v>86</v>
      </c>
      <c r="L900" s="84" t="s">
        <v>87</v>
      </c>
      <c r="M900" s="84" t="s">
        <v>90</v>
      </c>
    </row>
    <row r="901" spans="1:18">
      <c r="A901" s="665"/>
      <c r="B901" s="70" t="s">
        <v>103</v>
      </c>
      <c r="C901" s="74" t="s">
        <v>103</v>
      </c>
      <c r="D901" s="74" t="s">
        <v>103</v>
      </c>
      <c r="E901" s="70"/>
      <c r="G901" s="70" t="s">
        <v>103</v>
      </c>
      <c r="H901" s="70" t="s">
        <v>103</v>
      </c>
      <c r="I901" s="70" t="s">
        <v>103</v>
      </c>
      <c r="K901" s="70" t="s">
        <v>103</v>
      </c>
      <c r="L901" s="70" t="s">
        <v>103</v>
      </c>
      <c r="M901" s="70" t="s">
        <v>103</v>
      </c>
    </row>
    <row r="902" spans="1:18">
      <c r="A902" s="32" t="s">
        <v>75</v>
      </c>
      <c r="B902" s="70">
        <f>GETPIVOTDATA("Répondant",Croisements!$H$559,"Question 25",1,"L'âge regrouper",1)+GETPIVOTDATA("Répondant",Croisements!$H$559,"Question 25",2,"L'âge regrouper",1)</f>
        <v>5</v>
      </c>
      <c r="C902" s="326">
        <f>GETPIVOTDATA("Répondant",Croisements!$H$559,"Question 25",1,"L'âge regrouper",2)+GETPIVOTDATA("Répondant",Croisements!$H$559,"Question 25",2,"L'âge regrouper",2)</f>
        <v>2</v>
      </c>
      <c r="D902" s="326">
        <f>GETPIVOTDATA("Répondant",Croisements!$H$559,"Question 25",1,"L'âge regrouper",3)+GETPIVOTDATA("Répondant",Croisements!$H$559,"Question 25",2,"L'âge regrouper",3)</f>
        <v>1</v>
      </c>
      <c r="E902" s="70">
        <f>B902+C902+D902</f>
        <v>8</v>
      </c>
      <c r="G902" s="65">
        <f>E902*B904/E904</f>
        <v>4.8</v>
      </c>
      <c r="H902" s="65">
        <f>E902*C904/E904</f>
        <v>2.1333333333333333</v>
      </c>
      <c r="I902" s="65">
        <f>E902*D904/E904</f>
        <v>1.0666666666666667</v>
      </c>
      <c r="K902" s="65">
        <f>POWER(B902-G902,2)/G902</f>
        <v>8.3333333333333488E-3</v>
      </c>
      <c r="L902" s="65">
        <f t="shared" ref="L902:L903" si="190">POWER(C902-H902,2)/H902</f>
        <v>8.3333333333333297E-3</v>
      </c>
      <c r="M902" s="65">
        <f t="shared" ref="M902:M903" si="191">POWER(D902-I902,2)/I902</f>
        <v>4.1666666666666649E-3</v>
      </c>
      <c r="O902" s="66">
        <f>SUM(K902:M903)</f>
        <v>4.4642857142857158E-2</v>
      </c>
      <c r="Q902" s="66">
        <f>CHIDIST(O902,1)</f>
        <v>0.83266210635053239</v>
      </c>
      <c r="R902" s="93" t="str">
        <f>IF(Q902&lt;0.05,ROUND(Q902,2),IF(Q902&gt;0.051,CONCATENATE(ROUND(Q902,2),"*")))</f>
        <v>0.83*</v>
      </c>
    </row>
    <row r="903" spans="1:18">
      <c r="A903" s="32" t="s">
        <v>76</v>
      </c>
      <c r="B903" s="70">
        <f>GETPIVOTDATA("Répondant",Croisements!$H$559,"Question 25",3,"L'âge regrouper",1)+GETPIVOTDATA("Répondant",Croisements!$H$559,"Question 25",4,"L'âge regrouper",1)</f>
        <v>4</v>
      </c>
      <c r="C903" s="326">
        <f>GETPIVOTDATA("Répondant",Croisements!$H$559,"Question 25",3,"L'âge regrouper",2)+GETPIVOTDATA("Répondant",Croisements!$H$559,"Question 25",4,"L'âge regrouper",2)</f>
        <v>2</v>
      </c>
      <c r="D903" s="326">
        <f>GETPIVOTDATA("Répondant",Croisements!$H$559,"Question 25",3,"L'âge regrouper",3)+GETPIVOTDATA("Répondant",Croisements!$H$559,"Question 25",4,"L'âge regrouper",3)</f>
        <v>1</v>
      </c>
      <c r="E903" s="70">
        <f t="shared" ref="E903" si="192">B903+C903+D903</f>
        <v>7</v>
      </c>
      <c r="G903" s="65">
        <f>E903*B904/E904</f>
        <v>4.2</v>
      </c>
      <c r="H903" s="65">
        <f>E903*C904/E904</f>
        <v>1.8666666666666667</v>
      </c>
      <c r="I903" s="65">
        <f>E903*D904/E904</f>
        <v>0.93333333333333335</v>
      </c>
      <c r="K903" s="65">
        <f>POWER(B903-G903,2)/G903</f>
        <v>9.5238095238095403E-3</v>
      </c>
      <c r="L903" s="65">
        <f t="shared" si="190"/>
        <v>9.5238095238095195E-3</v>
      </c>
      <c r="M903" s="65">
        <f t="shared" si="191"/>
        <v>4.7619047619047597E-3</v>
      </c>
    </row>
    <row r="904" spans="1:18">
      <c r="A904" s="46" t="s">
        <v>345</v>
      </c>
      <c r="B904" s="70">
        <f>B902+B903</f>
        <v>9</v>
      </c>
      <c r="C904" s="70">
        <f>C902+C903</f>
        <v>4</v>
      </c>
      <c r="D904" s="70">
        <f>D902+D903</f>
        <v>2</v>
      </c>
      <c r="E904" s="70">
        <f>B902+B903+C902+C903+D903+D902</f>
        <v>15</v>
      </c>
    </row>
    <row r="906" spans="1:18">
      <c r="A906" s="590" t="s">
        <v>512</v>
      </c>
      <c r="B906" s="590"/>
      <c r="C906" s="590"/>
      <c r="D906" s="590"/>
      <c r="E906" s="590"/>
      <c r="F906" s="590"/>
      <c r="G906" s="590"/>
      <c r="H906" s="590"/>
      <c r="I906" s="590"/>
      <c r="J906" s="590"/>
      <c r="K906" s="590"/>
      <c r="L906" s="590"/>
      <c r="M906" s="590"/>
      <c r="N906" s="590"/>
      <c r="O906" s="590"/>
      <c r="P906" s="590"/>
    </row>
    <row r="907" spans="1:18">
      <c r="A907" s="633" t="s">
        <v>637</v>
      </c>
      <c r="B907" s="633"/>
      <c r="C907" s="633"/>
      <c r="D907" s="633"/>
      <c r="E907" s="633"/>
      <c r="F907" s="668"/>
      <c r="G907" s="668"/>
    </row>
    <row r="908" spans="1:18">
      <c r="A908" s="669"/>
      <c r="B908" s="81" t="s">
        <v>86</v>
      </c>
      <c r="C908" s="81" t="s">
        <v>87</v>
      </c>
      <c r="D908" s="81" t="s">
        <v>90</v>
      </c>
      <c r="E908" s="57" t="s">
        <v>345</v>
      </c>
      <c r="F908" s="52"/>
      <c r="G908" s="84" t="s">
        <v>86</v>
      </c>
      <c r="H908" s="84" t="s">
        <v>87</v>
      </c>
      <c r="I908" s="84" t="s">
        <v>90</v>
      </c>
      <c r="K908" s="84" t="s">
        <v>86</v>
      </c>
      <c r="L908" s="84" t="s">
        <v>87</v>
      </c>
      <c r="M908" s="84" t="s">
        <v>90</v>
      </c>
    </row>
    <row r="909" spans="1:18">
      <c r="A909" s="665"/>
      <c r="B909" s="70" t="s">
        <v>103</v>
      </c>
      <c r="C909" s="74" t="s">
        <v>103</v>
      </c>
      <c r="D909" s="74" t="s">
        <v>103</v>
      </c>
      <c r="E909" s="70"/>
      <c r="G909" s="70" t="s">
        <v>103</v>
      </c>
      <c r="H909" s="70" t="s">
        <v>103</v>
      </c>
      <c r="I909" s="70" t="s">
        <v>103</v>
      </c>
      <c r="K909" s="70" t="s">
        <v>103</v>
      </c>
      <c r="L909" s="70" t="s">
        <v>103</v>
      </c>
      <c r="M909" s="70" t="s">
        <v>103</v>
      </c>
    </row>
    <row r="910" spans="1:18">
      <c r="A910" s="32" t="s">
        <v>35</v>
      </c>
      <c r="B910" s="70">
        <f>GETPIVOTDATA("Répondant",Croisements!$H$571,"Question 26",1,"L'âge regrouper",1)</f>
        <v>6</v>
      </c>
      <c r="C910" s="326">
        <f>GETPIVOTDATA("Répondant",Croisements!$H$571,"Question 26",1,"L'âge regrouper",2)</f>
        <v>0</v>
      </c>
      <c r="D910" s="326">
        <f>GETPIVOTDATA("Répondant",Croisements!$H$571,"Question 26",1,"L'âge regrouper",3)</f>
        <v>2</v>
      </c>
      <c r="E910" s="70">
        <f>B910+C910+D910</f>
        <v>8</v>
      </c>
      <c r="G910" s="65">
        <f>E910*B912/E912</f>
        <v>4.8</v>
      </c>
      <c r="H910" s="65">
        <f>E910*C912/E912</f>
        <v>2.1333333333333333</v>
      </c>
      <c r="I910" s="65">
        <f>E910*D912/E912</f>
        <v>1.0666666666666667</v>
      </c>
      <c r="K910" s="65">
        <f>POWER(B910-G910,2)/G910</f>
        <v>0.3000000000000001</v>
      </c>
      <c r="L910" s="65">
        <f t="shared" ref="L910:L911" si="193">POWER(C910-H910,2)/H910</f>
        <v>2.1333333333333333</v>
      </c>
      <c r="M910" s="65">
        <f t="shared" ref="M910:M911" si="194">POWER(D910-I910,2)/I910</f>
        <v>0.81666666666666676</v>
      </c>
      <c r="O910" s="66">
        <f>SUM(K910:M911)</f>
        <v>6.9642857142857153</v>
      </c>
      <c r="Q910" s="66">
        <f>CHIDIST(O910,1)</f>
        <v>8.3152620703531351E-3</v>
      </c>
      <c r="R910" s="93">
        <f>IF(Q910&lt;0.05,ROUND(Q910,2),IF(Q910&gt;0.051,CONCATENATE(ROUND(Q910,2),"*")))</f>
        <v>0.01</v>
      </c>
    </row>
    <row r="911" spans="1:18">
      <c r="A911" s="32" t="s">
        <v>36</v>
      </c>
      <c r="B911" s="70">
        <f>GETPIVOTDATA("Répondant",Croisements!$H$571,"Question 26",2,"L'âge regrouper",1)</f>
        <v>3</v>
      </c>
      <c r="C911" s="326">
        <f>GETPIVOTDATA("Répondant",Croisements!$H$571,"Question 26",2,"L'âge regrouper",2)</f>
        <v>4</v>
      </c>
      <c r="D911" s="326">
        <f>GETPIVOTDATA("Répondant",Croisements!$H$571,"Question 26",2,"L'âge regrouper",3)</f>
        <v>0</v>
      </c>
      <c r="E911" s="70">
        <f t="shared" ref="E911" si="195">B911+C911+D911</f>
        <v>7</v>
      </c>
      <c r="G911" s="65">
        <f>E911*B912/E912</f>
        <v>4.2</v>
      </c>
      <c r="H911" s="65">
        <f>E911*C912/E912</f>
        <v>1.8666666666666667</v>
      </c>
      <c r="I911" s="65">
        <f>E911*D912/E912</f>
        <v>0.93333333333333335</v>
      </c>
      <c r="K911" s="65">
        <f>POWER(B911-G911,2)/G911</f>
        <v>0.34285714285714292</v>
      </c>
      <c r="L911" s="65">
        <f t="shared" si="193"/>
        <v>2.4380952380952379</v>
      </c>
      <c r="M911" s="65">
        <f t="shared" si="194"/>
        <v>0.93333333333333335</v>
      </c>
    </row>
    <row r="912" spans="1:18">
      <c r="A912" s="46" t="s">
        <v>345</v>
      </c>
      <c r="B912" s="70">
        <f>B910+B911</f>
        <v>9</v>
      </c>
      <c r="C912" s="70">
        <f>C910+C911</f>
        <v>4</v>
      </c>
      <c r="D912" s="70">
        <f>D910+D911</f>
        <v>2</v>
      </c>
      <c r="E912" s="70">
        <f>B910+B911+C910+C911+D911+D910</f>
        <v>15</v>
      </c>
    </row>
    <row r="914" spans="1:18">
      <c r="A914" s="590" t="s">
        <v>519</v>
      </c>
      <c r="B914" s="590"/>
      <c r="C914" s="590"/>
      <c r="D914" s="590"/>
      <c r="E914" s="590"/>
      <c r="F914" s="590"/>
      <c r="G914" s="590"/>
    </row>
    <row r="915" spans="1:18">
      <c r="A915" s="633" t="s">
        <v>637</v>
      </c>
      <c r="B915" s="633"/>
      <c r="C915" s="633"/>
      <c r="D915" s="633"/>
      <c r="E915" s="633"/>
      <c r="F915" s="668"/>
      <c r="G915" s="668"/>
    </row>
    <row r="916" spans="1:18">
      <c r="A916" s="669"/>
      <c r="B916" s="81" t="s">
        <v>86</v>
      </c>
      <c r="C916" s="81" t="s">
        <v>87</v>
      </c>
      <c r="D916" s="81" t="s">
        <v>90</v>
      </c>
      <c r="E916" s="57" t="s">
        <v>345</v>
      </c>
      <c r="F916" s="52"/>
      <c r="G916" s="84" t="s">
        <v>86</v>
      </c>
      <c r="H916" s="84" t="s">
        <v>87</v>
      </c>
      <c r="I916" s="84" t="s">
        <v>90</v>
      </c>
      <c r="K916" s="84" t="s">
        <v>86</v>
      </c>
      <c r="L916" s="84" t="s">
        <v>87</v>
      </c>
      <c r="M916" s="84" t="s">
        <v>90</v>
      </c>
    </row>
    <row r="917" spans="1:18">
      <c r="A917" s="665"/>
      <c r="B917" s="70" t="s">
        <v>103</v>
      </c>
      <c r="C917" s="74" t="s">
        <v>103</v>
      </c>
      <c r="D917" s="74" t="s">
        <v>103</v>
      </c>
      <c r="E917" s="70"/>
      <c r="G917" s="70" t="s">
        <v>103</v>
      </c>
      <c r="H917" s="70" t="s">
        <v>103</v>
      </c>
      <c r="I917" s="70" t="s">
        <v>103</v>
      </c>
      <c r="K917" s="70" t="s">
        <v>103</v>
      </c>
      <c r="L917" s="70" t="s">
        <v>103</v>
      </c>
      <c r="M917" s="70" t="s">
        <v>103</v>
      </c>
    </row>
    <row r="918" spans="1:18">
      <c r="A918" s="32" t="s">
        <v>254</v>
      </c>
      <c r="B918" s="70">
        <f>GETPIVOTDATA("Répondant",Croisements!$H$582,"Question 27",1,"L'âge regrouper",1)</f>
        <v>2</v>
      </c>
      <c r="C918" s="326">
        <f>GETPIVOTDATA("Répondant",Croisements!$H$582,"Question 27",1,"L'âge regrouper",2)</f>
        <v>1</v>
      </c>
      <c r="D918" s="326">
        <f>GETPIVOTDATA("Répondant",Croisements!$H$582,"Question 27",1,"L'âge regrouper",3)</f>
        <v>0</v>
      </c>
      <c r="E918" s="70">
        <f>B918+C918+D918</f>
        <v>3</v>
      </c>
      <c r="G918" s="65">
        <f>E918*$B$923/$E$923</f>
        <v>1.7142857142857142</v>
      </c>
      <c r="H918" s="65">
        <f>E918*$C$923/$E$923</f>
        <v>0.8571428571428571</v>
      </c>
      <c r="I918" s="65">
        <f>E918*$D$923/$E$923</f>
        <v>0.42857142857142855</v>
      </c>
      <c r="K918" s="65">
        <f>POWER(B918-G918,2)/G918</f>
        <v>4.7619047619047651E-2</v>
      </c>
      <c r="L918" s="65">
        <f t="shared" ref="L918:L922" si="196">POWER(C918-H918,2)/H918</f>
        <v>2.3809523809523826E-2</v>
      </c>
      <c r="M918" s="65">
        <f t="shared" ref="M918:M922" si="197">POWER(D918-I918,2)/I918</f>
        <v>0.42857142857142855</v>
      </c>
      <c r="O918" s="66">
        <f>SUM(K918:M922)</f>
        <v>5.25</v>
      </c>
      <c r="Q918" s="66">
        <f>CHIDIST(O918,1)</f>
        <v>2.1946771003246861E-2</v>
      </c>
      <c r="R918" s="93">
        <f>IF(Q918&lt;0.05,ROUND(Q918,2),IF(Q918&gt;0.051,CONCATENATE(ROUND(Q918,2),"*")))</f>
        <v>0.02</v>
      </c>
    </row>
    <row r="919" spans="1:18">
      <c r="A919" s="32" t="s">
        <v>255</v>
      </c>
      <c r="B919" s="70">
        <f>GETPIVOTDATA("Répondant",Croisements!$H$582,"Question 27",2,"L'âge regrouper",1)</f>
        <v>2</v>
      </c>
      <c r="C919" s="326">
        <f>GETPIVOTDATA("Répondant",Croisements!$H$582,"Question 27",2,"L'âge regrouper",2)</f>
        <v>1</v>
      </c>
      <c r="D919" s="326">
        <f>GETPIVOTDATA("Répondant",Croisements!$H$582,"Question 27",2,"L'âge regrouper",3)</f>
        <v>1</v>
      </c>
      <c r="E919" s="70">
        <f t="shared" ref="E919:E922" si="198">B919+C919+D919</f>
        <v>4</v>
      </c>
      <c r="G919" s="65">
        <f t="shared" ref="G919:G922" si="199">E919*$B$923/$E$923</f>
        <v>2.2857142857142856</v>
      </c>
      <c r="H919" s="65">
        <f t="shared" ref="H919:H922" si="200">E919*$C$923/$E$923</f>
        <v>1.1428571428571428</v>
      </c>
      <c r="I919" s="65">
        <f t="shared" ref="I919:I922" si="201">E919*$D$923/$E$923</f>
        <v>0.5714285714285714</v>
      </c>
      <c r="K919" s="65">
        <f>POWER(B919-G919,2)/G919</f>
        <v>3.5714285714285685E-2</v>
      </c>
      <c r="L919" s="65">
        <f t="shared" si="196"/>
        <v>1.7857142857142842E-2</v>
      </c>
      <c r="M919" s="65">
        <f t="shared" si="197"/>
        <v>0.32142857142857151</v>
      </c>
    </row>
    <row r="920" spans="1:18">
      <c r="A920" s="50" t="s">
        <v>256</v>
      </c>
      <c r="B920" s="326">
        <f>GETPIVOTDATA("Répondant",Croisements!$H$582,"Question 27",3,"L'âge regrouper",1)</f>
        <v>2</v>
      </c>
      <c r="C920" s="326">
        <f>GETPIVOTDATA("Répondant",Croisements!$H$582,"Question 27",3,"L'âge regrouper",2)</f>
        <v>1</v>
      </c>
      <c r="D920" s="326">
        <f>GETPIVOTDATA("Répondant",Croisements!$H$582,"Question 27",3,"L'âge regrouper",3)</f>
        <v>1</v>
      </c>
      <c r="E920" s="70">
        <f t="shared" si="198"/>
        <v>4</v>
      </c>
      <c r="G920" s="65">
        <f t="shared" si="199"/>
        <v>2.2857142857142856</v>
      </c>
      <c r="H920" s="65">
        <f t="shared" si="200"/>
        <v>1.1428571428571428</v>
      </c>
      <c r="I920" s="65">
        <f t="shared" si="201"/>
        <v>0.5714285714285714</v>
      </c>
      <c r="K920" s="65">
        <f t="shared" ref="K920:K921" si="202">POWER(B920-G920,2)/G920</f>
        <v>3.5714285714285685E-2</v>
      </c>
      <c r="L920" s="65">
        <f t="shared" si="196"/>
        <v>1.7857142857142842E-2</v>
      </c>
      <c r="M920" s="65">
        <f t="shared" si="197"/>
        <v>0.32142857142857151</v>
      </c>
    </row>
    <row r="921" spans="1:18">
      <c r="A921" s="50" t="s">
        <v>257</v>
      </c>
      <c r="B921" s="326">
        <f>GETPIVOTDATA("Répondant",Croisements!$H$582,"Question 27",4,"L'âge regrouper",1)</f>
        <v>0</v>
      </c>
      <c r="C921" s="326">
        <f>GETPIVOTDATA("Répondant",Croisements!$H$582,"Question 27",4,"L'âge regrouper",2)</f>
        <v>1</v>
      </c>
      <c r="D921" s="326">
        <f>GETPIVOTDATA("Répondant",Croisements!$H$582,"Question 27",4,"L'âge regrouper",3)</f>
        <v>0</v>
      </c>
      <c r="E921" s="70">
        <f t="shared" si="198"/>
        <v>1</v>
      </c>
      <c r="G921" s="65">
        <f t="shared" si="199"/>
        <v>0.5714285714285714</v>
      </c>
      <c r="H921" s="65">
        <f t="shared" si="200"/>
        <v>0.2857142857142857</v>
      </c>
      <c r="I921" s="65">
        <f t="shared" si="201"/>
        <v>0.14285714285714285</v>
      </c>
      <c r="K921" s="65">
        <f t="shared" si="202"/>
        <v>0.5714285714285714</v>
      </c>
      <c r="L921" s="65">
        <f t="shared" si="196"/>
        <v>1.7857142857142858</v>
      </c>
      <c r="M921" s="65">
        <f t="shared" si="197"/>
        <v>0.14285714285714285</v>
      </c>
    </row>
    <row r="922" spans="1:18">
      <c r="A922" s="50" t="s">
        <v>258</v>
      </c>
      <c r="B922" s="326">
        <f>GETPIVOTDATA("Répondant",Croisements!$H$582,"Question 27",5,"L'âge regrouper",1)</f>
        <v>2</v>
      </c>
      <c r="C922" s="326">
        <f>GETPIVOTDATA("Répondant",Croisements!$H$582,"Question 27",5,"L'âge regrouper",2)</f>
        <v>0</v>
      </c>
      <c r="D922" s="326">
        <f>GETPIVOTDATA("Répondant",Croisements!$H$582,"Question 27",5,"L'âge regrouper",3)</f>
        <v>0</v>
      </c>
      <c r="E922" s="70">
        <f t="shared" si="198"/>
        <v>2</v>
      </c>
      <c r="G922" s="65">
        <f t="shared" si="199"/>
        <v>1.1428571428571428</v>
      </c>
      <c r="H922" s="65">
        <f t="shared" si="200"/>
        <v>0.5714285714285714</v>
      </c>
      <c r="I922" s="65">
        <f t="shared" si="201"/>
        <v>0.2857142857142857</v>
      </c>
      <c r="K922" s="65">
        <f>POWER(B922-G922,2)/G922</f>
        <v>0.64285714285714302</v>
      </c>
      <c r="L922" s="65">
        <f t="shared" si="196"/>
        <v>0.5714285714285714</v>
      </c>
      <c r="M922" s="65">
        <f t="shared" si="197"/>
        <v>0.2857142857142857</v>
      </c>
    </row>
    <row r="923" spans="1:18">
      <c r="A923" s="46" t="s">
        <v>345</v>
      </c>
      <c r="B923" s="70">
        <f>SUM(B918:B922)</f>
        <v>8</v>
      </c>
      <c r="C923" s="70">
        <f>SUM(C918:C922)</f>
        <v>4</v>
      </c>
      <c r="D923" s="70">
        <f t="shared" ref="D923" si="203">SUM(D918:D922)</f>
        <v>2</v>
      </c>
      <c r="E923" s="57">
        <f>SUM(B918:D922)</f>
        <v>14</v>
      </c>
    </row>
  </sheetData>
  <mergeCells count="330">
    <mergeCell ref="A444:E444"/>
    <mergeCell ref="A445:A446"/>
    <mergeCell ref="A443:N443"/>
    <mergeCell ref="A436:E436"/>
    <mergeCell ref="A437:A438"/>
    <mergeCell ref="A158:F158"/>
    <mergeCell ref="A453:A454"/>
    <mergeCell ref="A435:M435"/>
    <mergeCell ref="A428:E428"/>
    <mergeCell ref="A429:A430"/>
    <mergeCell ref="A427:J427"/>
    <mergeCell ref="A420:E420"/>
    <mergeCell ref="A421:A422"/>
    <mergeCell ref="A419:J419"/>
    <mergeCell ref="A412:E412"/>
    <mergeCell ref="A413:A414"/>
    <mergeCell ref="A411:I411"/>
    <mergeCell ref="A379:I379"/>
    <mergeCell ref="A404:E404"/>
    <mergeCell ref="A405:A406"/>
    <mergeCell ref="A403:E403"/>
    <mergeCell ref="A396:E396"/>
    <mergeCell ref="A397:A398"/>
    <mergeCell ref="A387:E387"/>
    <mergeCell ref="A388:E388"/>
    <mergeCell ref="A389:A390"/>
    <mergeCell ref="A395:E395"/>
    <mergeCell ref="A380:E380"/>
    <mergeCell ref="A381:A382"/>
    <mergeCell ref="A354:E354"/>
    <mergeCell ref="A355:A356"/>
    <mergeCell ref="A346:E346"/>
    <mergeCell ref="A347:A348"/>
    <mergeCell ref="A345:M345"/>
    <mergeCell ref="A353:G353"/>
    <mergeCell ref="A372:E372"/>
    <mergeCell ref="A373:A374"/>
    <mergeCell ref="A371:M371"/>
    <mergeCell ref="A362:E362"/>
    <mergeCell ref="A363:A364"/>
    <mergeCell ref="A361:L361"/>
    <mergeCell ref="A338:E338"/>
    <mergeCell ref="A339:A340"/>
    <mergeCell ref="A337:L337"/>
    <mergeCell ref="A330:E330"/>
    <mergeCell ref="A331:A332"/>
    <mergeCell ref="A329:L329"/>
    <mergeCell ref="A305:E305"/>
    <mergeCell ref="A306:A307"/>
    <mergeCell ref="A304:I304"/>
    <mergeCell ref="A297:E297"/>
    <mergeCell ref="A298:A299"/>
    <mergeCell ref="A296:G296"/>
    <mergeCell ref="A322:E322"/>
    <mergeCell ref="A323:A324"/>
    <mergeCell ref="A289:E289"/>
    <mergeCell ref="A290:A291"/>
    <mergeCell ref="A288:G288"/>
    <mergeCell ref="A321:I321"/>
    <mergeCell ref="A312:I312"/>
    <mergeCell ref="A313:E313"/>
    <mergeCell ref="A314:A315"/>
    <mergeCell ref="A281:E281"/>
    <mergeCell ref="A282:A283"/>
    <mergeCell ref="A280:I280"/>
    <mergeCell ref="A273:E273"/>
    <mergeCell ref="A274:A275"/>
    <mergeCell ref="A272:G272"/>
    <mergeCell ref="A265:E265"/>
    <mergeCell ref="A266:A267"/>
    <mergeCell ref="A264:F264"/>
    <mergeCell ref="A256:E256"/>
    <mergeCell ref="A257:E257"/>
    <mergeCell ref="A258:A259"/>
    <mergeCell ref="A249:E249"/>
    <mergeCell ref="A250:A251"/>
    <mergeCell ref="A248:G248"/>
    <mergeCell ref="A240:E240"/>
    <mergeCell ref="A241:E241"/>
    <mergeCell ref="A242:A243"/>
    <mergeCell ref="A233:E233"/>
    <mergeCell ref="A234:A235"/>
    <mergeCell ref="A232:J232"/>
    <mergeCell ref="A225:E225"/>
    <mergeCell ref="A226:A227"/>
    <mergeCell ref="A224:G224"/>
    <mergeCell ref="A217:E217"/>
    <mergeCell ref="A218:A219"/>
    <mergeCell ref="A216:I216"/>
    <mergeCell ref="A209:E209"/>
    <mergeCell ref="A210:A211"/>
    <mergeCell ref="A208:J208"/>
    <mergeCell ref="A201:E201"/>
    <mergeCell ref="A202:A203"/>
    <mergeCell ref="A200:I200"/>
    <mergeCell ref="A193:E193"/>
    <mergeCell ref="A194:A195"/>
    <mergeCell ref="A192:M192"/>
    <mergeCell ref="A185:E185"/>
    <mergeCell ref="A186:A187"/>
    <mergeCell ref="A94:L94"/>
    <mergeCell ref="A102:I102"/>
    <mergeCell ref="A126:I126"/>
    <mergeCell ref="A166:H166"/>
    <mergeCell ref="A175:F175"/>
    <mergeCell ref="A176:E176"/>
    <mergeCell ref="A177:E177"/>
    <mergeCell ref="A178:A179"/>
    <mergeCell ref="A167:E167"/>
    <mergeCell ref="A168:E168"/>
    <mergeCell ref="A169:A170"/>
    <mergeCell ref="A159:E159"/>
    <mergeCell ref="A160:A161"/>
    <mergeCell ref="A150:E150"/>
    <mergeCell ref="A151:E151"/>
    <mergeCell ref="A152:A153"/>
    <mergeCell ref="A143:E143"/>
    <mergeCell ref="A144:A145"/>
    <mergeCell ref="A135:E135"/>
    <mergeCell ref="A136:A137"/>
    <mergeCell ref="A127:E127"/>
    <mergeCell ref="A128:A129"/>
    <mergeCell ref="A119:E119"/>
    <mergeCell ref="A120:A121"/>
    <mergeCell ref="A111:E111"/>
    <mergeCell ref="A112:A113"/>
    <mergeCell ref="A118:G118"/>
    <mergeCell ref="A134:F134"/>
    <mergeCell ref="A64:A65"/>
    <mergeCell ref="A55:E55"/>
    <mergeCell ref="A56:A57"/>
    <mergeCell ref="A62:R62"/>
    <mergeCell ref="A110:H110"/>
    <mergeCell ref="A103:E103"/>
    <mergeCell ref="A104:A105"/>
    <mergeCell ref="A95:E95"/>
    <mergeCell ref="A96:A97"/>
    <mergeCell ref="A87:E87"/>
    <mergeCell ref="A88:A89"/>
    <mergeCell ref="A86:I86"/>
    <mergeCell ref="A79:E79"/>
    <mergeCell ref="A80:A81"/>
    <mergeCell ref="A22:E22"/>
    <mergeCell ref="A23:A24"/>
    <mergeCell ref="A2:E2"/>
    <mergeCell ref="A3:E3"/>
    <mergeCell ref="A4:A5"/>
    <mergeCell ref="A21:E21"/>
    <mergeCell ref="A464:G464"/>
    <mergeCell ref="A465:G465"/>
    <mergeCell ref="A466:A467"/>
    <mergeCell ref="A38:N38"/>
    <mergeCell ref="A29:G29"/>
    <mergeCell ref="A54:Q54"/>
    <mergeCell ref="A47:E47"/>
    <mergeCell ref="A48:A49"/>
    <mergeCell ref="A39:E39"/>
    <mergeCell ref="A40:A41"/>
    <mergeCell ref="A46:Q46"/>
    <mergeCell ref="A30:E30"/>
    <mergeCell ref="A31:A32"/>
    <mergeCell ref="A78:L78"/>
    <mergeCell ref="A71:E71"/>
    <mergeCell ref="A72:A73"/>
    <mergeCell ref="A70:M70"/>
    <mergeCell ref="A63:E63"/>
    <mergeCell ref="A508:M508"/>
    <mergeCell ref="A493:A494"/>
    <mergeCell ref="A501:G501"/>
    <mergeCell ref="A502:A503"/>
    <mergeCell ref="A500:L500"/>
    <mergeCell ref="A483:G483"/>
    <mergeCell ref="A484:G484"/>
    <mergeCell ref="A485:A486"/>
    <mergeCell ref="A491:G491"/>
    <mergeCell ref="A492:G492"/>
    <mergeCell ref="A525:G525"/>
    <mergeCell ref="A526:A527"/>
    <mergeCell ref="A532:J532"/>
    <mergeCell ref="A517:G517"/>
    <mergeCell ref="A518:A519"/>
    <mergeCell ref="A524:N524"/>
    <mergeCell ref="A509:G509"/>
    <mergeCell ref="A510:A511"/>
    <mergeCell ref="A516:N516"/>
    <mergeCell ref="A561:A562"/>
    <mergeCell ref="A567:G567"/>
    <mergeCell ref="A568:G568"/>
    <mergeCell ref="A569:A570"/>
    <mergeCell ref="A551:G551"/>
    <mergeCell ref="A552:G552"/>
    <mergeCell ref="A553:A554"/>
    <mergeCell ref="A559:I559"/>
    <mergeCell ref="A533:G533"/>
    <mergeCell ref="A534:A535"/>
    <mergeCell ref="A541:G541"/>
    <mergeCell ref="A542:A543"/>
    <mergeCell ref="A540:H540"/>
    <mergeCell ref="A584:G584"/>
    <mergeCell ref="A585:A586"/>
    <mergeCell ref="A591:G591"/>
    <mergeCell ref="A592:G592"/>
    <mergeCell ref="A593:A594"/>
    <mergeCell ref="A575:G575"/>
    <mergeCell ref="A576:G576"/>
    <mergeCell ref="A577:A578"/>
    <mergeCell ref="A583:G583"/>
    <mergeCell ref="A608:G608"/>
    <mergeCell ref="A609:A610"/>
    <mergeCell ref="A615:G615"/>
    <mergeCell ref="A616:G616"/>
    <mergeCell ref="A617:A618"/>
    <mergeCell ref="A599:G599"/>
    <mergeCell ref="A600:G600"/>
    <mergeCell ref="A601:A602"/>
    <mergeCell ref="A607:G607"/>
    <mergeCell ref="A632:G632"/>
    <mergeCell ref="A633:A634"/>
    <mergeCell ref="A639:G639"/>
    <mergeCell ref="A640:G640"/>
    <mergeCell ref="A641:A642"/>
    <mergeCell ref="A623:G623"/>
    <mergeCell ref="A624:G624"/>
    <mergeCell ref="A625:A626"/>
    <mergeCell ref="A631:G631"/>
    <mergeCell ref="A663:G663"/>
    <mergeCell ref="A664:G664"/>
    <mergeCell ref="A665:A666"/>
    <mergeCell ref="A671:I671"/>
    <mergeCell ref="A648:G648"/>
    <mergeCell ref="A649:A650"/>
    <mergeCell ref="A656:G656"/>
    <mergeCell ref="A657:A658"/>
    <mergeCell ref="A647:J647"/>
    <mergeCell ref="A687:G687"/>
    <mergeCell ref="A688:G688"/>
    <mergeCell ref="A689:A690"/>
    <mergeCell ref="A695:G695"/>
    <mergeCell ref="A672:G672"/>
    <mergeCell ref="A673:A674"/>
    <mergeCell ref="A679:G679"/>
    <mergeCell ref="A680:G680"/>
    <mergeCell ref="A681:A682"/>
    <mergeCell ref="A711:G711"/>
    <mergeCell ref="A712:G712"/>
    <mergeCell ref="A713:A714"/>
    <mergeCell ref="A719:G719"/>
    <mergeCell ref="A696:G696"/>
    <mergeCell ref="A697:A698"/>
    <mergeCell ref="A703:G703"/>
    <mergeCell ref="A704:G704"/>
    <mergeCell ref="A705:A706"/>
    <mergeCell ref="A735:G735"/>
    <mergeCell ref="A736:G736"/>
    <mergeCell ref="A737:A738"/>
    <mergeCell ref="A743:G743"/>
    <mergeCell ref="A720:G720"/>
    <mergeCell ref="A721:A722"/>
    <mergeCell ref="A727:G727"/>
    <mergeCell ref="A728:G728"/>
    <mergeCell ref="A729:A730"/>
    <mergeCell ref="A792:I792"/>
    <mergeCell ref="A768:G768"/>
    <mergeCell ref="A769:A770"/>
    <mergeCell ref="A786:A787"/>
    <mergeCell ref="A759:G759"/>
    <mergeCell ref="A760:G760"/>
    <mergeCell ref="A761:A762"/>
    <mergeCell ref="A767:G767"/>
    <mergeCell ref="A744:G744"/>
    <mergeCell ref="A745:A746"/>
    <mergeCell ref="A751:G751"/>
    <mergeCell ref="A752:G752"/>
    <mergeCell ref="A753:A754"/>
    <mergeCell ref="A784:F784"/>
    <mergeCell ref="A785:F785"/>
    <mergeCell ref="A776:G776"/>
    <mergeCell ref="A777:A778"/>
    <mergeCell ref="A775:H775"/>
    <mergeCell ref="A817:G817"/>
    <mergeCell ref="A818:A819"/>
    <mergeCell ref="A824:I824"/>
    <mergeCell ref="A808:G808"/>
    <mergeCell ref="A809:G809"/>
    <mergeCell ref="A810:A811"/>
    <mergeCell ref="A801:E801"/>
    <mergeCell ref="A802:A803"/>
    <mergeCell ref="A793:G793"/>
    <mergeCell ref="A794:A795"/>
    <mergeCell ref="A800:J800"/>
    <mergeCell ref="A892:A893"/>
    <mergeCell ref="A874:G874"/>
    <mergeCell ref="A875:G875"/>
    <mergeCell ref="A876:A877"/>
    <mergeCell ref="A866:G866"/>
    <mergeCell ref="A867:G867"/>
    <mergeCell ref="A868:A869"/>
    <mergeCell ref="A916:A917"/>
    <mergeCell ref="A915:G915"/>
    <mergeCell ref="A907:G907"/>
    <mergeCell ref="A908:A909"/>
    <mergeCell ref="A914:G914"/>
    <mergeCell ref="A899:G899"/>
    <mergeCell ref="A900:A901"/>
    <mergeCell ref="A906:P906"/>
    <mergeCell ref="A898:I898"/>
    <mergeCell ref="A473:G473"/>
    <mergeCell ref="A474:G474"/>
    <mergeCell ref="A475:A476"/>
    <mergeCell ref="A12:E12"/>
    <mergeCell ref="A13:A14"/>
    <mergeCell ref="A11:F11"/>
    <mergeCell ref="A883:G883"/>
    <mergeCell ref="A884:A885"/>
    <mergeCell ref="A891:G891"/>
    <mergeCell ref="A851:G851"/>
    <mergeCell ref="A852:A853"/>
    <mergeCell ref="A858:G858"/>
    <mergeCell ref="A859:G859"/>
    <mergeCell ref="A860:A861"/>
    <mergeCell ref="A842:G842"/>
    <mergeCell ref="A843:G843"/>
    <mergeCell ref="A844:A845"/>
    <mergeCell ref="A850:G850"/>
    <mergeCell ref="A825:G825"/>
    <mergeCell ref="A826:A827"/>
    <mergeCell ref="A835:G835"/>
    <mergeCell ref="A836:A837"/>
    <mergeCell ref="A834:I834"/>
    <mergeCell ref="A816:G816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 codeName="Feuil37" enableFormatConditionsCalculation="0">
    <tabColor indexed="8"/>
  </sheetPr>
  <dimension ref="A1:Y1058"/>
  <sheetViews>
    <sheetView topLeftCell="A369" workbookViewId="0">
      <selection activeCell="O12" sqref="O12"/>
    </sheetView>
  </sheetViews>
  <sheetFormatPr baseColWidth="10" defaultColWidth="7.140625" defaultRowHeight="12.75"/>
  <cols>
    <col min="1" max="1" width="21.7109375" style="30" customWidth="1"/>
    <col min="2" max="2" width="24" style="30" customWidth="1"/>
    <col min="3" max="3" width="2" style="30" customWidth="1"/>
    <col min="4" max="6" width="13.140625" style="30" customWidth="1"/>
    <col min="7" max="7" width="2" style="30" customWidth="1"/>
    <col min="8" max="8" width="21.7109375" style="30" customWidth="1"/>
    <col min="9" max="9" width="24" style="30" customWidth="1"/>
    <col min="10" max="11" width="2" style="30" customWidth="1"/>
    <col min="12" max="13" width="13.140625" style="30" customWidth="1"/>
    <col min="14" max="14" width="13.140625" style="30" bestFit="1" customWidth="1"/>
    <col min="15" max="16384" width="7.140625" style="30"/>
  </cols>
  <sheetData>
    <row r="1" spans="1:25">
      <c r="A1" s="23" t="s">
        <v>283</v>
      </c>
      <c r="B1"/>
      <c r="C1"/>
      <c r="H1" s="23" t="s">
        <v>333</v>
      </c>
      <c r="Q1" s="29"/>
    </row>
    <row r="2" spans="1:25">
      <c r="A2" s="23"/>
      <c r="B2"/>
      <c r="C2"/>
      <c r="H2" s="29"/>
      <c r="Q2" s="29"/>
    </row>
    <row r="3" spans="1:25">
      <c r="A3" s="39" t="s">
        <v>638</v>
      </c>
      <c r="B3"/>
      <c r="C3"/>
      <c r="H3" s="39" t="s">
        <v>640</v>
      </c>
    </row>
    <row r="4" spans="1:25">
      <c r="A4" s="37" t="s">
        <v>110</v>
      </c>
      <c r="B4" s="37" t="s">
        <v>282</v>
      </c>
      <c r="C4"/>
      <c r="D4"/>
      <c r="E4"/>
      <c r="F4"/>
      <c r="H4" s="37" t="s">
        <v>110</v>
      </c>
      <c r="I4" s="37" t="s">
        <v>282</v>
      </c>
      <c r="J4"/>
      <c r="K4"/>
      <c r="L4"/>
      <c r="M4"/>
      <c r="N4"/>
    </row>
    <row r="5" spans="1:25">
      <c r="A5" s="37" t="s">
        <v>281</v>
      </c>
      <c r="B5" t="s">
        <v>862</v>
      </c>
      <c r="C5">
        <v>1</v>
      </c>
      <c r="D5">
        <v>2</v>
      </c>
      <c r="E5" t="s">
        <v>161</v>
      </c>
      <c r="F5"/>
      <c r="H5" s="37" t="s">
        <v>281</v>
      </c>
      <c r="I5">
        <v>1</v>
      </c>
      <c r="J5">
        <v>2</v>
      </c>
      <c r="K5">
        <v>3</v>
      </c>
      <c r="L5" t="s">
        <v>161</v>
      </c>
      <c r="M5"/>
      <c r="N5"/>
    </row>
    <row r="6" spans="1:25">
      <c r="A6" s="38">
        <v>1</v>
      </c>
      <c r="B6" s="25">
        <v>1</v>
      </c>
      <c r="C6" s="25">
        <v>1</v>
      </c>
      <c r="D6" s="25">
        <v>2</v>
      </c>
      <c r="E6" s="25">
        <v>4</v>
      </c>
      <c r="F6"/>
      <c r="G6" s="31"/>
      <c r="H6" s="38">
        <v>1</v>
      </c>
      <c r="I6" s="25">
        <v>3</v>
      </c>
      <c r="J6" s="25"/>
      <c r="K6" s="25"/>
      <c r="L6" s="25">
        <v>3</v>
      </c>
      <c r="M6"/>
      <c r="N6"/>
      <c r="R6" s="31"/>
      <c r="S6" s="31"/>
      <c r="T6" s="31"/>
      <c r="U6" s="31"/>
      <c r="V6" s="31"/>
      <c r="W6" s="31"/>
      <c r="X6" s="31"/>
      <c r="Y6" s="31"/>
    </row>
    <row r="7" spans="1:25">
      <c r="A7" s="38">
        <v>2</v>
      </c>
      <c r="B7" s="25"/>
      <c r="C7" s="25">
        <v>5</v>
      </c>
      <c r="D7" s="25">
        <v>6</v>
      </c>
      <c r="E7" s="25">
        <v>11</v>
      </c>
      <c r="F7"/>
      <c r="G7" s="31"/>
      <c r="H7" s="38">
        <v>2</v>
      </c>
      <c r="I7" s="25">
        <v>9</v>
      </c>
      <c r="J7" s="25">
        <v>2</v>
      </c>
      <c r="K7" s="25"/>
      <c r="L7" s="25">
        <v>11</v>
      </c>
      <c r="M7"/>
      <c r="N7"/>
    </row>
    <row r="8" spans="1:25">
      <c r="A8" s="38">
        <v>3</v>
      </c>
      <c r="B8" s="25"/>
      <c r="C8" s="25">
        <v>1</v>
      </c>
      <c r="D8" s="25">
        <v>5</v>
      </c>
      <c r="E8" s="25">
        <v>6</v>
      </c>
      <c r="F8"/>
      <c r="G8" s="31"/>
      <c r="H8" s="38">
        <v>3</v>
      </c>
      <c r="I8" s="25">
        <v>1</v>
      </c>
      <c r="J8" s="25">
        <v>3</v>
      </c>
      <c r="K8" s="25">
        <v>2</v>
      </c>
      <c r="L8" s="25">
        <v>6</v>
      </c>
      <c r="M8"/>
      <c r="N8"/>
    </row>
    <row r="9" spans="1:25">
      <c r="A9" s="38" t="s">
        <v>161</v>
      </c>
      <c r="B9" s="25">
        <v>1</v>
      </c>
      <c r="C9" s="25">
        <v>7</v>
      </c>
      <c r="D9" s="25">
        <v>13</v>
      </c>
      <c r="E9" s="25">
        <v>21</v>
      </c>
      <c r="F9"/>
      <c r="G9" s="31"/>
      <c r="H9" s="38" t="s">
        <v>161</v>
      </c>
      <c r="I9" s="25">
        <v>13</v>
      </c>
      <c r="J9" s="25">
        <v>5</v>
      </c>
      <c r="K9" s="25">
        <v>2</v>
      </c>
      <c r="L9" s="25">
        <v>20</v>
      </c>
      <c r="M9"/>
      <c r="N9"/>
    </row>
    <row r="10" spans="1:25">
      <c r="A10"/>
      <c r="B10"/>
      <c r="C10"/>
      <c r="D10"/>
      <c r="E10"/>
      <c r="F10"/>
      <c r="H10"/>
      <c r="I10"/>
      <c r="J10"/>
      <c r="K10"/>
      <c r="L10"/>
      <c r="M10"/>
      <c r="N10"/>
    </row>
    <row r="11" spans="1:25">
      <c r="A11"/>
      <c r="B11"/>
      <c r="C11"/>
      <c r="D11"/>
      <c r="E11"/>
      <c r="F11"/>
      <c r="H11"/>
      <c r="I11"/>
      <c r="J11"/>
      <c r="K11"/>
      <c r="L11"/>
      <c r="M11"/>
      <c r="N11"/>
    </row>
    <row r="12" spans="1:25">
      <c r="A12" s="38"/>
      <c r="B12" s="25"/>
      <c r="C12" s="25"/>
      <c r="D12" s="25"/>
      <c r="E12"/>
      <c r="F12"/>
      <c r="H12"/>
      <c r="I12"/>
      <c r="J12"/>
      <c r="K12"/>
      <c r="L12"/>
      <c r="M12"/>
      <c r="N12"/>
    </row>
    <row r="13" spans="1:25">
      <c r="A13" s="51" t="s">
        <v>639</v>
      </c>
      <c r="B13" s="25"/>
      <c r="C13" s="25"/>
      <c r="D13" s="25"/>
      <c r="E13"/>
      <c r="F13"/>
      <c r="H13" s="39" t="s">
        <v>641</v>
      </c>
      <c r="I13"/>
      <c r="J13"/>
      <c r="K13"/>
      <c r="L13"/>
      <c r="M13"/>
      <c r="N13"/>
    </row>
    <row r="14" spans="1:25">
      <c r="A14" s="37" t="s">
        <v>110</v>
      </c>
      <c r="B14" s="37" t="s">
        <v>282</v>
      </c>
      <c r="C14"/>
      <c r="D14"/>
      <c r="E14"/>
      <c r="F14"/>
      <c r="G14"/>
      <c r="H14" s="37" t="s">
        <v>110</v>
      </c>
      <c r="I14" s="37" t="s">
        <v>282</v>
      </c>
      <c r="J14"/>
      <c r="K14"/>
      <c r="L14"/>
      <c r="M14"/>
      <c r="N14"/>
    </row>
    <row r="15" spans="1:25">
      <c r="A15" s="37" t="s">
        <v>281</v>
      </c>
      <c r="B15">
        <v>1</v>
      </c>
      <c r="C15">
        <v>2</v>
      </c>
      <c r="D15" t="s">
        <v>862</v>
      </c>
      <c r="E15" t="s">
        <v>161</v>
      </c>
      <c r="F15"/>
      <c r="G15"/>
      <c r="H15" s="37" t="s">
        <v>281</v>
      </c>
      <c r="I15">
        <v>1</v>
      </c>
      <c r="J15">
        <v>2</v>
      </c>
      <c r="K15">
        <v>3</v>
      </c>
      <c r="L15" t="s">
        <v>161</v>
      </c>
      <c r="M15"/>
      <c r="N15"/>
    </row>
    <row r="16" spans="1:25">
      <c r="A16" s="38">
        <v>1</v>
      </c>
      <c r="B16" s="25">
        <v>4</v>
      </c>
      <c r="C16" s="25">
        <v>4</v>
      </c>
      <c r="D16" s="25">
        <v>1</v>
      </c>
      <c r="E16" s="25">
        <v>9</v>
      </c>
      <c r="F16"/>
      <c r="G16"/>
      <c r="H16" s="38">
        <v>1</v>
      </c>
      <c r="I16" s="25">
        <v>5</v>
      </c>
      <c r="J16" s="25">
        <v>3</v>
      </c>
      <c r="K16" s="25"/>
      <c r="L16" s="25">
        <v>8</v>
      </c>
      <c r="M16"/>
      <c r="N16"/>
    </row>
    <row r="17" spans="1:23">
      <c r="A17" s="38">
        <v>2</v>
      </c>
      <c r="B17" s="25">
        <v>3</v>
      </c>
      <c r="C17" s="25">
        <v>4</v>
      </c>
      <c r="D17" s="25"/>
      <c r="E17" s="25">
        <v>7</v>
      </c>
      <c r="F17"/>
      <c r="H17" s="38">
        <v>2</v>
      </c>
      <c r="I17" s="25">
        <v>4</v>
      </c>
      <c r="J17" s="25">
        <v>1</v>
      </c>
      <c r="K17" s="25">
        <v>2</v>
      </c>
      <c r="L17" s="25">
        <v>7</v>
      </c>
      <c r="M17"/>
      <c r="N17"/>
    </row>
    <row r="18" spans="1:23">
      <c r="A18" s="38">
        <v>3</v>
      </c>
      <c r="B18" s="25"/>
      <c r="C18" s="25">
        <v>2</v>
      </c>
      <c r="D18" s="25"/>
      <c r="E18" s="25">
        <v>2</v>
      </c>
      <c r="F18"/>
      <c r="H18" s="38">
        <v>3</v>
      </c>
      <c r="I18" s="25">
        <v>2</v>
      </c>
      <c r="J18" s="25"/>
      <c r="K18" s="25"/>
      <c r="L18" s="25">
        <v>2</v>
      </c>
      <c r="M18"/>
      <c r="N18"/>
    </row>
    <row r="19" spans="1:23">
      <c r="A19" s="38">
        <v>4</v>
      </c>
      <c r="B19" s="25"/>
      <c r="C19" s="25">
        <v>2</v>
      </c>
      <c r="D19" s="25"/>
      <c r="E19" s="25">
        <v>2</v>
      </c>
      <c r="F19"/>
      <c r="H19" s="38">
        <v>4</v>
      </c>
      <c r="I19" s="25">
        <v>2</v>
      </c>
      <c r="J19" s="25"/>
      <c r="K19" s="25"/>
      <c r="L19" s="25">
        <v>2</v>
      </c>
      <c r="M19"/>
      <c r="N19"/>
    </row>
    <row r="20" spans="1:23">
      <c r="A20" s="38" t="s">
        <v>161</v>
      </c>
      <c r="B20" s="25">
        <v>7</v>
      </c>
      <c r="C20" s="25">
        <v>12</v>
      </c>
      <c r="D20" s="25">
        <v>1</v>
      </c>
      <c r="E20" s="25">
        <v>20</v>
      </c>
      <c r="F20"/>
      <c r="H20" s="38" t="s">
        <v>161</v>
      </c>
      <c r="I20" s="25">
        <v>13</v>
      </c>
      <c r="J20" s="25">
        <v>4</v>
      </c>
      <c r="K20" s="25">
        <v>2</v>
      </c>
      <c r="L20" s="25">
        <v>19</v>
      </c>
      <c r="M20"/>
      <c r="N20"/>
    </row>
    <row r="21" spans="1:23">
      <c r="A21"/>
      <c r="B21"/>
      <c r="C21"/>
      <c r="D21"/>
      <c r="E21"/>
      <c r="F21"/>
      <c r="H21"/>
      <c r="I21"/>
      <c r="J21"/>
      <c r="K21"/>
      <c r="L21"/>
      <c r="M21"/>
      <c r="N21"/>
    </row>
    <row r="22" spans="1:23">
      <c r="A22"/>
      <c r="B22"/>
      <c r="C22"/>
      <c r="D22"/>
      <c r="E22"/>
      <c r="F22"/>
      <c r="H22"/>
      <c r="I22"/>
      <c r="J22"/>
      <c r="K22"/>
      <c r="L22"/>
      <c r="M22"/>
      <c r="N22"/>
    </row>
    <row r="23" spans="1:23">
      <c r="A23"/>
      <c r="B23"/>
      <c r="C23"/>
      <c r="D23"/>
      <c r="E23"/>
      <c r="F23"/>
      <c r="H23"/>
      <c r="I23"/>
      <c r="J23"/>
      <c r="K23"/>
      <c r="L23"/>
      <c r="M23"/>
      <c r="N23"/>
    </row>
    <row r="24" spans="1:23">
      <c r="A24" s="39" t="s">
        <v>284</v>
      </c>
      <c r="B24"/>
      <c r="C24"/>
      <c r="D24"/>
      <c r="E24"/>
      <c r="F24"/>
      <c r="H24" s="39" t="s">
        <v>334</v>
      </c>
      <c r="I24"/>
      <c r="J24"/>
      <c r="K24"/>
      <c r="L24"/>
      <c r="M24"/>
      <c r="N24"/>
      <c r="R24" s="31"/>
      <c r="S24" s="31"/>
      <c r="T24" s="31"/>
      <c r="U24" s="31"/>
      <c r="V24" s="31"/>
      <c r="W24" s="31"/>
    </row>
    <row r="25" spans="1:23">
      <c r="A25" s="37" t="s">
        <v>110</v>
      </c>
      <c r="B25" s="37" t="s">
        <v>282</v>
      </c>
      <c r="C25"/>
      <c r="D25"/>
      <c r="E25"/>
      <c r="F25"/>
      <c r="G25"/>
      <c r="H25" s="37" t="s">
        <v>110</v>
      </c>
      <c r="I25" s="37" t="s">
        <v>282</v>
      </c>
      <c r="J25"/>
      <c r="K25"/>
      <c r="L25"/>
      <c r="M25"/>
      <c r="N25"/>
      <c r="R25" s="31"/>
      <c r="S25" s="31"/>
      <c r="T25" s="31"/>
      <c r="U25" s="31"/>
      <c r="V25" s="31"/>
      <c r="W25" s="31"/>
    </row>
    <row r="26" spans="1:23">
      <c r="A26" s="37" t="s">
        <v>281</v>
      </c>
      <c r="B26">
        <v>1</v>
      </c>
      <c r="C26">
        <v>2</v>
      </c>
      <c r="D26" t="s">
        <v>161</v>
      </c>
      <c r="E26"/>
      <c r="F26"/>
      <c r="G26"/>
      <c r="H26" s="37" t="s">
        <v>281</v>
      </c>
      <c r="I26">
        <v>1</v>
      </c>
      <c r="J26">
        <v>2</v>
      </c>
      <c r="K26">
        <v>3</v>
      </c>
      <c r="L26" t="s">
        <v>161</v>
      </c>
      <c r="M26"/>
      <c r="N26"/>
      <c r="R26" s="31"/>
      <c r="S26" s="31"/>
      <c r="T26" s="31"/>
      <c r="U26" s="31"/>
      <c r="V26" s="31"/>
      <c r="W26" s="31"/>
    </row>
    <row r="27" spans="1:23">
      <c r="A27" s="38">
        <v>1</v>
      </c>
      <c r="B27" s="25">
        <v>2</v>
      </c>
      <c r="C27" s="25">
        <v>3</v>
      </c>
      <c r="D27" s="25">
        <v>5</v>
      </c>
      <c r="E27"/>
      <c r="F27"/>
      <c r="G27"/>
      <c r="H27" s="38">
        <v>1</v>
      </c>
      <c r="I27" s="25">
        <v>5</v>
      </c>
      <c r="J27" s="25"/>
      <c r="K27" s="25"/>
      <c r="L27" s="25">
        <v>5</v>
      </c>
      <c r="M27"/>
      <c r="N27"/>
      <c r="R27" s="31"/>
      <c r="S27" s="31"/>
      <c r="T27" s="31"/>
      <c r="U27" s="31"/>
      <c r="V27" s="31"/>
      <c r="W27" s="31"/>
    </row>
    <row r="28" spans="1:23">
      <c r="A28" s="38">
        <v>2</v>
      </c>
      <c r="B28" s="25">
        <v>1</v>
      </c>
      <c r="C28" s="25">
        <v>5</v>
      </c>
      <c r="D28" s="25">
        <v>6</v>
      </c>
      <c r="E28"/>
      <c r="F28"/>
      <c r="G28" s="31"/>
      <c r="H28" s="38">
        <v>2</v>
      </c>
      <c r="I28" s="25">
        <v>2</v>
      </c>
      <c r="J28" s="25">
        <v>4</v>
      </c>
      <c r="K28" s="25"/>
      <c r="L28" s="25">
        <v>6</v>
      </c>
      <c r="M28"/>
      <c r="N28"/>
    </row>
    <row r="29" spans="1:23">
      <c r="A29" s="38">
        <v>3</v>
      </c>
      <c r="B29" s="25">
        <v>1</v>
      </c>
      <c r="C29" s="25">
        <v>4</v>
      </c>
      <c r="D29" s="25">
        <v>5</v>
      </c>
      <c r="E29"/>
      <c r="F29"/>
      <c r="G29" s="31"/>
      <c r="H29" s="38">
        <v>3</v>
      </c>
      <c r="I29" s="25">
        <v>2</v>
      </c>
      <c r="J29" s="25">
        <v>1</v>
      </c>
      <c r="K29" s="25">
        <v>2</v>
      </c>
      <c r="L29" s="25">
        <v>5</v>
      </c>
      <c r="M29"/>
      <c r="N29"/>
    </row>
    <row r="30" spans="1:23">
      <c r="A30" s="38">
        <v>4</v>
      </c>
      <c r="B30" s="25">
        <v>3</v>
      </c>
      <c r="C30" s="25">
        <v>1</v>
      </c>
      <c r="D30" s="25">
        <v>4</v>
      </c>
      <c r="E30"/>
      <c r="F30"/>
      <c r="G30" s="31"/>
      <c r="H30" s="38">
        <v>4</v>
      </c>
      <c r="I30" s="25">
        <v>4</v>
      </c>
      <c r="J30" s="25"/>
      <c r="K30" s="25"/>
      <c r="L30" s="25">
        <v>4</v>
      </c>
      <c r="M30"/>
      <c r="N30"/>
    </row>
    <row r="31" spans="1:23">
      <c r="A31" s="38" t="s">
        <v>161</v>
      </c>
      <c r="B31" s="25">
        <v>7</v>
      </c>
      <c r="C31" s="25">
        <v>13</v>
      </c>
      <c r="D31" s="25">
        <v>20</v>
      </c>
      <c r="E31"/>
      <c r="F31"/>
      <c r="G31" s="31"/>
      <c r="H31" s="38" t="s">
        <v>161</v>
      </c>
      <c r="I31" s="25">
        <v>13</v>
      </c>
      <c r="J31" s="25">
        <v>5</v>
      </c>
      <c r="K31" s="25">
        <v>2</v>
      </c>
      <c r="L31" s="25">
        <v>20</v>
      </c>
      <c r="M31"/>
      <c r="N31"/>
    </row>
    <row r="32" spans="1:23">
      <c r="A32"/>
      <c r="B32"/>
      <c r="C32"/>
      <c r="D32"/>
      <c r="E32"/>
      <c r="F32"/>
      <c r="G32" s="31"/>
      <c r="H32"/>
      <c r="I32"/>
      <c r="J32"/>
      <c r="K32"/>
      <c r="L32"/>
      <c r="M32"/>
      <c r="N32"/>
    </row>
    <row r="33" spans="1:25">
      <c r="A33"/>
      <c r="B33"/>
      <c r="C33"/>
      <c r="D33"/>
      <c r="E33"/>
      <c r="F33"/>
      <c r="G33" s="31"/>
      <c r="H33"/>
      <c r="I33"/>
      <c r="J33"/>
      <c r="K33"/>
      <c r="L33"/>
      <c r="M33"/>
      <c r="N33"/>
    </row>
    <row r="34" spans="1:25">
      <c r="A34" t="s">
        <v>502</v>
      </c>
      <c r="B34"/>
      <c r="C34"/>
      <c r="D34"/>
      <c r="E34"/>
      <c r="F34"/>
      <c r="G34" s="31" t="s">
        <v>301</v>
      </c>
      <c r="H34" t="s">
        <v>514</v>
      </c>
      <c r="I34"/>
      <c r="J34"/>
      <c r="K34"/>
      <c r="L34"/>
      <c r="M34"/>
      <c r="N34"/>
      <c r="R34" s="31"/>
      <c r="S34" s="31"/>
      <c r="T34" s="31"/>
      <c r="U34" s="31"/>
      <c r="V34" s="31"/>
      <c r="W34" s="31"/>
      <c r="X34" s="31"/>
      <c r="Y34" s="31"/>
    </row>
    <row r="35" spans="1:25">
      <c r="A35" s="37" t="s">
        <v>110</v>
      </c>
      <c r="B35" s="37" t="s">
        <v>282</v>
      </c>
      <c r="C35"/>
      <c r="D35"/>
      <c r="E35"/>
      <c r="F35"/>
      <c r="G35"/>
      <c r="H35" s="37" t="s">
        <v>110</v>
      </c>
      <c r="I35" s="37" t="s">
        <v>282</v>
      </c>
      <c r="J35"/>
      <c r="K35"/>
      <c r="L35"/>
      <c r="M35"/>
      <c r="N35"/>
      <c r="R35" s="31"/>
      <c r="S35" s="31"/>
      <c r="T35" s="31"/>
      <c r="U35" s="31"/>
      <c r="V35" s="31"/>
      <c r="W35" s="31"/>
      <c r="X35" s="31"/>
      <c r="Y35" s="31"/>
    </row>
    <row r="36" spans="1:25">
      <c r="A36" s="37" t="s">
        <v>281</v>
      </c>
      <c r="B36">
        <v>1</v>
      </c>
      <c r="C36">
        <v>2</v>
      </c>
      <c r="D36" t="s">
        <v>161</v>
      </c>
      <c r="E36"/>
      <c r="F36"/>
      <c r="G36"/>
      <c r="H36" s="37" t="s">
        <v>281</v>
      </c>
      <c r="I36">
        <v>1</v>
      </c>
      <c r="J36">
        <v>2</v>
      </c>
      <c r="K36">
        <v>3</v>
      </c>
      <c r="L36" t="s">
        <v>161</v>
      </c>
      <c r="M36"/>
      <c r="N36"/>
      <c r="R36" s="31"/>
      <c r="S36" s="31"/>
      <c r="T36" s="31"/>
      <c r="U36" s="31"/>
      <c r="V36" s="31"/>
      <c r="W36" s="31"/>
      <c r="X36" s="31"/>
      <c r="Y36" s="31"/>
    </row>
    <row r="37" spans="1:25">
      <c r="A37" s="38">
        <v>1</v>
      </c>
      <c r="B37" s="25">
        <v>3</v>
      </c>
      <c r="C37" s="25">
        <v>3</v>
      </c>
      <c r="D37" s="25">
        <v>6</v>
      </c>
      <c r="E37"/>
      <c r="F37"/>
      <c r="G37"/>
      <c r="H37" s="38">
        <v>1</v>
      </c>
      <c r="I37" s="25">
        <v>3</v>
      </c>
      <c r="J37" s="25">
        <v>3</v>
      </c>
      <c r="K37" s="25"/>
      <c r="L37" s="25">
        <v>6</v>
      </c>
      <c r="M37"/>
      <c r="N37"/>
      <c r="R37" s="31"/>
      <c r="S37" s="31"/>
      <c r="T37" s="31"/>
      <c r="U37" s="31"/>
      <c r="V37" s="31"/>
      <c r="W37" s="31"/>
      <c r="X37" s="31"/>
      <c r="Y37" s="31"/>
    </row>
    <row r="38" spans="1:25">
      <c r="A38" s="38">
        <v>2</v>
      </c>
      <c r="B38" s="25">
        <v>2</v>
      </c>
      <c r="C38" s="25">
        <v>5</v>
      </c>
      <c r="D38" s="25">
        <v>7</v>
      </c>
      <c r="E38"/>
      <c r="F38"/>
      <c r="H38" s="38">
        <v>2</v>
      </c>
      <c r="I38" s="25">
        <v>4</v>
      </c>
      <c r="J38" s="25">
        <v>1</v>
      </c>
      <c r="K38" s="25">
        <v>2</v>
      </c>
      <c r="L38" s="25">
        <v>7</v>
      </c>
      <c r="M38"/>
      <c r="N38"/>
      <c r="R38" s="31"/>
      <c r="S38" s="31"/>
      <c r="T38" s="31"/>
      <c r="U38" s="31"/>
      <c r="V38" s="31"/>
      <c r="W38" s="31"/>
      <c r="X38" s="31"/>
      <c r="Y38" s="31"/>
    </row>
    <row r="39" spans="1:25">
      <c r="A39" s="38">
        <v>3</v>
      </c>
      <c r="B39" s="25">
        <v>2</v>
      </c>
      <c r="C39" s="25">
        <v>2</v>
      </c>
      <c r="D39" s="25">
        <v>4</v>
      </c>
      <c r="E39"/>
      <c r="F39"/>
      <c r="H39" s="38">
        <v>3</v>
      </c>
      <c r="I39" s="25">
        <v>3</v>
      </c>
      <c r="J39" s="25">
        <v>1</v>
      </c>
      <c r="K39" s="25"/>
      <c r="L39" s="25">
        <v>4</v>
      </c>
      <c r="M39"/>
      <c r="N39"/>
      <c r="R39" s="31"/>
      <c r="S39" s="31"/>
      <c r="T39" s="31"/>
      <c r="U39" s="31"/>
      <c r="V39" s="31"/>
      <c r="W39" s="31"/>
      <c r="X39" s="31"/>
      <c r="Y39" s="31"/>
    </row>
    <row r="40" spans="1:25">
      <c r="A40" s="38">
        <v>8</v>
      </c>
      <c r="B40" s="25"/>
      <c r="C40" s="25">
        <v>2</v>
      </c>
      <c r="D40" s="25">
        <v>2</v>
      </c>
      <c r="E40"/>
      <c r="F40"/>
      <c r="H40" s="38">
        <v>8</v>
      </c>
      <c r="I40" s="25">
        <v>2</v>
      </c>
      <c r="J40" s="25"/>
      <c r="K40" s="25"/>
      <c r="L40" s="25">
        <v>2</v>
      </c>
      <c r="M40"/>
      <c r="N40"/>
    </row>
    <row r="41" spans="1:25">
      <c r="A41" s="38" t="s">
        <v>161</v>
      </c>
      <c r="B41" s="25">
        <v>7</v>
      </c>
      <c r="C41" s="25">
        <v>12</v>
      </c>
      <c r="D41" s="25">
        <v>19</v>
      </c>
      <c r="E41"/>
      <c r="F41"/>
      <c r="H41" s="38">
        <v>4</v>
      </c>
      <c r="I41" s="25">
        <v>1</v>
      </c>
      <c r="J41" s="25"/>
      <c r="K41" s="25"/>
      <c r="L41" s="25">
        <v>1</v>
      </c>
      <c r="M41"/>
      <c r="N41"/>
    </row>
    <row r="42" spans="1:25">
      <c r="A42"/>
      <c r="B42"/>
      <c r="C42"/>
      <c r="D42"/>
      <c r="E42"/>
      <c r="F42"/>
      <c r="H42" s="38" t="s">
        <v>161</v>
      </c>
      <c r="I42" s="25">
        <v>13</v>
      </c>
      <c r="J42" s="25">
        <v>5</v>
      </c>
      <c r="K42" s="25">
        <v>2</v>
      </c>
      <c r="L42" s="25">
        <v>20</v>
      </c>
      <c r="M42"/>
      <c r="N42"/>
    </row>
    <row r="43" spans="1:25">
      <c r="A43"/>
      <c r="B43"/>
      <c r="C43"/>
      <c r="D43"/>
      <c r="E43"/>
      <c r="F43"/>
      <c r="H43"/>
      <c r="I43"/>
      <c r="J43"/>
      <c r="K43"/>
      <c r="L43"/>
      <c r="M43"/>
      <c r="N43"/>
    </row>
    <row r="44" spans="1:25">
      <c r="A44"/>
      <c r="B44"/>
      <c r="C44"/>
      <c r="D44"/>
      <c r="E44"/>
      <c r="F44"/>
      <c r="H44"/>
      <c r="I44"/>
      <c r="J44"/>
      <c r="K44"/>
      <c r="L44"/>
      <c r="M44"/>
      <c r="N44"/>
    </row>
    <row r="45" spans="1:25">
      <c r="A45" t="s">
        <v>642</v>
      </c>
      <c r="B45"/>
      <c r="C45"/>
      <c r="D45"/>
      <c r="E45"/>
      <c r="F45"/>
      <c r="H45" s="39" t="s">
        <v>643</v>
      </c>
      <c r="I45"/>
      <c r="J45"/>
      <c r="K45"/>
      <c r="L45"/>
      <c r="M45"/>
      <c r="N45"/>
    </row>
    <row r="46" spans="1:25">
      <c r="A46" s="37" t="s">
        <v>110</v>
      </c>
      <c r="B46" s="37" t="s">
        <v>282</v>
      </c>
      <c r="C46"/>
      <c r="D46"/>
      <c r="E46"/>
      <c r="F46"/>
      <c r="G46"/>
      <c r="H46" s="37" t="s">
        <v>110</v>
      </c>
      <c r="I46" s="37" t="s">
        <v>282</v>
      </c>
      <c r="J46"/>
      <c r="K46"/>
      <c r="L46"/>
      <c r="M46"/>
      <c r="N46"/>
      <c r="R46" s="31"/>
      <c r="S46" s="31"/>
      <c r="T46" s="31"/>
      <c r="U46" s="31"/>
      <c r="V46" s="31"/>
      <c r="W46" s="31"/>
      <c r="X46" s="31"/>
    </row>
    <row r="47" spans="1:25">
      <c r="A47" s="37" t="s">
        <v>281</v>
      </c>
      <c r="B47">
        <v>1</v>
      </c>
      <c r="C47">
        <v>2</v>
      </c>
      <c r="D47" t="s">
        <v>862</v>
      </c>
      <c r="E47" t="s">
        <v>161</v>
      </c>
      <c r="F47"/>
      <c r="G47"/>
      <c r="H47" s="37" t="s">
        <v>281</v>
      </c>
      <c r="I47">
        <v>1</v>
      </c>
      <c r="J47">
        <v>2</v>
      </c>
      <c r="K47">
        <v>3</v>
      </c>
      <c r="L47" t="s">
        <v>161</v>
      </c>
      <c r="M47"/>
      <c r="N47"/>
      <c r="R47" s="31"/>
      <c r="S47" s="31"/>
      <c r="T47" s="31"/>
      <c r="U47" s="31"/>
      <c r="V47" s="31"/>
      <c r="W47" s="31"/>
      <c r="X47" s="31"/>
    </row>
    <row r="48" spans="1:25">
      <c r="A48" s="38">
        <v>1</v>
      </c>
      <c r="B48" s="25">
        <v>3</v>
      </c>
      <c r="C48" s="25">
        <v>3</v>
      </c>
      <c r="D48" s="25"/>
      <c r="E48" s="25">
        <v>6</v>
      </c>
      <c r="F48"/>
      <c r="G48"/>
      <c r="H48" s="38">
        <v>1</v>
      </c>
      <c r="I48" s="25">
        <v>6</v>
      </c>
      <c r="J48" s="25"/>
      <c r="K48" s="25"/>
      <c r="L48" s="25">
        <v>6</v>
      </c>
      <c r="M48"/>
      <c r="N48"/>
      <c r="R48" s="31"/>
      <c r="S48" s="31"/>
      <c r="T48" s="31"/>
      <c r="U48" s="31"/>
      <c r="V48" s="31"/>
      <c r="W48" s="31"/>
      <c r="X48" s="31"/>
    </row>
    <row r="49" spans="1:24">
      <c r="A49" s="38">
        <v>2</v>
      </c>
      <c r="B49" s="25">
        <v>2</v>
      </c>
      <c r="C49" s="25">
        <v>3</v>
      </c>
      <c r="D49" s="25">
        <v>1</v>
      </c>
      <c r="E49" s="25">
        <v>6</v>
      </c>
      <c r="F49"/>
      <c r="G49" s="31"/>
      <c r="H49" s="38">
        <v>2</v>
      </c>
      <c r="I49" s="25">
        <v>1</v>
      </c>
      <c r="J49" s="25">
        <v>2</v>
      </c>
      <c r="K49" s="25">
        <v>2</v>
      </c>
      <c r="L49" s="25">
        <v>5</v>
      </c>
      <c r="M49"/>
      <c r="N49"/>
      <c r="R49" s="31"/>
      <c r="S49" s="31"/>
      <c r="T49" s="31"/>
      <c r="U49" s="31"/>
      <c r="V49" s="31"/>
      <c r="W49" s="31"/>
      <c r="X49" s="31"/>
    </row>
    <row r="50" spans="1:24">
      <c r="A50" s="38">
        <v>3</v>
      </c>
      <c r="B50" s="25">
        <v>2</v>
      </c>
      <c r="C50" s="25">
        <v>3</v>
      </c>
      <c r="D50" s="25"/>
      <c r="E50" s="25">
        <v>5</v>
      </c>
      <c r="F50"/>
      <c r="G50" s="31"/>
      <c r="H50" s="38">
        <v>3</v>
      </c>
      <c r="I50" s="25">
        <v>4</v>
      </c>
      <c r="J50" s="25">
        <v>1</v>
      </c>
      <c r="K50" s="25"/>
      <c r="L50" s="25">
        <v>5</v>
      </c>
      <c r="M50"/>
      <c r="N50"/>
      <c r="R50" s="31"/>
      <c r="S50" s="31"/>
      <c r="T50" s="31"/>
      <c r="U50" s="31"/>
      <c r="V50" s="31"/>
      <c r="W50" s="31"/>
      <c r="X50" s="31"/>
    </row>
    <row r="51" spans="1:24">
      <c r="A51" s="38">
        <v>4</v>
      </c>
      <c r="B51" s="25"/>
      <c r="C51" s="25">
        <v>4</v>
      </c>
      <c r="D51" s="25"/>
      <c r="E51" s="25">
        <v>4</v>
      </c>
      <c r="F51"/>
      <c r="G51" s="31"/>
      <c r="H51" s="38">
        <v>4</v>
      </c>
      <c r="I51" s="25">
        <v>2</v>
      </c>
      <c r="J51" s="25">
        <v>2</v>
      </c>
      <c r="K51" s="25"/>
      <c r="L51" s="25">
        <v>4</v>
      </c>
      <c r="M51"/>
      <c r="N51"/>
    </row>
    <row r="52" spans="1:24">
      <c r="A52" s="38" t="s">
        <v>161</v>
      </c>
      <c r="B52" s="25">
        <v>7</v>
      </c>
      <c r="C52" s="25">
        <v>13</v>
      </c>
      <c r="D52" s="25">
        <v>1</v>
      </c>
      <c r="E52" s="25">
        <v>21</v>
      </c>
      <c r="F52"/>
      <c r="G52" s="31"/>
      <c r="H52" s="38" t="s">
        <v>161</v>
      </c>
      <c r="I52" s="25">
        <v>13</v>
      </c>
      <c r="J52" s="25">
        <v>5</v>
      </c>
      <c r="K52" s="25">
        <v>2</v>
      </c>
      <c r="L52" s="25">
        <v>20</v>
      </c>
      <c r="M52"/>
      <c r="N52"/>
    </row>
    <row r="53" spans="1:24">
      <c r="A53"/>
      <c r="B53"/>
      <c r="C53"/>
      <c r="D53"/>
      <c r="E53"/>
      <c r="F53"/>
      <c r="G53" s="31"/>
      <c r="H53"/>
      <c r="I53"/>
      <c r="J53"/>
      <c r="K53"/>
      <c r="L53"/>
      <c r="M53"/>
      <c r="N53"/>
    </row>
    <row r="54" spans="1:24">
      <c r="A54"/>
      <c r="B54"/>
      <c r="C54"/>
      <c r="D54"/>
      <c r="E54"/>
      <c r="F54"/>
      <c r="G54" s="31"/>
      <c r="H54"/>
      <c r="I54"/>
      <c r="J54"/>
      <c r="K54"/>
      <c r="L54"/>
      <c r="M54"/>
      <c r="N54"/>
    </row>
    <row r="55" spans="1:24">
      <c r="A55"/>
      <c r="B55"/>
      <c r="C55"/>
      <c r="D55"/>
      <c r="E55"/>
      <c r="F55"/>
      <c r="H55"/>
      <c r="I55"/>
      <c r="J55"/>
      <c r="K55"/>
      <c r="L55"/>
      <c r="M55"/>
      <c r="N55"/>
      <c r="R55" s="31"/>
      <c r="S55" s="31"/>
      <c r="T55" s="31"/>
      <c r="U55" s="31"/>
      <c r="V55" s="31"/>
      <c r="W55" s="31"/>
      <c r="X55" s="31"/>
    </row>
    <row r="56" spans="1:24">
      <c r="A56" t="s">
        <v>644</v>
      </c>
      <c r="B56"/>
      <c r="C56"/>
      <c r="D56"/>
      <c r="E56"/>
      <c r="F56"/>
      <c r="H56" s="39" t="s">
        <v>645</v>
      </c>
      <c r="I56"/>
      <c r="J56"/>
      <c r="K56"/>
      <c r="L56"/>
      <c r="M56"/>
      <c r="N56"/>
      <c r="R56" s="31"/>
      <c r="S56" s="31"/>
      <c r="T56" s="31"/>
      <c r="U56" s="31"/>
      <c r="V56" s="31"/>
      <c r="W56" s="31"/>
      <c r="X56" s="31"/>
    </row>
    <row r="57" spans="1:24">
      <c r="A57" s="37" t="s">
        <v>110</v>
      </c>
      <c r="B57" s="37" t="s">
        <v>282</v>
      </c>
      <c r="C57"/>
      <c r="D57"/>
      <c r="E57"/>
      <c r="F57"/>
      <c r="G57"/>
      <c r="H57" s="37" t="s">
        <v>110</v>
      </c>
      <c r="I57" s="37" t="s">
        <v>282</v>
      </c>
      <c r="J57"/>
      <c r="K57"/>
      <c r="L57"/>
      <c r="M57"/>
      <c r="N57"/>
      <c r="R57" s="31"/>
      <c r="S57" s="31"/>
      <c r="T57" s="31"/>
      <c r="U57" s="31"/>
      <c r="V57" s="31"/>
      <c r="W57" s="31"/>
      <c r="X57" s="31"/>
    </row>
    <row r="58" spans="1:24">
      <c r="A58" s="37" t="s">
        <v>281</v>
      </c>
      <c r="B58">
        <v>1</v>
      </c>
      <c r="C58">
        <v>2</v>
      </c>
      <c r="D58" t="s">
        <v>862</v>
      </c>
      <c r="E58" t="s">
        <v>161</v>
      </c>
      <c r="F58"/>
      <c r="G58"/>
      <c r="H58" s="37" t="s">
        <v>281</v>
      </c>
      <c r="I58">
        <v>1</v>
      </c>
      <c r="J58">
        <v>2</v>
      </c>
      <c r="K58">
        <v>3</v>
      </c>
      <c r="L58" t="s">
        <v>161</v>
      </c>
      <c r="M58"/>
      <c r="N58"/>
    </row>
    <row r="59" spans="1:24">
      <c r="A59" s="38">
        <v>1</v>
      </c>
      <c r="B59" s="25">
        <v>1</v>
      </c>
      <c r="C59" s="25">
        <v>3</v>
      </c>
      <c r="D59" s="25"/>
      <c r="E59" s="25">
        <v>4</v>
      </c>
      <c r="F59"/>
      <c r="G59"/>
      <c r="H59" s="38">
        <v>1</v>
      </c>
      <c r="I59" s="25">
        <v>2</v>
      </c>
      <c r="J59" s="25">
        <v>2</v>
      </c>
      <c r="K59" s="25"/>
      <c r="L59" s="25">
        <v>4</v>
      </c>
      <c r="M59"/>
      <c r="N59"/>
    </row>
    <row r="60" spans="1:24">
      <c r="A60" s="38">
        <v>2</v>
      </c>
      <c r="B60" s="25">
        <v>2</v>
      </c>
      <c r="C60" s="25">
        <v>3</v>
      </c>
      <c r="D60" s="25">
        <v>1</v>
      </c>
      <c r="E60" s="25">
        <v>6</v>
      </c>
      <c r="F60"/>
      <c r="G60" s="31"/>
      <c r="H60" s="38">
        <v>2</v>
      </c>
      <c r="I60" s="25">
        <v>3</v>
      </c>
      <c r="J60" s="25">
        <v>1</v>
      </c>
      <c r="K60" s="25">
        <v>1</v>
      </c>
      <c r="L60" s="25">
        <v>5</v>
      </c>
      <c r="M60"/>
      <c r="N60"/>
    </row>
    <row r="61" spans="1:24">
      <c r="A61" s="38">
        <v>3</v>
      </c>
      <c r="B61" s="25">
        <v>1</v>
      </c>
      <c r="C61" s="25">
        <v>1</v>
      </c>
      <c r="D61" s="25"/>
      <c r="E61" s="25">
        <v>2</v>
      </c>
      <c r="F61"/>
      <c r="G61" s="31"/>
      <c r="H61" s="38">
        <v>3</v>
      </c>
      <c r="I61" s="25">
        <v>2</v>
      </c>
      <c r="J61" s="25"/>
      <c r="K61" s="25"/>
      <c r="L61" s="25">
        <v>2</v>
      </c>
      <c r="M61"/>
      <c r="N61"/>
    </row>
    <row r="62" spans="1:24">
      <c r="A62" s="38">
        <v>4</v>
      </c>
      <c r="B62" s="25">
        <v>2</v>
      </c>
      <c r="C62" s="25">
        <v>5</v>
      </c>
      <c r="D62" s="25"/>
      <c r="E62" s="25">
        <v>7</v>
      </c>
      <c r="F62"/>
      <c r="G62" s="31"/>
      <c r="H62" s="38">
        <v>4</v>
      </c>
      <c r="I62" s="25">
        <v>5</v>
      </c>
      <c r="J62" s="25">
        <v>2</v>
      </c>
      <c r="K62" s="25"/>
      <c r="L62" s="25">
        <v>7</v>
      </c>
      <c r="M62"/>
      <c r="N62"/>
      <c r="R62" s="31"/>
      <c r="S62" s="31"/>
      <c r="T62" s="31"/>
      <c r="U62" s="31"/>
      <c r="V62" s="31"/>
      <c r="W62" s="31"/>
      <c r="X62" s="31"/>
    </row>
    <row r="63" spans="1:24">
      <c r="A63" s="38">
        <v>7</v>
      </c>
      <c r="B63" s="25">
        <v>1</v>
      </c>
      <c r="C63" s="25">
        <v>1</v>
      </c>
      <c r="D63" s="25"/>
      <c r="E63" s="25">
        <v>2</v>
      </c>
      <c r="F63"/>
      <c r="G63" s="31"/>
      <c r="H63" s="38">
        <v>7</v>
      </c>
      <c r="I63" s="25">
        <v>1</v>
      </c>
      <c r="J63" s="25"/>
      <c r="K63" s="25">
        <v>1</v>
      </c>
      <c r="L63" s="25">
        <v>2</v>
      </c>
      <c r="M63"/>
      <c r="N63"/>
      <c r="R63" s="31"/>
      <c r="S63" s="31"/>
      <c r="T63" s="31"/>
      <c r="U63" s="31"/>
      <c r="V63" s="31"/>
      <c r="W63" s="31"/>
      <c r="X63" s="31"/>
    </row>
    <row r="64" spans="1:24">
      <c r="A64" s="38" t="s">
        <v>161</v>
      </c>
      <c r="B64" s="25">
        <v>7</v>
      </c>
      <c r="C64" s="25">
        <v>13</v>
      </c>
      <c r="D64" s="25">
        <v>1</v>
      </c>
      <c r="E64" s="25">
        <v>21</v>
      </c>
      <c r="F64"/>
      <c r="G64" s="31"/>
      <c r="H64" s="38" t="s">
        <v>161</v>
      </c>
      <c r="I64" s="25">
        <v>13</v>
      </c>
      <c r="J64" s="25">
        <v>5</v>
      </c>
      <c r="K64" s="25">
        <v>2</v>
      </c>
      <c r="L64" s="25">
        <v>20</v>
      </c>
      <c r="M64"/>
      <c r="N64"/>
      <c r="R64" s="31"/>
      <c r="S64" s="31"/>
      <c r="T64" s="31"/>
      <c r="U64" s="31"/>
      <c r="V64" s="31"/>
      <c r="W64" s="31"/>
      <c r="X64" s="31"/>
    </row>
    <row r="65" spans="1:25">
      <c r="A65"/>
      <c r="B65"/>
      <c r="C65"/>
      <c r="D65"/>
      <c r="E65"/>
      <c r="F65"/>
      <c r="H65"/>
      <c r="I65"/>
      <c r="J65"/>
      <c r="K65"/>
      <c r="L65"/>
      <c r="M65"/>
      <c r="N65"/>
    </row>
    <row r="66" spans="1:25">
      <c r="A66"/>
      <c r="B66"/>
      <c r="C66"/>
      <c r="D66"/>
      <c r="E66"/>
      <c r="F66"/>
      <c r="H66"/>
      <c r="I66"/>
      <c r="J66"/>
      <c r="K66"/>
      <c r="L66"/>
      <c r="M66"/>
      <c r="N66"/>
    </row>
    <row r="67" spans="1:25">
      <c r="A67" t="s">
        <v>646</v>
      </c>
      <c r="B67"/>
      <c r="C67"/>
      <c r="D67"/>
      <c r="E67"/>
      <c r="F67"/>
      <c r="G67" s="31"/>
      <c r="H67" s="39" t="s">
        <v>647</v>
      </c>
      <c r="I67"/>
      <c r="J67"/>
      <c r="K67"/>
      <c r="L67"/>
      <c r="M67"/>
      <c r="N67"/>
    </row>
    <row r="68" spans="1:25">
      <c r="A68" s="37" t="s">
        <v>110</v>
      </c>
      <c r="B68" s="37" t="s">
        <v>282</v>
      </c>
      <c r="C68"/>
      <c r="D68"/>
      <c r="E68"/>
      <c r="F68"/>
      <c r="G68"/>
      <c r="H68" s="37" t="s">
        <v>110</v>
      </c>
      <c r="I68" s="37" t="s">
        <v>282</v>
      </c>
      <c r="J68"/>
      <c r="K68"/>
      <c r="L68"/>
      <c r="M68"/>
      <c r="N68"/>
    </row>
    <row r="69" spans="1:25">
      <c r="A69" s="37" t="s">
        <v>281</v>
      </c>
      <c r="B69">
        <v>1</v>
      </c>
      <c r="C69">
        <v>2</v>
      </c>
      <c r="D69" t="s">
        <v>161</v>
      </c>
      <c r="E69"/>
      <c r="F69"/>
      <c r="G69"/>
      <c r="H69" s="37" t="s">
        <v>281</v>
      </c>
      <c r="I69">
        <v>1</v>
      </c>
      <c r="J69">
        <v>2</v>
      </c>
      <c r="K69">
        <v>3</v>
      </c>
      <c r="L69" t="s">
        <v>161</v>
      </c>
      <c r="M69"/>
      <c r="N69"/>
      <c r="O69" s="31"/>
      <c r="R69" s="31"/>
      <c r="S69" s="31"/>
      <c r="T69" s="31"/>
      <c r="U69" s="31"/>
      <c r="V69" s="31"/>
      <c r="W69" s="31"/>
      <c r="X69" s="31"/>
      <c r="Y69" s="31"/>
    </row>
    <row r="70" spans="1:25">
      <c r="A70" s="38">
        <v>1</v>
      </c>
      <c r="B70" s="25">
        <v>2</v>
      </c>
      <c r="C70" s="25">
        <v>1</v>
      </c>
      <c r="D70" s="25">
        <v>3</v>
      </c>
      <c r="E70"/>
      <c r="F70"/>
      <c r="G70"/>
      <c r="H70" s="38">
        <v>1</v>
      </c>
      <c r="I70" s="25">
        <v>2</v>
      </c>
      <c r="J70" s="25">
        <v>1</v>
      </c>
      <c r="K70" s="25"/>
      <c r="L70" s="25">
        <v>3</v>
      </c>
      <c r="M70"/>
      <c r="N70"/>
    </row>
    <row r="71" spans="1:25">
      <c r="A71" s="38">
        <v>2</v>
      </c>
      <c r="B71" s="25">
        <v>2</v>
      </c>
      <c r="C71" s="25">
        <v>3</v>
      </c>
      <c r="D71" s="25">
        <v>5</v>
      </c>
      <c r="E71"/>
      <c r="F71"/>
      <c r="G71" s="31"/>
      <c r="H71" s="38">
        <v>2</v>
      </c>
      <c r="I71" s="25">
        <v>3</v>
      </c>
      <c r="J71" s="25">
        <v>1</v>
      </c>
      <c r="K71" s="25">
        <v>1</v>
      </c>
      <c r="L71" s="25">
        <v>5</v>
      </c>
      <c r="M71"/>
      <c r="N71"/>
    </row>
    <row r="72" spans="1:25">
      <c r="A72" s="38">
        <v>3</v>
      </c>
      <c r="B72" s="25">
        <v>2</v>
      </c>
      <c r="C72" s="25"/>
      <c r="D72" s="25">
        <v>2</v>
      </c>
      <c r="E72"/>
      <c r="F72"/>
      <c r="G72" s="31"/>
      <c r="H72" s="38">
        <v>3</v>
      </c>
      <c r="I72" s="25">
        <v>2</v>
      </c>
      <c r="J72" s="25"/>
      <c r="K72" s="25"/>
      <c r="L72" s="25">
        <v>2</v>
      </c>
      <c r="M72"/>
      <c r="N72"/>
    </row>
    <row r="73" spans="1:25">
      <c r="A73" s="38">
        <v>4</v>
      </c>
      <c r="B73" s="25">
        <v>1</v>
      </c>
      <c r="C73" s="25">
        <v>1</v>
      </c>
      <c r="D73" s="25">
        <v>2</v>
      </c>
      <c r="E73"/>
      <c r="F73"/>
      <c r="G73" s="31"/>
      <c r="H73" s="38">
        <v>4</v>
      </c>
      <c r="I73" s="25"/>
      <c r="J73" s="25">
        <v>1</v>
      </c>
      <c r="K73" s="25">
        <v>1</v>
      </c>
      <c r="L73" s="25">
        <v>2</v>
      </c>
      <c r="M73"/>
      <c r="N73"/>
    </row>
    <row r="74" spans="1:25">
      <c r="A74" s="38">
        <v>7</v>
      </c>
      <c r="B74" s="25"/>
      <c r="C74" s="25">
        <v>3</v>
      </c>
      <c r="D74" s="25">
        <v>3</v>
      </c>
      <c r="E74"/>
      <c r="F74"/>
      <c r="G74" s="31"/>
      <c r="H74" s="38">
        <v>7</v>
      </c>
      <c r="I74" s="25">
        <v>2</v>
      </c>
      <c r="J74" s="25">
        <v>1</v>
      </c>
      <c r="K74" s="25"/>
      <c r="L74" s="25">
        <v>3</v>
      </c>
      <c r="M74"/>
      <c r="N74"/>
    </row>
    <row r="75" spans="1:25">
      <c r="A75" s="38" t="s">
        <v>161</v>
      </c>
      <c r="B75" s="25">
        <v>7</v>
      </c>
      <c r="C75" s="25">
        <v>8</v>
      </c>
      <c r="D75" s="25">
        <v>15</v>
      </c>
      <c r="E75"/>
      <c r="F75"/>
      <c r="H75" s="38" t="s">
        <v>862</v>
      </c>
      <c r="I75" s="25">
        <v>4</v>
      </c>
      <c r="J75" s="25">
        <v>1</v>
      </c>
      <c r="K75" s="25"/>
      <c r="L75" s="25">
        <v>5</v>
      </c>
      <c r="M75"/>
      <c r="N75"/>
    </row>
    <row r="76" spans="1:25">
      <c r="A76"/>
      <c r="B76"/>
      <c r="C76"/>
      <c r="D76"/>
      <c r="E76"/>
      <c r="F76"/>
      <c r="H76" s="38" t="s">
        <v>161</v>
      </c>
      <c r="I76" s="25">
        <v>13</v>
      </c>
      <c r="J76" s="25">
        <v>5</v>
      </c>
      <c r="K76" s="25">
        <v>2</v>
      </c>
      <c r="L76" s="25">
        <v>20</v>
      </c>
      <c r="M76"/>
      <c r="N76"/>
    </row>
    <row r="77" spans="1:25">
      <c r="A77"/>
      <c r="B77"/>
      <c r="C77"/>
      <c r="D77"/>
      <c r="E77"/>
      <c r="F77"/>
      <c r="G77" s="31"/>
      <c r="H77"/>
      <c r="I77"/>
      <c r="J77"/>
      <c r="K77"/>
      <c r="L77"/>
      <c r="M77"/>
      <c r="N77"/>
    </row>
    <row r="78" spans="1:25">
      <c r="A78" t="s">
        <v>648</v>
      </c>
      <c r="B78"/>
      <c r="C78"/>
      <c r="D78"/>
      <c r="E78"/>
      <c r="F78"/>
      <c r="G78" s="31"/>
      <c r="H78" s="39" t="s">
        <v>649</v>
      </c>
      <c r="I78"/>
      <c r="J78"/>
      <c r="K78"/>
      <c r="L78"/>
      <c r="M78"/>
      <c r="N78"/>
    </row>
    <row r="79" spans="1:25">
      <c r="A79" s="37" t="s">
        <v>110</v>
      </c>
      <c r="B79" s="37" t="s">
        <v>282</v>
      </c>
      <c r="C79"/>
      <c r="D79"/>
      <c r="E79"/>
      <c r="F79"/>
      <c r="G79" s="31"/>
      <c r="H79" s="37" t="s">
        <v>110</v>
      </c>
      <c r="I79" s="37" t="s">
        <v>282</v>
      </c>
      <c r="J79"/>
      <c r="K79"/>
      <c r="L79"/>
      <c r="M79"/>
      <c r="N79"/>
    </row>
    <row r="80" spans="1:25">
      <c r="A80" s="37" t="s">
        <v>281</v>
      </c>
      <c r="B80">
        <v>1</v>
      </c>
      <c r="C80">
        <v>2</v>
      </c>
      <c r="D80" t="s">
        <v>161</v>
      </c>
      <c r="E80"/>
      <c r="F80"/>
      <c r="G80" s="31"/>
      <c r="H80" s="37" t="s">
        <v>281</v>
      </c>
      <c r="I80">
        <v>1</v>
      </c>
      <c r="J80">
        <v>2</v>
      </c>
      <c r="K80">
        <v>3</v>
      </c>
      <c r="L80" t="s">
        <v>161</v>
      </c>
      <c r="M80"/>
      <c r="N80"/>
    </row>
    <row r="81" spans="1:25">
      <c r="A81" s="38">
        <v>1</v>
      </c>
      <c r="B81" s="25">
        <v>2</v>
      </c>
      <c r="C81" s="25">
        <v>2</v>
      </c>
      <c r="D81" s="25">
        <v>4</v>
      </c>
      <c r="E81"/>
      <c r="F81"/>
      <c r="G81" s="31"/>
      <c r="H81" s="38">
        <v>1</v>
      </c>
      <c r="I81" s="25">
        <v>1</v>
      </c>
      <c r="J81" s="25">
        <v>3</v>
      </c>
      <c r="K81" s="25"/>
      <c r="L81" s="25">
        <v>4</v>
      </c>
      <c r="M81"/>
      <c r="N81"/>
    </row>
    <row r="82" spans="1:25">
      <c r="A82" s="38">
        <v>2</v>
      </c>
      <c r="B82" s="25">
        <v>2</v>
      </c>
      <c r="C82" s="25">
        <v>3</v>
      </c>
      <c r="D82" s="25">
        <v>5</v>
      </c>
      <c r="E82"/>
      <c r="F82"/>
      <c r="G82" s="31"/>
      <c r="H82" s="38">
        <v>2</v>
      </c>
      <c r="I82" s="25">
        <v>3</v>
      </c>
      <c r="J82" s="25">
        <v>1</v>
      </c>
      <c r="K82" s="25">
        <v>1</v>
      </c>
      <c r="L82" s="25">
        <v>5</v>
      </c>
      <c r="M82"/>
      <c r="N82"/>
    </row>
    <row r="83" spans="1:25">
      <c r="A83" s="38">
        <v>3</v>
      </c>
      <c r="B83" s="25">
        <v>1</v>
      </c>
      <c r="C83" s="25">
        <v>2</v>
      </c>
      <c r="D83" s="25">
        <v>3</v>
      </c>
      <c r="E83"/>
      <c r="F83"/>
      <c r="G83" s="31"/>
      <c r="H83" s="38">
        <v>3</v>
      </c>
      <c r="I83" s="25">
        <v>2</v>
      </c>
      <c r="J83" s="25"/>
      <c r="K83" s="25">
        <v>1</v>
      </c>
      <c r="L83" s="25">
        <v>3</v>
      </c>
      <c r="M83"/>
      <c r="N83"/>
    </row>
    <row r="84" spans="1:25">
      <c r="A84" s="38">
        <v>4</v>
      </c>
      <c r="B84" s="25">
        <v>1</v>
      </c>
      <c r="C84" s="25"/>
      <c r="D84" s="25">
        <v>1</v>
      </c>
      <c r="E84"/>
      <c r="F84"/>
      <c r="G84" s="31"/>
      <c r="H84" s="38">
        <v>4</v>
      </c>
      <c r="I84" s="25">
        <v>1</v>
      </c>
      <c r="J84" s="25"/>
      <c r="K84" s="25"/>
      <c r="L84" s="25">
        <v>1</v>
      </c>
      <c r="M84"/>
      <c r="N84"/>
      <c r="R84" s="31"/>
      <c r="S84" s="31"/>
      <c r="T84" s="31"/>
      <c r="U84" s="31"/>
      <c r="V84" s="31"/>
      <c r="W84" s="31"/>
      <c r="X84" s="31"/>
    </row>
    <row r="85" spans="1:25">
      <c r="A85" s="38">
        <v>7</v>
      </c>
      <c r="B85" s="25">
        <v>1</v>
      </c>
      <c r="C85" s="25">
        <v>1</v>
      </c>
      <c r="D85" s="25">
        <v>2</v>
      </c>
      <c r="E85"/>
      <c r="F85"/>
      <c r="H85" s="38">
        <v>7</v>
      </c>
      <c r="I85" s="25">
        <v>2</v>
      </c>
      <c r="J85" s="25"/>
      <c r="K85" s="25"/>
      <c r="L85" s="25">
        <v>2</v>
      </c>
      <c r="M85"/>
      <c r="N85"/>
      <c r="R85" s="31"/>
      <c r="S85" s="31"/>
      <c r="T85" s="31"/>
      <c r="U85" s="31"/>
      <c r="V85" s="31"/>
      <c r="W85" s="31"/>
      <c r="X85" s="31"/>
    </row>
    <row r="86" spans="1:25">
      <c r="A86" s="38" t="s">
        <v>161</v>
      </c>
      <c r="B86" s="25">
        <v>7</v>
      </c>
      <c r="C86" s="25">
        <v>8</v>
      </c>
      <c r="D86" s="25">
        <v>15</v>
      </c>
      <c r="E86"/>
      <c r="F86"/>
      <c r="H86" s="38" t="s">
        <v>161</v>
      </c>
      <c r="I86" s="25">
        <v>9</v>
      </c>
      <c r="J86" s="25">
        <v>4</v>
      </c>
      <c r="K86" s="25">
        <v>2</v>
      </c>
      <c r="L86" s="25">
        <v>15</v>
      </c>
      <c r="M86"/>
      <c r="N86"/>
      <c r="R86" s="31"/>
      <c r="S86" s="31"/>
      <c r="T86" s="31"/>
      <c r="U86" s="31"/>
      <c r="V86" s="31"/>
      <c r="W86" s="31"/>
      <c r="X86" s="31"/>
    </row>
    <row r="87" spans="1:25">
      <c r="A87"/>
      <c r="B87"/>
      <c r="C87"/>
      <c r="D87"/>
      <c r="E87"/>
      <c r="F87"/>
      <c r="G87" s="31"/>
      <c r="H87"/>
      <c r="I87"/>
      <c r="J87"/>
      <c r="K87"/>
      <c r="L87"/>
      <c r="M87"/>
      <c r="N87"/>
      <c r="R87" s="31"/>
      <c r="S87" s="31"/>
      <c r="T87" s="31"/>
      <c r="U87" s="31"/>
      <c r="V87" s="31"/>
      <c r="W87" s="31"/>
      <c r="X87" s="31"/>
    </row>
    <row r="88" spans="1:25">
      <c r="A88"/>
      <c r="B88"/>
      <c r="C88"/>
      <c r="D88"/>
      <c r="E88"/>
      <c r="F88"/>
      <c r="G88" s="31"/>
      <c r="H88"/>
      <c r="I88"/>
      <c r="J88"/>
      <c r="K88"/>
      <c r="L88"/>
      <c r="M88"/>
      <c r="N88"/>
    </row>
    <row r="89" spans="1:25">
      <c r="A89" t="s">
        <v>650</v>
      </c>
      <c r="B89"/>
      <c r="C89"/>
      <c r="D89"/>
      <c r="E89"/>
      <c r="F89"/>
      <c r="G89" s="31"/>
      <c r="H89" s="39" t="s">
        <v>651</v>
      </c>
      <c r="I89"/>
      <c r="J89"/>
      <c r="K89"/>
      <c r="L89"/>
      <c r="M89"/>
      <c r="N89"/>
    </row>
    <row r="90" spans="1:25">
      <c r="A90" s="37" t="s">
        <v>110</v>
      </c>
      <c r="B90" s="37" t="s">
        <v>282</v>
      </c>
      <c r="C90"/>
      <c r="D90"/>
      <c r="E90"/>
      <c r="F90"/>
      <c r="G90"/>
      <c r="H90" s="37" t="s">
        <v>110</v>
      </c>
      <c r="I90" s="37" t="s">
        <v>282</v>
      </c>
      <c r="J90"/>
      <c r="K90"/>
      <c r="L90"/>
      <c r="M90"/>
      <c r="N90"/>
    </row>
    <row r="91" spans="1:25">
      <c r="A91" s="37" t="s">
        <v>281</v>
      </c>
      <c r="B91">
        <v>1</v>
      </c>
      <c r="C91">
        <v>2</v>
      </c>
      <c r="D91" t="s">
        <v>161</v>
      </c>
      <c r="E91"/>
      <c r="F91"/>
      <c r="G91"/>
      <c r="H91" s="37" t="s">
        <v>281</v>
      </c>
      <c r="I91">
        <v>1</v>
      </c>
      <c r="J91">
        <v>2</v>
      </c>
      <c r="K91">
        <v>3</v>
      </c>
      <c r="L91" t="s">
        <v>161</v>
      </c>
      <c r="M91"/>
      <c r="N91"/>
    </row>
    <row r="92" spans="1:25">
      <c r="A92" s="38">
        <v>1</v>
      </c>
      <c r="B92" s="25">
        <v>2</v>
      </c>
      <c r="C92" s="25">
        <v>1</v>
      </c>
      <c r="D92" s="25">
        <v>3</v>
      </c>
      <c r="E92"/>
      <c r="F92"/>
      <c r="G92"/>
      <c r="H92" s="38">
        <v>1</v>
      </c>
      <c r="I92" s="25">
        <v>1</v>
      </c>
      <c r="J92" s="25">
        <v>2</v>
      </c>
      <c r="K92" s="25"/>
      <c r="L92" s="25">
        <v>3</v>
      </c>
      <c r="M92"/>
      <c r="N92"/>
      <c r="O92" s="31"/>
      <c r="R92" s="31"/>
      <c r="S92" s="31"/>
      <c r="T92" s="31"/>
      <c r="U92" s="31"/>
      <c r="V92" s="31"/>
      <c r="W92" s="31"/>
      <c r="X92" s="31"/>
      <c r="Y92" s="31"/>
    </row>
    <row r="93" spans="1:25">
      <c r="A93" s="38">
        <v>2</v>
      </c>
      <c r="B93" s="25">
        <v>2</v>
      </c>
      <c r="C93" s="25">
        <v>2</v>
      </c>
      <c r="D93" s="25">
        <v>4</v>
      </c>
      <c r="E93"/>
      <c r="F93"/>
      <c r="G93" s="31"/>
      <c r="H93" s="38">
        <v>2</v>
      </c>
      <c r="I93" s="25">
        <v>2</v>
      </c>
      <c r="J93" s="25">
        <v>1</v>
      </c>
      <c r="K93" s="25">
        <v>1</v>
      </c>
      <c r="L93" s="25">
        <v>4</v>
      </c>
      <c r="M93"/>
      <c r="N93"/>
      <c r="O93" s="31"/>
      <c r="R93" s="31"/>
      <c r="S93" s="31"/>
      <c r="T93" s="31"/>
      <c r="U93" s="31"/>
      <c r="V93" s="31"/>
      <c r="W93" s="31"/>
      <c r="X93" s="31"/>
      <c r="Y93" s="31"/>
    </row>
    <row r="94" spans="1:25">
      <c r="A94" s="38">
        <v>3</v>
      </c>
      <c r="B94" s="25"/>
      <c r="C94" s="25">
        <v>2</v>
      </c>
      <c r="D94" s="25">
        <v>2</v>
      </c>
      <c r="E94"/>
      <c r="F94"/>
      <c r="H94" s="38">
        <v>3</v>
      </c>
      <c r="I94" s="25">
        <v>1</v>
      </c>
      <c r="J94" s="25">
        <v>1</v>
      </c>
      <c r="K94" s="25"/>
      <c r="L94" s="25">
        <v>2</v>
      </c>
      <c r="M94"/>
      <c r="N94"/>
      <c r="R94" s="31"/>
      <c r="S94" s="31"/>
      <c r="T94" s="31"/>
      <c r="U94" s="31"/>
      <c r="V94" s="31"/>
      <c r="W94" s="31"/>
      <c r="X94" s="31"/>
      <c r="Y94" s="31"/>
    </row>
    <row r="95" spans="1:25">
      <c r="A95" s="38">
        <v>4</v>
      </c>
      <c r="B95" s="25"/>
      <c r="C95" s="25">
        <v>2</v>
      </c>
      <c r="D95" s="25">
        <v>2</v>
      </c>
      <c r="E95"/>
      <c r="F95"/>
      <c r="H95" s="38">
        <v>4</v>
      </c>
      <c r="I95" s="25">
        <v>1</v>
      </c>
      <c r="J95" s="25"/>
      <c r="K95" s="25">
        <v>1</v>
      </c>
      <c r="L95" s="25">
        <v>2</v>
      </c>
      <c r="M95"/>
      <c r="N95"/>
      <c r="R95" s="31"/>
      <c r="S95" s="31"/>
      <c r="T95" s="31"/>
      <c r="U95" s="31"/>
      <c r="V95" s="31"/>
      <c r="W95" s="31"/>
      <c r="X95" s="31"/>
      <c r="Y95" s="31"/>
    </row>
    <row r="96" spans="1:25">
      <c r="A96" s="38">
        <v>5</v>
      </c>
      <c r="B96" s="25">
        <v>3</v>
      </c>
      <c r="C96" s="25">
        <v>1</v>
      </c>
      <c r="D96" s="25">
        <v>4</v>
      </c>
      <c r="E96"/>
      <c r="F96"/>
      <c r="G96" s="31"/>
      <c r="H96" s="38">
        <v>5</v>
      </c>
      <c r="I96" s="25">
        <v>4</v>
      </c>
      <c r="J96" s="25"/>
      <c r="K96" s="25"/>
      <c r="L96" s="25">
        <v>4</v>
      </c>
      <c r="M96"/>
      <c r="N96"/>
      <c r="R96" s="31"/>
      <c r="S96" s="31"/>
      <c r="T96" s="31"/>
      <c r="U96" s="31"/>
      <c r="V96" s="31"/>
      <c r="W96" s="31"/>
      <c r="X96" s="31"/>
      <c r="Y96" s="31"/>
    </row>
    <row r="97" spans="1:25">
      <c r="A97" s="38" t="s">
        <v>161</v>
      </c>
      <c r="B97" s="25">
        <v>7</v>
      </c>
      <c r="C97" s="25">
        <v>8</v>
      </c>
      <c r="D97" s="25">
        <v>15</v>
      </c>
      <c r="E97"/>
      <c r="F97"/>
      <c r="H97" s="38" t="s">
        <v>161</v>
      </c>
      <c r="I97" s="25">
        <v>9</v>
      </c>
      <c r="J97" s="25">
        <v>4</v>
      </c>
      <c r="K97" s="25">
        <v>2</v>
      </c>
      <c r="L97" s="25">
        <v>15</v>
      </c>
      <c r="M97"/>
      <c r="N97"/>
      <c r="R97" s="31"/>
      <c r="S97" s="31"/>
      <c r="T97" s="31"/>
      <c r="U97" s="31"/>
      <c r="V97" s="31"/>
      <c r="W97" s="31"/>
      <c r="X97" s="31"/>
      <c r="Y97" s="31"/>
    </row>
    <row r="98" spans="1:25">
      <c r="A98"/>
      <c r="B98"/>
      <c r="C98"/>
      <c r="D98"/>
      <c r="E98"/>
      <c r="F98"/>
      <c r="H98"/>
      <c r="I98"/>
      <c r="J98"/>
      <c r="K98"/>
      <c r="L98"/>
      <c r="M98"/>
      <c r="N98"/>
    </row>
    <row r="99" spans="1:25">
      <c r="A99"/>
      <c r="B99"/>
      <c r="C99"/>
      <c r="D99"/>
      <c r="E99"/>
      <c r="F99"/>
      <c r="H99"/>
      <c r="I99"/>
      <c r="J99"/>
      <c r="K99"/>
      <c r="L99"/>
      <c r="M99"/>
      <c r="N99"/>
    </row>
    <row r="100" spans="1:25">
      <c r="A100"/>
      <c r="B100"/>
      <c r="C100"/>
      <c r="D100"/>
      <c r="E100"/>
      <c r="F100"/>
      <c r="H100"/>
      <c r="I100"/>
      <c r="J100"/>
      <c r="K100"/>
      <c r="L100"/>
      <c r="M100"/>
      <c r="N100"/>
    </row>
    <row r="101" spans="1:25">
      <c r="A101" s="39" t="s">
        <v>285</v>
      </c>
      <c r="B101"/>
      <c r="C101"/>
      <c r="D101"/>
      <c r="E101"/>
      <c r="F101"/>
      <c r="H101" s="39" t="s">
        <v>335</v>
      </c>
      <c r="I101"/>
      <c r="J101"/>
      <c r="K101"/>
      <c r="L101"/>
      <c r="M101"/>
      <c r="N101"/>
    </row>
    <row r="102" spans="1:25">
      <c r="A102" s="37" t="s">
        <v>110</v>
      </c>
      <c r="B102" s="37" t="s">
        <v>282</v>
      </c>
      <c r="C102"/>
      <c r="D102"/>
      <c r="E102"/>
      <c r="F102"/>
      <c r="G102"/>
      <c r="H102" s="37" t="s">
        <v>110</v>
      </c>
      <c r="I102" s="37" t="s">
        <v>282</v>
      </c>
      <c r="J102"/>
      <c r="K102"/>
      <c r="L102"/>
      <c r="M102"/>
      <c r="N102"/>
    </row>
    <row r="103" spans="1:25">
      <c r="A103" s="37" t="s">
        <v>281</v>
      </c>
      <c r="B103">
        <v>1</v>
      </c>
      <c r="C103">
        <v>2</v>
      </c>
      <c r="D103" t="s">
        <v>161</v>
      </c>
      <c r="E103"/>
      <c r="F103"/>
      <c r="G103"/>
      <c r="H103" s="37" t="s">
        <v>281</v>
      </c>
      <c r="I103">
        <v>1</v>
      </c>
      <c r="J103">
        <v>2</v>
      </c>
      <c r="K103">
        <v>3</v>
      </c>
      <c r="L103" t="s">
        <v>161</v>
      </c>
      <c r="M103"/>
      <c r="N103"/>
    </row>
    <row r="104" spans="1:25">
      <c r="A104" s="38">
        <v>1</v>
      </c>
      <c r="B104" s="25">
        <v>1</v>
      </c>
      <c r="C104" s="25">
        <v>1</v>
      </c>
      <c r="D104" s="25">
        <v>2</v>
      </c>
      <c r="E104"/>
      <c r="F104"/>
      <c r="G104"/>
      <c r="H104" s="38">
        <v>1</v>
      </c>
      <c r="I104" s="25">
        <v>2</v>
      </c>
      <c r="J104" s="25"/>
      <c r="K104" s="25"/>
      <c r="L104" s="25">
        <v>2</v>
      </c>
      <c r="M104"/>
      <c r="N104"/>
      <c r="R104" s="31"/>
      <c r="S104" s="31"/>
      <c r="T104" s="31"/>
      <c r="U104" s="31"/>
      <c r="V104" s="31"/>
      <c r="W104" s="31"/>
      <c r="X104" s="31"/>
    </row>
    <row r="105" spans="1:25">
      <c r="A105" s="38">
        <v>2</v>
      </c>
      <c r="B105" s="25">
        <v>1</v>
      </c>
      <c r="C105" s="25">
        <v>4</v>
      </c>
      <c r="D105" s="25">
        <v>5</v>
      </c>
      <c r="E105"/>
      <c r="F105"/>
      <c r="G105" s="31"/>
      <c r="H105" s="38">
        <v>2</v>
      </c>
      <c r="I105" s="25">
        <v>2</v>
      </c>
      <c r="J105" s="25">
        <v>2</v>
      </c>
      <c r="K105" s="25">
        <v>1</v>
      </c>
      <c r="L105" s="25">
        <v>5</v>
      </c>
      <c r="M105"/>
      <c r="N105"/>
      <c r="R105" s="31"/>
      <c r="S105" s="31"/>
      <c r="T105" s="31"/>
      <c r="U105" s="31"/>
      <c r="V105" s="31"/>
      <c r="W105" s="31"/>
      <c r="X105" s="31"/>
    </row>
    <row r="106" spans="1:25">
      <c r="A106" s="38">
        <v>3</v>
      </c>
      <c r="B106" s="25">
        <v>1</v>
      </c>
      <c r="C106" s="25">
        <v>1</v>
      </c>
      <c r="D106" s="25">
        <v>2</v>
      </c>
      <c r="E106"/>
      <c r="F106"/>
      <c r="H106" s="38">
        <v>3</v>
      </c>
      <c r="I106" s="25">
        <v>1</v>
      </c>
      <c r="J106" s="25">
        <v>1</v>
      </c>
      <c r="K106" s="25"/>
      <c r="L106" s="25">
        <v>2</v>
      </c>
      <c r="M106"/>
      <c r="N106"/>
      <c r="R106" s="31"/>
      <c r="S106" s="31"/>
      <c r="T106" s="31"/>
      <c r="U106" s="31"/>
      <c r="V106" s="31"/>
      <c r="W106" s="31"/>
      <c r="X106" s="31"/>
    </row>
    <row r="107" spans="1:25">
      <c r="A107" s="38">
        <v>4</v>
      </c>
      <c r="B107" s="25">
        <v>1</v>
      </c>
      <c r="C107" s="25">
        <v>1</v>
      </c>
      <c r="D107" s="25">
        <v>2</v>
      </c>
      <c r="E107"/>
      <c r="F107"/>
      <c r="H107" s="38">
        <v>4</v>
      </c>
      <c r="I107" s="25">
        <v>2</v>
      </c>
      <c r="J107" s="25"/>
      <c r="K107" s="25"/>
      <c r="L107" s="25">
        <v>2</v>
      </c>
      <c r="M107"/>
      <c r="N107"/>
      <c r="R107" s="31"/>
      <c r="S107" s="31"/>
      <c r="T107" s="31"/>
      <c r="U107" s="31"/>
      <c r="V107" s="31"/>
      <c r="W107" s="31"/>
      <c r="X107" s="31"/>
    </row>
    <row r="108" spans="1:25">
      <c r="A108" s="38">
        <v>5</v>
      </c>
      <c r="B108" s="25">
        <v>3</v>
      </c>
      <c r="C108" s="25">
        <v>1</v>
      </c>
      <c r="D108" s="25">
        <v>4</v>
      </c>
      <c r="E108"/>
      <c r="F108"/>
      <c r="H108" s="38">
        <v>5</v>
      </c>
      <c r="I108" s="25">
        <v>2</v>
      </c>
      <c r="J108" s="25">
        <v>1</v>
      </c>
      <c r="K108" s="25">
        <v>1</v>
      </c>
      <c r="L108" s="25">
        <v>4</v>
      </c>
      <c r="M108"/>
      <c r="N108"/>
      <c r="R108" s="31"/>
      <c r="S108" s="31"/>
      <c r="T108" s="31"/>
      <c r="U108" s="31"/>
      <c r="V108" s="31"/>
      <c r="W108" s="31"/>
      <c r="X108" s="31"/>
    </row>
    <row r="109" spans="1:25">
      <c r="A109" s="38" t="s">
        <v>161</v>
      </c>
      <c r="B109" s="25">
        <v>7</v>
      </c>
      <c r="C109" s="25">
        <v>8</v>
      </c>
      <c r="D109" s="25">
        <v>15</v>
      </c>
      <c r="E109"/>
      <c r="F109"/>
      <c r="H109" s="38" t="s">
        <v>161</v>
      </c>
      <c r="I109" s="25">
        <v>9</v>
      </c>
      <c r="J109" s="25">
        <v>4</v>
      </c>
      <c r="K109" s="25">
        <v>2</v>
      </c>
      <c r="L109" s="25">
        <v>15</v>
      </c>
      <c r="M109"/>
      <c r="N109"/>
    </row>
    <row r="110" spans="1:25">
      <c r="A110"/>
      <c r="B110"/>
      <c r="C110"/>
      <c r="D110"/>
      <c r="E110"/>
      <c r="F110"/>
      <c r="H110"/>
      <c r="I110"/>
      <c r="J110"/>
      <c r="K110"/>
      <c r="L110"/>
      <c r="M110"/>
      <c r="N110"/>
    </row>
    <row r="111" spans="1:25">
      <c r="A111"/>
      <c r="B111"/>
      <c r="C111"/>
      <c r="D111"/>
      <c r="E111"/>
      <c r="F111"/>
      <c r="H111"/>
      <c r="I111"/>
      <c r="J111"/>
      <c r="K111"/>
      <c r="L111"/>
      <c r="M111"/>
      <c r="N111"/>
    </row>
    <row r="112" spans="1:25">
      <c r="A112" s="39" t="s">
        <v>652</v>
      </c>
      <c r="B112"/>
      <c r="C112"/>
      <c r="D112"/>
      <c r="E112"/>
      <c r="F112"/>
      <c r="H112" s="39" t="s">
        <v>653</v>
      </c>
      <c r="I112"/>
      <c r="J112"/>
      <c r="K112"/>
      <c r="L112"/>
      <c r="M112"/>
      <c r="N112"/>
    </row>
    <row r="113" spans="1:25">
      <c r="A113" s="37" t="s">
        <v>110</v>
      </c>
      <c r="B113" s="37" t="s">
        <v>282</v>
      </c>
      <c r="C113"/>
      <c r="D113"/>
      <c r="E113"/>
      <c r="F113"/>
      <c r="G113"/>
      <c r="H113" s="37" t="s">
        <v>110</v>
      </c>
      <c r="I113" s="37" t="s">
        <v>282</v>
      </c>
      <c r="J113"/>
      <c r="K113"/>
      <c r="L113"/>
      <c r="M113"/>
      <c r="N113"/>
      <c r="R113" s="31"/>
      <c r="S113" s="31"/>
      <c r="T113" s="31"/>
      <c r="U113" s="31"/>
      <c r="V113" s="31"/>
      <c r="W113" s="31"/>
      <c r="X113" s="31"/>
    </row>
    <row r="114" spans="1:25">
      <c r="A114" s="37" t="s">
        <v>281</v>
      </c>
      <c r="B114">
        <v>1</v>
      </c>
      <c r="C114">
        <v>2</v>
      </c>
      <c r="D114" t="s">
        <v>161</v>
      </c>
      <c r="E114"/>
      <c r="F114"/>
      <c r="G114"/>
      <c r="H114" s="37" t="s">
        <v>281</v>
      </c>
      <c r="I114">
        <v>1</v>
      </c>
      <c r="J114">
        <v>2</v>
      </c>
      <c r="K114">
        <v>3</v>
      </c>
      <c r="L114" t="s">
        <v>161</v>
      </c>
      <c r="M114"/>
      <c r="N114"/>
      <c r="R114" s="31"/>
      <c r="S114" s="31"/>
      <c r="T114" s="31"/>
      <c r="U114" s="31"/>
      <c r="V114" s="31"/>
      <c r="W114" s="31"/>
      <c r="X114" s="31"/>
    </row>
    <row r="115" spans="1:25">
      <c r="A115" s="38">
        <v>1</v>
      </c>
      <c r="B115" s="25">
        <v>1</v>
      </c>
      <c r="C115" s="25">
        <v>3</v>
      </c>
      <c r="D115" s="25">
        <v>4</v>
      </c>
      <c r="E115"/>
      <c r="F115"/>
      <c r="G115"/>
      <c r="H115" s="38">
        <v>1</v>
      </c>
      <c r="I115" s="25">
        <v>3</v>
      </c>
      <c r="J115" s="25"/>
      <c r="K115" s="25">
        <v>1</v>
      </c>
      <c r="L115" s="25">
        <v>4</v>
      </c>
      <c r="M115"/>
      <c r="N115"/>
      <c r="R115" s="31"/>
      <c r="S115" s="31"/>
      <c r="T115" s="31"/>
      <c r="U115" s="31"/>
      <c r="V115" s="31"/>
      <c r="W115" s="31"/>
      <c r="X115" s="31"/>
    </row>
    <row r="116" spans="1:25">
      <c r="A116" s="38">
        <v>2</v>
      </c>
      <c r="B116" s="25">
        <v>5</v>
      </c>
      <c r="C116" s="25">
        <v>1</v>
      </c>
      <c r="D116" s="25">
        <v>6</v>
      </c>
      <c r="E116"/>
      <c r="F116"/>
      <c r="H116" s="38">
        <v>2</v>
      </c>
      <c r="I116" s="25">
        <v>4</v>
      </c>
      <c r="J116" s="25">
        <v>1</v>
      </c>
      <c r="K116" s="25">
        <v>1</v>
      </c>
      <c r="L116" s="25">
        <v>6</v>
      </c>
      <c r="M116"/>
      <c r="N116"/>
    </row>
    <row r="117" spans="1:25">
      <c r="A117" s="38">
        <v>3</v>
      </c>
      <c r="B117" s="25">
        <v>1</v>
      </c>
      <c r="C117" s="25">
        <v>3</v>
      </c>
      <c r="D117" s="25">
        <v>4</v>
      </c>
      <c r="E117"/>
      <c r="F117"/>
      <c r="H117" s="38">
        <v>3</v>
      </c>
      <c r="I117" s="25">
        <v>2</v>
      </c>
      <c r="J117" s="25">
        <v>2</v>
      </c>
      <c r="K117" s="25"/>
      <c r="L117" s="25">
        <v>4</v>
      </c>
      <c r="M117"/>
      <c r="N117"/>
    </row>
    <row r="118" spans="1:25">
      <c r="A118" s="38">
        <v>4</v>
      </c>
      <c r="B118" s="25"/>
      <c r="C118" s="25">
        <v>1</v>
      </c>
      <c r="D118" s="25">
        <v>1</v>
      </c>
      <c r="E118"/>
      <c r="F118"/>
      <c r="H118" s="38">
        <v>4</v>
      </c>
      <c r="I118" s="25"/>
      <c r="J118" s="25">
        <v>1</v>
      </c>
      <c r="K118" s="25"/>
      <c r="L118" s="25">
        <v>1</v>
      </c>
      <c r="M118"/>
      <c r="N118"/>
    </row>
    <row r="119" spans="1:25">
      <c r="A119" s="38" t="s">
        <v>161</v>
      </c>
      <c r="B119" s="25">
        <v>7</v>
      </c>
      <c r="C119" s="25">
        <v>8</v>
      </c>
      <c r="D119" s="25">
        <v>15</v>
      </c>
      <c r="E119"/>
      <c r="F119"/>
      <c r="H119" s="38" t="s">
        <v>161</v>
      </c>
      <c r="I119" s="25">
        <v>9</v>
      </c>
      <c r="J119" s="25">
        <v>4</v>
      </c>
      <c r="K119" s="25">
        <v>2</v>
      </c>
      <c r="L119" s="25">
        <v>15</v>
      </c>
      <c r="M119"/>
      <c r="N119"/>
    </row>
    <row r="120" spans="1:25">
      <c r="A120"/>
      <c r="B120"/>
      <c r="C120"/>
      <c r="D120"/>
      <c r="E120"/>
      <c r="F120"/>
      <c r="H120"/>
      <c r="I120"/>
      <c r="J120"/>
      <c r="K120"/>
      <c r="L120"/>
      <c r="M120"/>
      <c r="N120"/>
      <c r="R120" s="31"/>
      <c r="S120" s="31"/>
      <c r="T120" s="31"/>
      <c r="U120" s="31"/>
      <c r="V120" s="31"/>
      <c r="W120" s="31"/>
      <c r="X120" s="31"/>
      <c r="Y120" s="31"/>
    </row>
    <row r="121" spans="1:25">
      <c r="A121"/>
      <c r="B121"/>
      <c r="C121"/>
      <c r="D121"/>
      <c r="E121"/>
      <c r="F121"/>
      <c r="H121"/>
      <c r="I121"/>
      <c r="J121"/>
      <c r="K121"/>
      <c r="L121"/>
      <c r="M121"/>
      <c r="N121"/>
      <c r="R121" s="31"/>
      <c r="S121" s="31"/>
      <c r="T121" s="31"/>
      <c r="U121" s="31"/>
      <c r="V121" s="31"/>
      <c r="W121" s="31"/>
      <c r="X121" s="31"/>
      <c r="Y121" s="31"/>
    </row>
    <row r="122" spans="1:25">
      <c r="A122"/>
      <c r="B122"/>
      <c r="C122"/>
      <c r="D122"/>
      <c r="E122"/>
      <c r="F122"/>
      <c r="H122"/>
      <c r="I122"/>
      <c r="J122"/>
      <c r="K122"/>
      <c r="L122"/>
      <c r="M122"/>
      <c r="N122"/>
      <c r="R122" s="31"/>
      <c r="S122" s="31"/>
      <c r="T122" s="31"/>
      <c r="U122" s="31"/>
      <c r="V122" s="31"/>
      <c r="W122" s="31"/>
      <c r="X122" s="31"/>
      <c r="Y122" s="31"/>
    </row>
    <row r="123" spans="1:25">
      <c r="A123" s="39" t="s">
        <v>654</v>
      </c>
      <c r="B123"/>
      <c r="C123"/>
      <c r="D123"/>
      <c r="E123"/>
      <c r="F123"/>
      <c r="H123" s="39" t="s">
        <v>655</v>
      </c>
      <c r="I123"/>
      <c r="J123"/>
      <c r="K123"/>
      <c r="L123"/>
      <c r="M123"/>
      <c r="N123"/>
      <c r="R123" s="31"/>
      <c r="S123" s="31"/>
      <c r="T123" s="31"/>
      <c r="U123" s="31"/>
      <c r="V123" s="31"/>
      <c r="W123" s="31"/>
      <c r="X123" s="31"/>
      <c r="Y123" s="31"/>
    </row>
    <row r="124" spans="1:25">
      <c r="A124" s="37" t="s">
        <v>110</v>
      </c>
      <c r="B124" s="37" t="s">
        <v>282</v>
      </c>
      <c r="C124"/>
      <c r="D124"/>
      <c r="E124"/>
      <c r="F124"/>
      <c r="G124"/>
      <c r="H124" s="37" t="s">
        <v>110</v>
      </c>
      <c r="I124" s="37" t="s">
        <v>282</v>
      </c>
      <c r="J124"/>
      <c r="K124"/>
      <c r="L124"/>
      <c r="M124"/>
      <c r="N124"/>
    </row>
    <row r="125" spans="1:25">
      <c r="A125" s="37" t="s">
        <v>281</v>
      </c>
      <c r="B125">
        <v>1</v>
      </c>
      <c r="C125">
        <v>2</v>
      </c>
      <c r="D125" t="s">
        <v>161</v>
      </c>
      <c r="E125"/>
      <c r="F125"/>
      <c r="G125"/>
      <c r="H125" s="37" t="s">
        <v>281</v>
      </c>
      <c r="I125">
        <v>1</v>
      </c>
      <c r="J125">
        <v>2</v>
      </c>
      <c r="K125">
        <v>3</v>
      </c>
      <c r="L125" t="s">
        <v>161</v>
      </c>
      <c r="M125"/>
      <c r="N125"/>
    </row>
    <row r="126" spans="1:25">
      <c r="A126" s="38">
        <v>1</v>
      </c>
      <c r="B126" s="25">
        <v>1</v>
      </c>
      <c r="C126" s="25">
        <v>3</v>
      </c>
      <c r="D126" s="25">
        <v>4</v>
      </c>
      <c r="E126"/>
      <c r="F126"/>
      <c r="G126"/>
      <c r="H126" s="38">
        <v>1</v>
      </c>
      <c r="I126" s="25">
        <v>2</v>
      </c>
      <c r="J126" s="25">
        <v>2</v>
      </c>
      <c r="K126" s="25"/>
      <c r="L126" s="25">
        <v>4</v>
      </c>
      <c r="M126"/>
      <c r="N126"/>
    </row>
    <row r="127" spans="1:25">
      <c r="A127" s="38">
        <v>2</v>
      </c>
      <c r="B127" s="25">
        <v>2</v>
      </c>
      <c r="C127" s="25">
        <v>4</v>
      </c>
      <c r="D127" s="25">
        <v>6</v>
      </c>
      <c r="E127"/>
      <c r="F127"/>
      <c r="H127" s="38">
        <v>2</v>
      </c>
      <c r="I127" s="25">
        <v>4</v>
      </c>
      <c r="J127" s="25"/>
      <c r="K127" s="25">
        <v>2</v>
      </c>
      <c r="L127" s="25">
        <v>6</v>
      </c>
      <c r="M127"/>
      <c r="N127"/>
      <c r="R127" s="31"/>
    </row>
    <row r="128" spans="1:25">
      <c r="A128" s="38">
        <v>3</v>
      </c>
      <c r="B128" s="25">
        <v>4</v>
      </c>
      <c r="C128" s="25"/>
      <c r="D128" s="25">
        <v>4</v>
      </c>
      <c r="E128"/>
      <c r="F128"/>
      <c r="H128" s="38">
        <v>3</v>
      </c>
      <c r="I128" s="25">
        <v>3</v>
      </c>
      <c r="J128" s="25">
        <v>1</v>
      </c>
      <c r="K128" s="25"/>
      <c r="L128" s="25">
        <v>4</v>
      </c>
      <c r="M128"/>
      <c r="N128"/>
    </row>
    <row r="129" spans="1:18">
      <c r="A129" s="38">
        <v>4</v>
      </c>
      <c r="B129" s="25"/>
      <c r="C129" s="25">
        <v>1</v>
      </c>
      <c r="D129" s="25">
        <v>1</v>
      </c>
      <c r="E129"/>
      <c r="F129"/>
      <c r="H129" s="38">
        <v>4</v>
      </c>
      <c r="I129" s="25"/>
      <c r="J129" s="25">
        <v>1</v>
      </c>
      <c r="K129" s="25"/>
      <c r="L129" s="25">
        <v>1</v>
      </c>
      <c r="M129"/>
      <c r="N129"/>
    </row>
    <row r="130" spans="1:18">
      <c r="A130" s="38" t="s">
        <v>161</v>
      </c>
      <c r="B130" s="25">
        <v>7</v>
      </c>
      <c r="C130" s="25">
        <v>8</v>
      </c>
      <c r="D130" s="25">
        <v>15</v>
      </c>
      <c r="E130"/>
      <c r="F130"/>
      <c r="H130" s="38" t="s">
        <v>161</v>
      </c>
      <c r="I130" s="25">
        <v>9</v>
      </c>
      <c r="J130" s="25">
        <v>4</v>
      </c>
      <c r="K130" s="25">
        <v>2</v>
      </c>
      <c r="L130" s="25">
        <v>15</v>
      </c>
      <c r="M130"/>
      <c r="N130"/>
    </row>
    <row r="131" spans="1:18">
      <c r="A131"/>
      <c r="B131"/>
      <c r="C131"/>
      <c r="D131"/>
      <c r="E131"/>
      <c r="F131"/>
      <c r="H131"/>
      <c r="I131"/>
      <c r="J131"/>
      <c r="K131"/>
      <c r="L131"/>
      <c r="M131"/>
      <c r="N131"/>
    </row>
    <row r="132" spans="1:18">
      <c r="A132"/>
      <c r="B132"/>
      <c r="C132"/>
      <c r="D132"/>
      <c r="E132"/>
      <c r="F132"/>
      <c r="H132"/>
      <c r="I132"/>
      <c r="J132"/>
      <c r="K132"/>
      <c r="L132"/>
      <c r="M132"/>
      <c r="N132"/>
    </row>
    <row r="133" spans="1:18">
      <c r="A133"/>
      <c r="B133"/>
      <c r="C133"/>
      <c r="D133"/>
      <c r="E133"/>
      <c r="F133"/>
      <c r="G133" s="31"/>
      <c r="H133"/>
      <c r="I133"/>
      <c r="J133"/>
      <c r="K133"/>
      <c r="L133"/>
      <c r="M133"/>
      <c r="N133"/>
    </row>
    <row r="134" spans="1:18">
      <c r="A134" s="39" t="s">
        <v>656</v>
      </c>
      <c r="B134"/>
      <c r="C134"/>
      <c r="D134"/>
      <c r="E134"/>
      <c r="F134"/>
      <c r="H134" s="39" t="s">
        <v>657</v>
      </c>
      <c r="I134"/>
      <c r="J134"/>
      <c r="K134"/>
      <c r="L134"/>
      <c r="M134"/>
      <c r="N134"/>
    </row>
    <row r="135" spans="1:18">
      <c r="A135" s="37" t="s">
        <v>110</v>
      </c>
      <c r="B135" s="37" t="s">
        <v>282</v>
      </c>
      <c r="C135"/>
      <c r="D135"/>
      <c r="E135"/>
      <c r="F135"/>
      <c r="G135"/>
      <c r="H135" s="37" t="s">
        <v>110</v>
      </c>
      <c r="I135" s="37" t="s">
        <v>282</v>
      </c>
      <c r="J135"/>
      <c r="K135"/>
      <c r="L135"/>
      <c r="M135"/>
      <c r="N135"/>
    </row>
    <row r="136" spans="1:18">
      <c r="A136" s="37" t="s">
        <v>281</v>
      </c>
      <c r="B136">
        <v>1</v>
      </c>
      <c r="C136">
        <v>2</v>
      </c>
      <c r="D136" t="s">
        <v>161</v>
      </c>
      <c r="E136"/>
      <c r="F136"/>
      <c r="G136"/>
      <c r="H136" s="37" t="s">
        <v>281</v>
      </c>
      <c r="I136">
        <v>1</v>
      </c>
      <c r="J136">
        <v>2</v>
      </c>
      <c r="K136">
        <v>3</v>
      </c>
      <c r="L136" t="s">
        <v>161</v>
      </c>
      <c r="M136"/>
      <c r="N136"/>
    </row>
    <row r="137" spans="1:18">
      <c r="A137" s="38">
        <v>1</v>
      </c>
      <c r="B137" s="25"/>
      <c r="C137" s="25">
        <v>1</v>
      </c>
      <c r="D137" s="25">
        <v>1</v>
      </c>
      <c r="E137"/>
      <c r="F137"/>
      <c r="G137"/>
      <c r="H137" s="38">
        <v>1</v>
      </c>
      <c r="I137" s="25"/>
      <c r="J137" s="25">
        <v>1</v>
      </c>
      <c r="K137" s="25"/>
      <c r="L137" s="25">
        <v>1</v>
      </c>
      <c r="M137"/>
      <c r="N137"/>
    </row>
    <row r="138" spans="1:18">
      <c r="A138" s="38">
        <v>2</v>
      </c>
      <c r="B138" s="25">
        <v>3</v>
      </c>
      <c r="C138" s="25">
        <v>4</v>
      </c>
      <c r="D138" s="25">
        <v>7</v>
      </c>
      <c r="E138"/>
      <c r="F138"/>
      <c r="H138" s="38">
        <v>2</v>
      </c>
      <c r="I138" s="25">
        <v>5</v>
      </c>
      <c r="J138" s="25">
        <v>1</v>
      </c>
      <c r="K138" s="25">
        <v>1</v>
      </c>
      <c r="L138" s="25">
        <v>7</v>
      </c>
      <c r="M138"/>
      <c r="N138"/>
    </row>
    <row r="139" spans="1:18">
      <c r="A139" s="38">
        <v>3</v>
      </c>
      <c r="B139" s="25">
        <v>3</v>
      </c>
      <c r="C139" s="25">
        <v>1</v>
      </c>
      <c r="D139" s="25">
        <v>4</v>
      </c>
      <c r="E139"/>
      <c r="F139"/>
      <c r="H139" s="38">
        <v>3</v>
      </c>
      <c r="I139" s="25">
        <v>2</v>
      </c>
      <c r="J139" s="25">
        <v>1</v>
      </c>
      <c r="K139" s="25">
        <v>1</v>
      </c>
      <c r="L139" s="25">
        <v>4</v>
      </c>
      <c r="M139"/>
      <c r="N139"/>
    </row>
    <row r="140" spans="1:18">
      <c r="A140" s="38">
        <v>4</v>
      </c>
      <c r="B140" s="25">
        <v>1</v>
      </c>
      <c r="C140" s="25">
        <v>2</v>
      </c>
      <c r="D140" s="25">
        <v>3</v>
      </c>
      <c r="E140"/>
      <c r="F140"/>
      <c r="H140" s="38">
        <v>4</v>
      </c>
      <c r="I140" s="25">
        <v>2</v>
      </c>
      <c r="J140" s="25">
        <v>1</v>
      </c>
      <c r="K140" s="25"/>
      <c r="L140" s="25">
        <v>3</v>
      </c>
      <c r="M140"/>
      <c r="N140"/>
    </row>
    <row r="141" spans="1:18">
      <c r="A141" s="38" t="s">
        <v>161</v>
      </c>
      <c r="B141" s="25">
        <v>7</v>
      </c>
      <c r="C141" s="25">
        <v>8</v>
      </c>
      <c r="D141" s="25">
        <v>15</v>
      </c>
      <c r="E141"/>
      <c r="F141"/>
      <c r="H141" s="38" t="s">
        <v>161</v>
      </c>
      <c r="I141" s="25">
        <v>9</v>
      </c>
      <c r="J141" s="25">
        <v>4</v>
      </c>
      <c r="K141" s="25">
        <v>2</v>
      </c>
      <c r="L141" s="25">
        <v>15</v>
      </c>
      <c r="M141"/>
      <c r="N141"/>
    </row>
    <row r="142" spans="1:18">
      <c r="A142"/>
      <c r="B142"/>
      <c r="C142"/>
      <c r="D142"/>
      <c r="E142"/>
      <c r="F142"/>
      <c r="G142" s="31"/>
      <c r="H142"/>
      <c r="I142"/>
      <c r="J142"/>
      <c r="K142"/>
      <c r="L142"/>
      <c r="M142"/>
      <c r="N142"/>
    </row>
    <row r="143" spans="1:18">
      <c r="A143"/>
      <c r="B143"/>
      <c r="C143"/>
      <c r="D143"/>
      <c r="E143"/>
      <c r="F143"/>
      <c r="H143"/>
      <c r="I143"/>
      <c r="J143"/>
      <c r="K143"/>
      <c r="L143"/>
      <c r="M143"/>
      <c r="N143"/>
      <c r="R143" s="31"/>
    </row>
    <row r="144" spans="1:18">
      <c r="A144"/>
      <c r="B144"/>
      <c r="C144"/>
      <c r="D144"/>
      <c r="E144"/>
      <c r="F144"/>
      <c r="H144"/>
      <c r="I144"/>
      <c r="J144"/>
      <c r="K144"/>
      <c r="L144"/>
      <c r="M144"/>
      <c r="N144"/>
      <c r="R144" s="31"/>
    </row>
    <row r="145" spans="1:18">
      <c r="A145" s="39" t="s">
        <v>658</v>
      </c>
      <c r="B145"/>
      <c r="C145"/>
      <c r="D145"/>
      <c r="E145"/>
      <c r="F145"/>
      <c r="H145" s="39" t="s">
        <v>659</v>
      </c>
      <c r="I145"/>
      <c r="J145"/>
      <c r="K145"/>
      <c r="L145"/>
      <c r="M145"/>
      <c r="N145"/>
      <c r="R145" s="31"/>
    </row>
    <row r="146" spans="1:18">
      <c r="A146" s="37" t="s">
        <v>110</v>
      </c>
      <c r="B146" s="37" t="s">
        <v>282</v>
      </c>
      <c r="C146"/>
      <c r="D146"/>
      <c r="E146"/>
      <c r="F146"/>
      <c r="G146"/>
      <c r="H146" s="37" t="s">
        <v>110</v>
      </c>
      <c r="I146" s="37" t="s">
        <v>282</v>
      </c>
      <c r="J146"/>
      <c r="K146"/>
      <c r="L146"/>
      <c r="M146"/>
      <c r="N146"/>
      <c r="R146" s="31"/>
    </row>
    <row r="147" spans="1:18">
      <c r="A147" s="37" t="s">
        <v>281</v>
      </c>
      <c r="B147">
        <v>1</v>
      </c>
      <c r="C147">
        <v>2</v>
      </c>
      <c r="D147" t="s">
        <v>161</v>
      </c>
      <c r="E147"/>
      <c r="F147"/>
      <c r="G147"/>
      <c r="H147" s="37" t="s">
        <v>281</v>
      </c>
      <c r="I147">
        <v>1</v>
      </c>
      <c r="J147">
        <v>2</v>
      </c>
      <c r="K147">
        <v>3</v>
      </c>
      <c r="L147" t="s">
        <v>161</v>
      </c>
      <c r="M147"/>
      <c r="N147"/>
    </row>
    <row r="148" spans="1:18">
      <c r="A148" s="38">
        <v>1</v>
      </c>
      <c r="B148" s="25">
        <v>2</v>
      </c>
      <c r="C148" s="25">
        <v>2</v>
      </c>
      <c r="D148" s="25">
        <v>4</v>
      </c>
      <c r="E148"/>
      <c r="F148"/>
      <c r="G148"/>
      <c r="H148" s="38">
        <v>1</v>
      </c>
      <c r="I148" s="25">
        <v>2</v>
      </c>
      <c r="J148" s="25">
        <v>2</v>
      </c>
      <c r="K148" s="25"/>
      <c r="L148" s="25">
        <v>4</v>
      </c>
      <c r="M148"/>
      <c r="N148"/>
    </row>
    <row r="149" spans="1:18">
      <c r="A149" s="38">
        <v>2</v>
      </c>
      <c r="B149" s="25">
        <v>3</v>
      </c>
      <c r="C149" s="25">
        <v>5</v>
      </c>
      <c r="D149" s="25">
        <v>8</v>
      </c>
      <c r="E149"/>
      <c r="F149"/>
      <c r="H149" s="38">
        <v>2</v>
      </c>
      <c r="I149" s="25">
        <v>5</v>
      </c>
      <c r="J149" s="25">
        <v>2</v>
      </c>
      <c r="K149" s="25">
        <v>1</v>
      </c>
      <c r="L149" s="25">
        <v>8</v>
      </c>
      <c r="M149"/>
      <c r="N149"/>
    </row>
    <row r="150" spans="1:18">
      <c r="A150" s="38">
        <v>3</v>
      </c>
      <c r="B150" s="25">
        <v>1</v>
      </c>
      <c r="C150" s="25">
        <v>1</v>
      </c>
      <c r="D150" s="25">
        <v>2</v>
      </c>
      <c r="E150"/>
      <c r="F150"/>
      <c r="H150" s="38">
        <v>3</v>
      </c>
      <c r="I150" s="25">
        <v>1</v>
      </c>
      <c r="J150" s="25"/>
      <c r="K150" s="25">
        <v>1</v>
      </c>
      <c r="L150" s="25">
        <v>2</v>
      </c>
      <c r="M150"/>
      <c r="N150"/>
    </row>
    <row r="151" spans="1:18">
      <c r="A151" s="38">
        <v>4</v>
      </c>
      <c r="B151" s="25">
        <v>1</v>
      </c>
      <c r="C151" s="25"/>
      <c r="D151" s="25">
        <v>1</v>
      </c>
      <c r="E151"/>
      <c r="F151"/>
      <c r="G151" s="31"/>
      <c r="H151" s="38">
        <v>4</v>
      </c>
      <c r="I151" s="25">
        <v>1</v>
      </c>
      <c r="J151" s="25"/>
      <c r="K151" s="25"/>
      <c r="L151" s="25">
        <v>1</v>
      </c>
      <c r="M151"/>
      <c r="N151"/>
      <c r="R151" s="31"/>
    </row>
    <row r="152" spans="1:18">
      <c r="A152" s="38" t="s">
        <v>161</v>
      </c>
      <c r="B152" s="25">
        <v>7</v>
      </c>
      <c r="C152" s="25">
        <v>8</v>
      </c>
      <c r="D152" s="25">
        <v>15</v>
      </c>
      <c r="E152"/>
      <c r="F152"/>
      <c r="H152" s="38" t="s">
        <v>161</v>
      </c>
      <c r="I152" s="25">
        <v>9</v>
      </c>
      <c r="J152" s="25">
        <v>4</v>
      </c>
      <c r="K152" s="25">
        <v>2</v>
      </c>
      <c r="L152" s="25">
        <v>15</v>
      </c>
      <c r="M152"/>
      <c r="N152"/>
      <c r="R152" s="31"/>
    </row>
    <row r="153" spans="1:18">
      <c r="A153"/>
      <c r="B153"/>
      <c r="C153"/>
      <c r="D153"/>
      <c r="E153"/>
      <c r="F153"/>
      <c r="H153"/>
      <c r="I153"/>
      <c r="J153"/>
      <c r="K153"/>
      <c r="L153"/>
      <c r="M153"/>
      <c r="N153"/>
      <c r="R153" s="31"/>
    </row>
    <row r="154" spans="1:18">
      <c r="A154"/>
      <c r="B154"/>
      <c r="C154"/>
      <c r="D154"/>
      <c r="E154"/>
      <c r="F154"/>
      <c r="H154"/>
      <c r="I154"/>
      <c r="J154"/>
      <c r="K154"/>
      <c r="L154"/>
      <c r="M154"/>
      <c r="N154"/>
      <c r="R154" s="31"/>
    </row>
    <row r="155" spans="1:18">
      <c r="A155"/>
      <c r="B155"/>
      <c r="C155"/>
      <c r="D155"/>
      <c r="E155"/>
      <c r="F155"/>
      <c r="H155"/>
      <c r="I155"/>
      <c r="J155"/>
      <c r="K155"/>
      <c r="L155"/>
      <c r="M155"/>
      <c r="N155"/>
      <c r="R155" s="31"/>
    </row>
    <row r="156" spans="1:18">
      <c r="A156" s="39" t="s">
        <v>660</v>
      </c>
      <c r="B156"/>
      <c r="C156"/>
      <c r="D156"/>
      <c r="E156"/>
      <c r="F156"/>
      <c r="H156" s="39" t="s">
        <v>660</v>
      </c>
      <c r="I156"/>
      <c r="J156"/>
      <c r="K156"/>
      <c r="L156"/>
      <c r="M156"/>
      <c r="N156"/>
      <c r="R156" s="31"/>
    </row>
    <row r="157" spans="1:18">
      <c r="A157" s="37" t="s">
        <v>110</v>
      </c>
      <c r="B157" s="37" t="s">
        <v>282</v>
      </c>
      <c r="C157"/>
      <c r="D157"/>
      <c r="E157"/>
      <c r="F157"/>
      <c r="G157"/>
      <c r="H157" s="37" t="s">
        <v>110</v>
      </c>
      <c r="I157" s="37" t="s">
        <v>282</v>
      </c>
      <c r="J157"/>
      <c r="K157"/>
      <c r="L157"/>
      <c r="M157"/>
      <c r="N157"/>
    </row>
    <row r="158" spans="1:18">
      <c r="A158" s="37" t="s">
        <v>281</v>
      </c>
      <c r="B158">
        <v>1</v>
      </c>
      <c r="C158">
        <v>2</v>
      </c>
      <c r="D158" t="s">
        <v>161</v>
      </c>
      <c r="E158"/>
      <c r="F158"/>
      <c r="G158"/>
      <c r="H158" s="37" t="s">
        <v>281</v>
      </c>
      <c r="I158">
        <v>1</v>
      </c>
      <c r="J158">
        <v>2</v>
      </c>
      <c r="K158">
        <v>3</v>
      </c>
      <c r="L158" t="s">
        <v>161</v>
      </c>
      <c r="M158"/>
      <c r="N158"/>
    </row>
    <row r="159" spans="1:18">
      <c r="A159" s="38">
        <v>1</v>
      </c>
      <c r="B159" s="25">
        <v>1</v>
      </c>
      <c r="C159" s="25">
        <v>1</v>
      </c>
      <c r="D159" s="25">
        <v>2</v>
      </c>
      <c r="E159"/>
      <c r="F159"/>
      <c r="G159"/>
      <c r="H159" s="38">
        <v>1</v>
      </c>
      <c r="I159" s="25">
        <v>2</v>
      </c>
      <c r="J159" s="25"/>
      <c r="K159" s="25"/>
      <c r="L159" s="25">
        <v>2</v>
      </c>
      <c r="M159"/>
      <c r="N159"/>
    </row>
    <row r="160" spans="1:18">
      <c r="A160" s="38">
        <v>2</v>
      </c>
      <c r="B160" s="25">
        <v>2</v>
      </c>
      <c r="C160" s="25">
        <v>5</v>
      </c>
      <c r="D160" s="25">
        <v>7</v>
      </c>
      <c r="E160"/>
      <c r="F160"/>
      <c r="G160" s="31"/>
      <c r="H160" s="38">
        <v>2</v>
      </c>
      <c r="I160" s="25">
        <v>4</v>
      </c>
      <c r="J160" s="25">
        <v>3</v>
      </c>
      <c r="K160" s="25"/>
      <c r="L160" s="25">
        <v>7</v>
      </c>
      <c r="M160"/>
      <c r="N160"/>
    </row>
    <row r="161" spans="1:18">
      <c r="A161" s="38">
        <v>3</v>
      </c>
      <c r="B161" s="25">
        <v>2</v>
      </c>
      <c r="C161" s="25">
        <v>1</v>
      </c>
      <c r="D161" s="25">
        <v>3</v>
      </c>
      <c r="E161"/>
      <c r="F161"/>
      <c r="H161" s="38">
        <v>3</v>
      </c>
      <c r="I161" s="25">
        <v>1</v>
      </c>
      <c r="J161" s="25">
        <v>1</v>
      </c>
      <c r="K161" s="25">
        <v>1</v>
      </c>
      <c r="L161" s="25">
        <v>3</v>
      </c>
      <c r="M161"/>
      <c r="N161"/>
    </row>
    <row r="162" spans="1:18">
      <c r="A162" s="38">
        <v>4</v>
      </c>
      <c r="B162" s="25">
        <v>2</v>
      </c>
      <c r="C162" s="25">
        <v>1</v>
      </c>
      <c r="D162" s="25">
        <v>3</v>
      </c>
      <c r="E162"/>
      <c r="F162"/>
      <c r="H162" s="38">
        <v>4</v>
      </c>
      <c r="I162" s="25">
        <v>2</v>
      </c>
      <c r="J162" s="25"/>
      <c r="K162" s="25">
        <v>1</v>
      </c>
      <c r="L162" s="25">
        <v>3</v>
      </c>
      <c r="M162"/>
      <c r="N162"/>
    </row>
    <row r="163" spans="1:18">
      <c r="A163" s="38" t="s">
        <v>161</v>
      </c>
      <c r="B163" s="25">
        <v>7</v>
      </c>
      <c r="C163" s="25">
        <v>8</v>
      </c>
      <c r="D163" s="25">
        <v>15</v>
      </c>
      <c r="E163"/>
      <c r="F163"/>
      <c r="H163" s="38" t="s">
        <v>161</v>
      </c>
      <c r="I163" s="25">
        <v>9</v>
      </c>
      <c r="J163" s="25">
        <v>4</v>
      </c>
      <c r="K163" s="25">
        <v>2</v>
      </c>
      <c r="L163" s="25">
        <v>15</v>
      </c>
      <c r="M163"/>
      <c r="N163"/>
      <c r="R163" s="31"/>
    </row>
    <row r="164" spans="1:18">
      <c r="A164"/>
      <c r="B164"/>
      <c r="C164"/>
      <c r="D164"/>
      <c r="E164"/>
      <c r="F164"/>
      <c r="H164"/>
      <c r="I164"/>
      <c r="J164"/>
      <c r="K164"/>
      <c r="L164"/>
      <c r="M164"/>
      <c r="N164"/>
      <c r="R164" s="31"/>
    </row>
    <row r="165" spans="1:18">
      <c r="A165"/>
      <c r="B165"/>
      <c r="C165"/>
      <c r="D165"/>
      <c r="E165"/>
      <c r="F165"/>
      <c r="H165"/>
      <c r="I165"/>
      <c r="J165"/>
      <c r="K165"/>
      <c r="L165"/>
      <c r="M165"/>
      <c r="N165"/>
      <c r="R165" s="31"/>
    </row>
    <row r="166" spans="1:18">
      <c r="A166"/>
      <c r="B166"/>
      <c r="C166"/>
      <c r="D166"/>
      <c r="E166"/>
      <c r="F166"/>
      <c r="H166"/>
      <c r="I166"/>
      <c r="J166"/>
      <c r="K166"/>
      <c r="L166"/>
      <c r="M166"/>
      <c r="N166"/>
      <c r="R166" s="31"/>
    </row>
    <row r="167" spans="1:18">
      <c r="A167" s="39" t="s">
        <v>661</v>
      </c>
      <c r="B167"/>
      <c r="C167"/>
      <c r="D167"/>
      <c r="E167"/>
      <c r="F167"/>
      <c r="H167" s="39" t="s">
        <v>662</v>
      </c>
      <c r="I167"/>
      <c r="J167"/>
      <c r="K167"/>
      <c r="L167"/>
      <c r="M167"/>
      <c r="N167"/>
      <c r="R167" s="31"/>
    </row>
    <row r="168" spans="1:18">
      <c r="A168" s="37" t="s">
        <v>110</v>
      </c>
      <c r="B168" s="37" t="s">
        <v>282</v>
      </c>
      <c r="C168"/>
      <c r="D168"/>
      <c r="E168"/>
      <c r="F168"/>
      <c r="G168"/>
      <c r="H168" s="37" t="s">
        <v>110</v>
      </c>
      <c r="I168" s="37" t="s">
        <v>282</v>
      </c>
      <c r="J168"/>
      <c r="K168"/>
      <c r="L168"/>
      <c r="M168"/>
      <c r="N168"/>
    </row>
    <row r="169" spans="1:18">
      <c r="A169" s="37" t="s">
        <v>281</v>
      </c>
      <c r="B169">
        <v>1</v>
      </c>
      <c r="C169">
        <v>2</v>
      </c>
      <c r="D169" t="s">
        <v>161</v>
      </c>
      <c r="E169"/>
      <c r="F169"/>
      <c r="G169"/>
      <c r="H169" s="37" t="s">
        <v>281</v>
      </c>
      <c r="I169">
        <v>1</v>
      </c>
      <c r="J169">
        <v>2</v>
      </c>
      <c r="K169">
        <v>3</v>
      </c>
      <c r="L169" t="s">
        <v>161</v>
      </c>
      <c r="M169"/>
      <c r="N169"/>
    </row>
    <row r="170" spans="1:18">
      <c r="A170" s="38">
        <v>1</v>
      </c>
      <c r="B170" s="25"/>
      <c r="C170" s="25">
        <v>2</v>
      </c>
      <c r="D170" s="25">
        <v>2</v>
      </c>
      <c r="E170"/>
      <c r="F170"/>
      <c r="G170"/>
      <c r="H170" s="38">
        <v>1</v>
      </c>
      <c r="I170" s="25"/>
      <c r="J170" s="25">
        <v>2</v>
      </c>
      <c r="K170" s="25"/>
      <c r="L170" s="25">
        <v>2</v>
      </c>
      <c r="M170"/>
      <c r="N170"/>
    </row>
    <row r="171" spans="1:18">
      <c r="A171" s="38">
        <v>2</v>
      </c>
      <c r="B171" s="25">
        <v>5</v>
      </c>
      <c r="C171" s="25">
        <v>4</v>
      </c>
      <c r="D171" s="25">
        <v>9</v>
      </c>
      <c r="E171"/>
      <c r="F171"/>
      <c r="H171" s="38">
        <v>2</v>
      </c>
      <c r="I171" s="25">
        <v>6</v>
      </c>
      <c r="J171" s="25">
        <v>2</v>
      </c>
      <c r="K171" s="25">
        <v>1</v>
      </c>
      <c r="L171" s="25">
        <v>9</v>
      </c>
      <c r="M171"/>
      <c r="N171"/>
    </row>
    <row r="172" spans="1:18">
      <c r="A172" s="38">
        <v>3</v>
      </c>
      <c r="B172" s="25">
        <v>2</v>
      </c>
      <c r="C172" s="25">
        <v>1</v>
      </c>
      <c r="D172" s="25">
        <v>3</v>
      </c>
      <c r="E172"/>
      <c r="F172"/>
      <c r="H172" s="38">
        <v>3</v>
      </c>
      <c r="I172" s="25">
        <v>3</v>
      </c>
      <c r="J172" s="25"/>
      <c r="K172" s="25"/>
      <c r="L172" s="25">
        <v>3</v>
      </c>
      <c r="M172"/>
      <c r="N172"/>
      <c r="R172" s="31"/>
    </row>
    <row r="173" spans="1:18">
      <c r="A173" s="38">
        <v>4</v>
      </c>
      <c r="B173" s="25"/>
      <c r="C173" s="25">
        <v>1</v>
      </c>
      <c r="D173" s="25">
        <v>1</v>
      </c>
      <c r="E173"/>
      <c r="F173"/>
      <c r="H173" s="38">
        <v>4</v>
      </c>
      <c r="I173" s="25"/>
      <c r="J173" s="25"/>
      <c r="K173" s="25">
        <v>1</v>
      </c>
      <c r="L173" s="25">
        <v>1</v>
      </c>
      <c r="M173"/>
      <c r="N173"/>
      <c r="R173" s="31"/>
    </row>
    <row r="174" spans="1:18">
      <c r="A174" s="38" t="s">
        <v>161</v>
      </c>
      <c r="B174" s="25">
        <v>7</v>
      </c>
      <c r="C174" s="25">
        <v>8</v>
      </c>
      <c r="D174" s="25">
        <v>15</v>
      </c>
      <c r="E174"/>
      <c r="F174"/>
      <c r="H174" s="38" t="s">
        <v>161</v>
      </c>
      <c r="I174" s="25">
        <v>9</v>
      </c>
      <c r="J174" s="25">
        <v>4</v>
      </c>
      <c r="K174" s="25">
        <v>2</v>
      </c>
      <c r="L174" s="25">
        <v>15</v>
      </c>
      <c r="M174"/>
      <c r="N174"/>
      <c r="R174" s="31"/>
    </row>
    <row r="175" spans="1:18">
      <c r="A175"/>
      <c r="B175"/>
      <c r="C175"/>
      <c r="D175"/>
      <c r="E175"/>
      <c r="F175"/>
      <c r="H175"/>
      <c r="I175"/>
      <c r="J175"/>
      <c r="K175"/>
      <c r="L175"/>
      <c r="M175"/>
      <c r="N175"/>
    </row>
    <row r="176" spans="1:18">
      <c r="A176"/>
      <c r="B176"/>
      <c r="C176"/>
      <c r="D176"/>
      <c r="E176"/>
      <c r="F176"/>
      <c r="H176"/>
      <c r="I176"/>
      <c r="J176"/>
      <c r="K176"/>
      <c r="L176"/>
      <c r="M176"/>
      <c r="N176"/>
    </row>
    <row r="177" spans="1:25">
      <c r="A177"/>
      <c r="B177"/>
      <c r="C177"/>
      <c r="D177"/>
      <c r="E177"/>
      <c r="F177"/>
      <c r="H177"/>
      <c r="I177"/>
      <c r="J177"/>
      <c r="K177"/>
      <c r="L177"/>
      <c r="M177"/>
      <c r="N177"/>
    </row>
    <row r="178" spans="1:25">
      <c r="A178"/>
      <c r="B178"/>
      <c r="C178"/>
      <c r="D178"/>
      <c r="E178"/>
      <c r="F178"/>
      <c r="G178" s="31"/>
      <c r="H178"/>
      <c r="I178"/>
      <c r="J178"/>
      <c r="K178"/>
      <c r="L178"/>
      <c r="M178"/>
      <c r="N178"/>
    </row>
    <row r="179" spans="1:25">
      <c r="A179"/>
      <c r="B179"/>
      <c r="C179"/>
      <c r="H179"/>
      <c r="I179"/>
      <c r="J179"/>
      <c r="K179" s="31"/>
      <c r="L179" s="31"/>
      <c r="R179" s="31"/>
    </row>
    <row r="180" spans="1:25">
      <c r="A180" s="38" t="s">
        <v>663</v>
      </c>
      <c r="B180"/>
      <c r="C180"/>
      <c r="H180" s="39" t="s">
        <v>664</v>
      </c>
      <c r="I180"/>
      <c r="J180"/>
      <c r="K180" s="31"/>
      <c r="L180" s="31"/>
      <c r="R180" s="31"/>
    </row>
    <row r="181" spans="1:25">
      <c r="A181" s="37" t="s">
        <v>110</v>
      </c>
      <c r="B181" s="37" t="s">
        <v>282</v>
      </c>
      <c r="C181"/>
      <c r="D181"/>
      <c r="E181"/>
      <c r="F181"/>
      <c r="G181"/>
      <c r="H181" s="37" t="s">
        <v>110</v>
      </c>
      <c r="I181" s="37" t="s">
        <v>282</v>
      </c>
      <c r="J181"/>
      <c r="K181"/>
      <c r="L181"/>
      <c r="M181"/>
      <c r="N181"/>
      <c r="R181" s="31"/>
    </row>
    <row r="182" spans="1:25">
      <c r="A182" s="37" t="s">
        <v>281</v>
      </c>
      <c r="B182">
        <v>1</v>
      </c>
      <c r="C182">
        <v>2</v>
      </c>
      <c r="D182" t="s">
        <v>161</v>
      </c>
      <c r="E182"/>
      <c r="F182"/>
      <c r="G182"/>
      <c r="H182" s="37" t="s">
        <v>281</v>
      </c>
      <c r="I182">
        <v>1</v>
      </c>
      <c r="J182">
        <v>2</v>
      </c>
      <c r="K182">
        <v>3</v>
      </c>
      <c r="L182" t="s">
        <v>161</v>
      </c>
      <c r="M182"/>
      <c r="N182"/>
    </row>
    <row r="183" spans="1:25">
      <c r="A183" s="38">
        <v>1</v>
      </c>
      <c r="B183" s="25">
        <v>2</v>
      </c>
      <c r="C183" s="25">
        <v>3</v>
      </c>
      <c r="D183" s="25">
        <v>5</v>
      </c>
      <c r="E183"/>
      <c r="F183"/>
      <c r="G183"/>
      <c r="H183" s="38">
        <v>1</v>
      </c>
      <c r="I183" s="25">
        <v>4</v>
      </c>
      <c r="J183" s="25">
        <v>1</v>
      </c>
      <c r="K183" s="25"/>
      <c r="L183" s="25">
        <v>5</v>
      </c>
      <c r="M183"/>
      <c r="N183"/>
    </row>
    <row r="184" spans="1:25">
      <c r="A184" s="38">
        <v>2</v>
      </c>
      <c r="B184" s="25">
        <v>2</v>
      </c>
      <c r="C184" s="25">
        <v>4</v>
      </c>
      <c r="D184" s="25">
        <v>6</v>
      </c>
      <c r="E184"/>
      <c r="F184"/>
      <c r="H184" s="38">
        <v>2</v>
      </c>
      <c r="I184" s="25">
        <v>3</v>
      </c>
      <c r="J184" s="25">
        <v>2</v>
      </c>
      <c r="K184" s="25">
        <v>1</v>
      </c>
      <c r="L184" s="25">
        <v>6</v>
      </c>
      <c r="M184"/>
      <c r="N184"/>
    </row>
    <row r="185" spans="1:25">
      <c r="A185" s="38">
        <v>3</v>
      </c>
      <c r="B185" s="25">
        <v>2</v>
      </c>
      <c r="C185" s="25">
        <v>1</v>
      </c>
      <c r="D185" s="25">
        <v>3</v>
      </c>
      <c r="E185"/>
      <c r="F185"/>
      <c r="H185" s="38">
        <v>3</v>
      </c>
      <c r="I185" s="25">
        <v>2</v>
      </c>
      <c r="J185" s="25"/>
      <c r="K185" s="25">
        <v>1</v>
      </c>
      <c r="L185" s="25">
        <v>3</v>
      </c>
      <c r="M185"/>
      <c r="N185"/>
    </row>
    <row r="186" spans="1:25">
      <c r="A186" s="38">
        <v>4</v>
      </c>
      <c r="B186" s="25">
        <v>1</v>
      </c>
      <c r="C186" s="25"/>
      <c r="D186" s="25">
        <v>1</v>
      </c>
      <c r="E186"/>
      <c r="F186"/>
      <c r="H186" s="38">
        <v>4</v>
      </c>
      <c r="I186" s="25"/>
      <c r="J186" s="25">
        <v>1</v>
      </c>
      <c r="K186" s="25"/>
      <c r="L186" s="25">
        <v>1</v>
      </c>
      <c r="M186"/>
      <c r="N186"/>
      <c r="R186" s="31"/>
      <c r="S186" s="31"/>
      <c r="T186" s="31"/>
      <c r="U186" s="31"/>
      <c r="V186" s="31"/>
      <c r="W186" s="31"/>
      <c r="X186" s="31"/>
      <c r="Y186" s="31"/>
    </row>
    <row r="187" spans="1:25">
      <c r="A187" s="38" t="s">
        <v>161</v>
      </c>
      <c r="B187" s="25">
        <v>7</v>
      </c>
      <c r="C187" s="25">
        <v>8</v>
      </c>
      <c r="D187" s="25">
        <v>15</v>
      </c>
      <c r="E187"/>
      <c r="F187"/>
      <c r="G187" s="31"/>
      <c r="H187" s="38" t="s">
        <v>161</v>
      </c>
      <c r="I187" s="25">
        <v>9</v>
      </c>
      <c r="J187" s="25">
        <v>4</v>
      </c>
      <c r="K187" s="25">
        <v>2</v>
      </c>
      <c r="L187" s="25">
        <v>15</v>
      </c>
      <c r="M187"/>
      <c r="N187"/>
      <c r="R187" s="31"/>
      <c r="S187" s="31"/>
      <c r="T187" s="31"/>
      <c r="U187" s="31"/>
      <c r="V187" s="31"/>
      <c r="W187" s="31"/>
      <c r="X187" s="31"/>
      <c r="Y187" s="31"/>
    </row>
    <row r="188" spans="1:25">
      <c r="A188"/>
      <c r="B188"/>
      <c r="C188"/>
      <c r="D188"/>
      <c r="E188"/>
      <c r="F188"/>
      <c r="H188"/>
      <c r="I188"/>
      <c r="J188"/>
      <c r="K188"/>
      <c r="L188"/>
      <c r="M188"/>
      <c r="N188"/>
      <c r="R188" s="31"/>
      <c r="S188" s="31"/>
      <c r="T188" s="31"/>
      <c r="U188" s="31"/>
      <c r="V188" s="31"/>
      <c r="W188" s="31"/>
      <c r="X188" s="31"/>
      <c r="Y188" s="31"/>
    </row>
    <row r="189" spans="1:25">
      <c r="A189"/>
      <c r="B189"/>
      <c r="C189"/>
      <c r="D189"/>
      <c r="E189"/>
      <c r="F189"/>
      <c r="H189"/>
      <c r="I189"/>
      <c r="J189"/>
      <c r="K189"/>
      <c r="L189"/>
      <c r="M189"/>
      <c r="N189"/>
      <c r="R189" s="31"/>
      <c r="S189" s="31"/>
      <c r="T189" s="31"/>
      <c r="U189" s="31"/>
      <c r="V189" s="31"/>
      <c r="W189" s="31"/>
      <c r="X189" s="31"/>
      <c r="Y189" s="31"/>
    </row>
    <row r="190" spans="1:25">
      <c r="A190"/>
      <c r="B190"/>
      <c r="C190"/>
      <c r="D190"/>
      <c r="E190"/>
      <c r="F190"/>
      <c r="H190"/>
      <c r="I190"/>
      <c r="J190"/>
      <c r="K190"/>
      <c r="L190"/>
      <c r="M190"/>
      <c r="N190"/>
      <c r="R190" s="31"/>
      <c r="S190" s="31"/>
      <c r="T190" s="31"/>
      <c r="U190" s="31"/>
      <c r="V190" s="31"/>
      <c r="W190" s="31"/>
      <c r="X190" s="31"/>
      <c r="Y190" s="31"/>
    </row>
    <row r="191" spans="1:25">
      <c r="A191" s="39" t="s">
        <v>665</v>
      </c>
      <c r="B191" s="39" t="s">
        <v>301</v>
      </c>
      <c r="C191"/>
      <c r="D191"/>
      <c r="E191"/>
      <c r="F191"/>
      <c r="H191" s="39" t="s">
        <v>666</v>
      </c>
      <c r="I191"/>
      <c r="J191"/>
      <c r="K191"/>
      <c r="L191"/>
      <c r="M191"/>
      <c r="N191"/>
      <c r="R191" s="31"/>
      <c r="S191" s="31"/>
      <c r="T191" s="31"/>
      <c r="U191" s="31"/>
      <c r="V191" s="31"/>
      <c r="W191" s="31"/>
      <c r="X191" s="31"/>
      <c r="Y191" s="31"/>
    </row>
    <row r="192" spans="1:25">
      <c r="A192" s="37" t="s">
        <v>110</v>
      </c>
      <c r="B192" s="37" t="s">
        <v>282</v>
      </c>
      <c r="C192"/>
      <c r="D192"/>
      <c r="E192"/>
      <c r="F192"/>
      <c r="H192" s="37" t="s">
        <v>110</v>
      </c>
      <c r="I192" s="37" t="s">
        <v>282</v>
      </c>
      <c r="J192"/>
      <c r="K192"/>
      <c r="L192"/>
      <c r="M192"/>
      <c r="N192"/>
      <c r="R192" s="31"/>
      <c r="S192" s="31"/>
      <c r="T192" s="31"/>
      <c r="U192" s="31"/>
      <c r="V192" s="31"/>
      <c r="W192" s="31"/>
      <c r="X192" s="31"/>
      <c r="Y192" s="31"/>
    </row>
    <row r="193" spans="1:25">
      <c r="A193" s="37" t="s">
        <v>281</v>
      </c>
      <c r="B193">
        <v>1</v>
      </c>
      <c r="C193">
        <v>2</v>
      </c>
      <c r="D193" t="s">
        <v>161</v>
      </c>
      <c r="E193"/>
      <c r="F193"/>
      <c r="H193" s="37" t="s">
        <v>281</v>
      </c>
      <c r="I193">
        <v>1</v>
      </c>
      <c r="J193">
        <v>2</v>
      </c>
      <c r="K193">
        <v>3</v>
      </c>
      <c r="L193" t="s">
        <v>161</v>
      </c>
      <c r="M193"/>
      <c r="N193"/>
    </row>
    <row r="194" spans="1:25">
      <c r="A194" s="38">
        <v>1</v>
      </c>
      <c r="B194" s="25">
        <v>2</v>
      </c>
      <c r="C194" s="25">
        <v>2</v>
      </c>
      <c r="D194" s="25">
        <v>4</v>
      </c>
      <c r="E194"/>
      <c r="F194"/>
      <c r="H194" s="38">
        <v>1</v>
      </c>
      <c r="I194" s="25">
        <v>1</v>
      </c>
      <c r="J194" s="25">
        <v>1</v>
      </c>
      <c r="K194" s="25">
        <v>2</v>
      </c>
      <c r="L194" s="25">
        <v>4</v>
      </c>
      <c r="M194"/>
      <c r="N194"/>
    </row>
    <row r="195" spans="1:25">
      <c r="A195" s="38">
        <v>2</v>
      </c>
      <c r="B195" s="25">
        <v>3</v>
      </c>
      <c r="C195" s="25">
        <v>4</v>
      </c>
      <c r="D195" s="25">
        <v>7</v>
      </c>
      <c r="E195"/>
      <c r="F195"/>
      <c r="H195" s="38">
        <v>2</v>
      </c>
      <c r="I195" s="25">
        <v>4</v>
      </c>
      <c r="J195" s="25">
        <v>3</v>
      </c>
      <c r="K195" s="25"/>
      <c r="L195" s="25">
        <v>7</v>
      </c>
      <c r="M195"/>
      <c r="N195"/>
      <c r="R195" s="31"/>
      <c r="S195" s="31"/>
      <c r="T195" s="31"/>
      <c r="U195" s="31"/>
      <c r="V195" s="31"/>
      <c r="W195" s="31"/>
      <c r="X195" s="31"/>
      <c r="Y195" s="31"/>
    </row>
    <row r="196" spans="1:25">
      <c r="A196" s="38">
        <v>3</v>
      </c>
      <c r="B196" s="25">
        <v>1</v>
      </c>
      <c r="C196" s="25">
        <v>1</v>
      </c>
      <c r="D196" s="25">
        <v>2</v>
      </c>
      <c r="E196"/>
      <c r="F196"/>
      <c r="G196" s="31"/>
      <c r="H196" s="38">
        <v>3</v>
      </c>
      <c r="I196" s="25">
        <v>2</v>
      </c>
      <c r="J196" s="25"/>
      <c r="K196" s="25"/>
      <c r="L196" s="25">
        <v>2</v>
      </c>
      <c r="M196"/>
      <c r="N196"/>
    </row>
    <row r="197" spans="1:25">
      <c r="A197" s="38">
        <v>4</v>
      </c>
      <c r="B197" s="25">
        <v>1</v>
      </c>
      <c r="C197" s="25">
        <v>1</v>
      </c>
      <c r="D197" s="25">
        <v>2</v>
      </c>
      <c r="E197"/>
      <c r="F197"/>
      <c r="H197" s="38">
        <v>4</v>
      </c>
      <c r="I197" s="25">
        <v>2</v>
      </c>
      <c r="J197" s="25"/>
      <c r="K197" s="25"/>
      <c r="L197" s="25">
        <v>2</v>
      </c>
      <c r="M197"/>
      <c r="N197"/>
    </row>
    <row r="198" spans="1:25">
      <c r="A198" s="38" t="s">
        <v>161</v>
      </c>
      <c r="B198" s="25">
        <v>7</v>
      </c>
      <c r="C198" s="25">
        <v>8</v>
      </c>
      <c r="D198" s="25">
        <v>15</v>
      </c>
      <c r="E198"/>
      <c r="F198"/>
      <c r="H198" s="38" t="s">
        <v>161</v>
      </c>
      <c r="I198" s="25">
        <v>9</v>
      </c>
      <c r="J198" s="25">
        <v>4</v>
      </c>
      <c r="K198" s="25">
        <v>2</v>
      </c>
      <c r="L198" s="25">
        <v>15</v>
      </c>
      <c r="M198"/>
      <c r="N198"/>
    </row>
    <row r="199" spans="1:25">
      <c r="A199"/>
      <c r="B199"/>
      <c r="C199"/>
      <c r="D199"/>
      <c r="E199"/>
      <c r="F199"/>
      <c r="H199"/>
      <c r="I199"/>
      <c r="J199"/>
      <c r="K199"/>
      <c r="L199"/>
      <c r="M199"/>
      <c r="N199"/>
    </row>
    <row r="200" spans="1:25">
      <c r="A200"/>
      <c r="B200"/>
      <c r="C200"/>
      <c r="D200"/>
      <c r="E200"/>
      <c r="F200"/>
      <c r="H200"/>
      <c r="I200"/>
      <c r="J200"/>
      <c r="K200"/>
      <c r="L200"/>
      <c r="M200"/>
      <c r="N200"/>
    </row>
    <row r="201" spans="1:25">
      <c r="A201"/>
      <c r="B201"/>
      <c r="C201"/>
      <c r="D201"/>
      <c r="E201"/>
      <c r="F201"/>
      <c r="H201"/>
      <c r="I201"/>
      <c r="J201"/>
      <c r="K201"/>
      <c r="L201"/>
      <c r="M201"/>
      <c r="N201"/>
    </row>
    <row r="202" spans="1:25">
      <c r="A202" s="39" t="s">
        <v>667</v>
      </c>
      <c r="B202"/>
      <c r="C202"/>
      <c r="D202"/>
      <c r="E202"/>
      <c r="F202"/>
      <c r="H202" s="39" t="s">
        <v>668</v>
      </c>
      <c r="I202"/>
      <c r="J202"/>
      <c r="K202"/>
      <c r="L202"/>
      <c r="M202"/>
      <c r="N202"/>
    </row>
    <row r="203" spans="1:25">
      <c r="A203" s="37" t="s">
        <v>110</v>
      </c>
      <c r="B203" s="37" t="s">
        <v>282</v>
      </c>
      <c r="C203"/>
      <c r="D203"/>
      <c r="E203"/>
      <c r="F203"/>
      <c r="G203"/>
      <c r="H203" s="37" t="s">
        <v>110</v>
      </c>
      <c r="I203" s="37" t="s">
        <v>282</v>
      </c>
      <c r="J203"/>
      <c r="K203"/>
      <c r="L203"/>
      <c r="M203"/>
      <c r="N203"/>
    </row>
    <row r="204" spans="1:25">
      <c r="A204" s="37" t="s">
        <v>281</v>
      </c>
      <c r="B204">
        <v>1</v>
      </c>
      <c r="C204">
        <v>2</v>
      </c>
      <c r="D204" t="s">
        <v>161</v>
      </c>
      <c r="E204"/>
      <c r="F204"/>
      <c r="G204"/>
      <c r="H204" s="37" t="s">
        <v>281</v>
      </c>
      <c r="I204">
        <v>1</v>
      </c>
      <c r="J204">
        <v>2</v>
      </c>
      <c r="K204">
        <v>3</v>
      </c>
      <c r="L204" t="s">
        <v>161</v>
      </c>
      <c r="M204"/>
      <c r="N204"/>
      <c r="R204" s="31"/>
      <c r="S204" s="31"/>
      <c r="T204" s="31"/>
      <c r="U204" s="31"/>
      <c r="V204" s="31"/>
      <c r="W204" s="31"/>
      <c r="X204" s="31"/>
      <c r="Y204" s="31"/>
    </row>
    <row r="205" spans="1:25">
      <c r="A205" s="38">
        <v>1</v>
      </c>
      <c r="B205" s="25">
        <v>2</v>
      </c>
      <c r="C205" s="25">
        <v>1</v>
      </c>
      <c r="D205" s="25">
        <v>3</v>
      </c>
      <c r="E205"/>
      <c r="F205"/>
      <c r="G205"/>
      <c r="H205" s="38">
        <v>1</v>
      </c>
      <c r="I205" s="25">
        <v>1</v>
      </c>
      <c r="J205" s="25">
        <v>2</v>
      </c>
      <c r="K205" s="25"/>
      <c r="L205" s="25">
        <v>3</v>
      </c>
      <c r="M205"/>
      <c r="N205"/>
    </row>
    <row r="206" spans="1:25">
      <c r="A206" s="38">
        <v>2</v>
      </c>
      <c r="B206" s="25">
        <v>1</v>
      </c>
      <c r="C206" s="25">
        <v>4</v>
      </c>
      <c r="D206" s="25">
        <v>5</v>
      </c>
      <c r="E206"/>
      <c r="F206"/>
      <c r="H206" s="38">
        <v>2</v>
      </c>
      <c r="I206" s="25">
        <v>4</v>
      </c>
      <c r="J206" s="25"/>
      <c r="K206" s="25">
        <v>1</v>
      </c>
      <c r="L206" s="25">
        <v>5</v>
      </c>
      <c r="M206"/>
      <c r="N206"/>
    </row>
    <row r="207" spans="1:25">
      <c r="A207" s="38">
        <v>3</v>
      </c>
      <c r="B207" s="25">
        <v>1</v>
      </c>
      <c r="C207" s="25">
        <v>3</v>
      </c>
      <c r="D207" s="25">
        <v>4</v>
      </c>
      <c r="E207"/>
      <c r="F207"/>
      <c r="H207" s="38">
        <v>3</v>
      </c>
      <c r="I207" s="25">
        <v>1</v>
      </c>
      <c r="J207" s="25">
        <v>2</v>
      </c>
      <c r="K207" s="25">
        <v>1</v>
      </c>
      <c r="L207" s="25">
        <v>4</v>
      </c>
      <c r="M207"/>
      <c r="N207"/>
    </row>
    <row r="208" spans="1:25">
      <c r="A208" s="38">
        <v>4</v>
      </c>
      <c r="B208" s="25">
        <v>3</v>
      </c>
      <c r="C208" s="25"/>
      <c r="D208" s="25">
        <v>3</v>
      </c>
      <c r="E208"/>
      <c r="F208"/>
      <c r="H208" s="38">
        <v>4</v>
      </c>
      <c r="I208" s="25">
        <v>3</v>
      </c>
      <c r="J208" s="25"/>
      <c r="K208" s="25"/>
      <c r="L208" s="25">
        <v>3</v>
      </c>
      <c r="M208"/>
      <c r="N208"/>
    </row>
    <row r="209" spans="1:25">
      <c r="A209" s="38" t="s">
        <v>161</v>
      </c>
      <c r="B209" s="25">
        <v>7</v>
      </c>
      <c r="C209" s="25">
        <v>8</v>
      </c>
      <c r="D209" s="25">
        <v>15</v>
      </c>
      <c r="E209"/>
      <c r="F209"/>
      <c r="H209" s="38" t="s">
        <v>161</v>
      </c>
      <c r="I209" s="25">
        <v>9</v>
      </c>
      <c r="J209" s="25">
        <v>4</v>
      </c>
      <c r="K209" s="25">
        <v>2</v>
      </c>
      <c r="L209" s="25">
        <v>15</v>
      </c>
      <c r="M209"/>
      <c r="N209"/>
    </row>
    <row r="210" spans="1:25">
      <c r="A210"/>
      <c r="B210"/>
      <c r="C210"/>
      <c r="D210"/>
      <c r="E210"/>
      <c r="F210"/>
      <c r="H210"/>
      <c r="I210"/>
      <c r="J210"/>
      <c r="K210"/>
      <c r="L210"/>
      <c r="M210"/>
      <c r="N210"/>
    </row>
    <row r="211" spans="1:25">
      <c r="A211"/>
      <c r="B211"/>
      <c r="C211"/>
      <c r="D211"/>
      <c r="E211"/>
      <c r="F211"/>
      <c r="H211"/>
      <c r="I211"/>
      <c r="J211"/>
      <c r="K211"/>
      <c r="L211"/>
      <c r="M211"/>
      <c r="N211"/>
    </row>
    <row r="212" spans="1:25">
      <c r="A212"/>
      <c r="B212"/>
      <c r="C212"/>
      <c r="D212"/>
      <c r="E212"/>
      <c r="F212"/>
      <c r="H212"/>
      <c r="I212"/>
      <c r="J212"/>
      <c r="K212"/>
      <c r="L212"/>
      <c r="M212"/>
      <c r="N212"/>
    </row>
    <row r="213" spans="1:25">
      <c r="A213" s="39" t="s">
        <v>669</v>
      </c>
      <c r="B213"/>
      <c r="C213"/>
      <c r="D213"/>
      <c r="E213"/>
      <c r="F213"/>
      <c r="H213" s="39" t="s">
        <v>670</v>
      </c>
      <c r="I213"/>
      <c r="J213"/>
      <c r="K213"/>
      <c r="L213"/>
      <c r="M213"/>
      <c r="N213"/>
    </row>
    <row r="214" spans="1:25">
      <c r="A214" s="37" t="s">
        <v>110</v>
      </c>
      <c r="B214" s="37" t="s">
        <v>282</v>
      </c>
      <c r="C214"/>
      <c r="D214"/>
      <c r="E214"/>
      <c r="F214"/>
      <c r="G214"/>
      <c r="H214" s="37" t="s">
        <v>110</v>
      </c>
      <c r="I214" s="37" t="s">
        <v>282</v>
      </c>
      <c r="J214"/>
      <c r="K214"/>
      <c r="L214"/>
      <c r="M214"/>
      <c r="N214"/>
      <c r="R214" s="31"/>
      <c r="S214" s="31"/>
      <c r="T214" s="31"/>
      <c r="U214" s="31"/>
      <c r="V214" s="31"/>
      <c r="W214" s="31"/>
      <c r="X214" s="31"/>
      <c r="Y214" s="31"/>
    </row>
    <row r="215" spans="1:25">
      <c r="A215" s="37" t="s">
        <v>281</v>
      </c>
      <c r="B215">
        <v>1</v>
      </c>
      <c r="C215">
        <v>2</v>
      </c>
      <c r="D215" t="s">
        <v>161</v>
      </c>
      <c r="E215"/>
      <c r="F215"/>
      <c r="G215"/>
      <c r="H215" s="37" t="s">
        <v>281</v>
      </c>
      <c r="I215">
        <v>1</v>
      </c>
      <c r="J215">
        <v>2</v>
      </c>
      <c r="K215">
        <v>3</v>
      </c>
      <c r="L215" t="s">
        <v>161</v>
      </c>
      <c r="M215"/>
      <c r="N215"/>
    </row>
    <row r="216" spans="1:25">
      <c r="A216" s="38">
        <v>1</v>
      </c>
      <c r="B216" s="25">
        <v>2</v>
      </c>
      <c r="C216" s="25">
        <v>2</v>
      </c>
      <c r="D216" s="25">
        <v>4</v>
      </c>
      <c r="E216"/>
      <c r="F216"/>
      <c r="G216"/>
      <c r="H216" s="38">
        <v>1</v>
      </c>
      <c r="I216" s="25">
        <v>2</v>
      </c>
      <c r="J216" s="25">
        <v>1</v>
      </c>
      <c r="K216" s="25">
        <v>1</v>
      </c>
      <c r="L216" s="25">
        <v>4</v>
      </c>
      <c r="M216"/>
      <c r="N216"/>
    </row>
    <row r="217" spans="1:25">
      <c r="A217" s="38">
        <v>2</v>
      </c>
      <c r="B217" s="25">
        <v>1</v>
      </c>
      <c r="C217" s="25">
        <v>3</v>
      </c>
      <c r="D217" s="25">
        <v>4</v>
      </c>
      <c r="E217"/>
      <c r="F217"/>
      <c r="G217" s="31"/>
      <c r="H217" s="38">
        <v>2</v>
      </c>
      <c r="I217" s="25">
        <v>1</v>
      </c>
      <c r="J217" s="25">
        <v>2</v>
      </c>
      <c r="K217" s="25">
        <v>1</v>
      </c>
      <c r="L217" s="25">
        <v>4</v>
      </c>
      <c r="M217"/>
      <c r="N217"/>
    </row>
    <row r="218" spans="1:25">
      <c r="A218" s="38">
        <v>3</v>
      </c>
      <c r="B218" s="25">
        <v>1</v>
      </c>
      <c r="C218" s="25">
        <v>3</v>
      </c>
      <c r="D218" s="25">
        <v>4</v>
      </c>
      <c r="E218"/>
      <c r="F218"/>
      <c r="G218" s="31"/>
      <c r="H218" s="38">
        <v>3</v>
      </c>
      <c r="I218" s="25">
        <v>4</v>
      </c>
      <c r="J218" s="25"/>
      <c r="K218" s="25"/>
      <c r="L218" s="25">
        <v>4</v>
      </c>
      <c r="M218"/>
      <c r="N218"/>
    </row>
    <row r="219" spans="1:25">
      <c r="A219" s="38">
        <v>4</v>
      </c>
      <c r="B219" s="25">
        <v>3</v>
      </c>
      <c r="C219" s="25"/>
      <c r="D219" s="25">
        <v>3</v>
      </c>
      <c r="E219"/>
      <c r="F219"/>
      <c r="G219" s="31"/>
      <c r="H219" s="38">
        <v>4</v>
      </c>
      <c r="I219" s="25">
        <v>2</v>
      </c>
      <c r="J219" s="25">
        <v>1</v>
      </c>
      <c r="K219" s="25"/>
      <c r="L219" s="25">
        <v>3</v>
      </c>
      <c r="M219"/>
      <c r="N219"/>
    </row>
    <row r="220" spans="1:25">
      <c r="A220" s="38" t="s">
        <v>161</v>
      </c>
      <c r="B220" s="25">
        <v>7</v>
      </c>
      <c r="C220" s="25">
        <v>8</v>
      </c>
      <c r="D220" s="25">
        <v>15</v>
      </c>
      <c r="E220"/>
      <c r="F220"/>
      <c r="H220" s="38" t="s">
        <v>161</v>
      </c>
      <c r="I220" s="25">
        <v>9</v>
      </c>
      <c r="J220" s="25">
        <v>4</v>
      </c>
      <c r="K220" s="25">
        <v>2</v>
      </c>
      <c r="L220" s="25">
        <v>15</v>
      </c>
      <c r="M220"/>
      <c r="N220"/>
    </row>
    <row r="221" spans="1:25">
      <c r="A221"/>
      <c r="B221"/>
      <c r="C221"/>
      <c r="D221"/>
      <c r="E221"/>
      <c r="F221"/>
      <c r="H221"/>
      <c r="I221"/>
      <c r="J221"/>
      <c r="K221"/>
      <c r="L221"/>
      <c r="M221"/>
      <c r="N221"/>
    </row>
    <row r="222" spans="1:25">
      <c r="A222"/>
      <c r="B222"/>
      <c r="C222"/>
      <c r="D222"/>
      <c r="E222"/>
      <c r="F222"/>
      <c r="G222" s="31"/>
      <c r="H222"/>
      <c r="I222"/>
      <c r="J222"/>
      <c r="K222"/>
      <c r="L222"/>
      <c r="M222"/>
      <c r="N222"/>
    </row>
    <row r="223" spans="1:25">
      <c r="A223"/>
      <c r="B223"/>
      <c r="C223"/>
      <c r="D223"/>
      <c r="E223"/>
      <c r="F223"/>
      <c r="H223"/>
      <c r="I223"/>
      <c r="J223"/>
      <c r="K223"/>
      <c r="L223"/>
      <c r="M223"/>
      <c r="N223"/>
      <c r="R223" s="31"/>
      <c r="S223" s="31"/>
      <c r="T223" s="31"/>
      <c r="U223" s="31"/>
      <c r="V223" s="31"/>
      <c r="W223" s="31"/>
      <c r="X223" s="31"/>
      <c r="Y223" s="31"/>
    </row>
    <row r="224" spans="1:25">
      <c r="A224" s="39" t="s">
        <v>671</v>
      </c>
      <c r="B224"/>
      <c r="C224"/>
      <c r="D224"/>
      <c r="E224"/>
      <c r="F224"/>
      <c r="H224" s="39" t="s">
        <v>672</v>
      </c>
      <c r="I224"/>
      <c r="J224"/>
      <c r="K224"/>
      <c r="L224"/>
      <c r="M224"/>
      <c r="N224"/>
    </row>
    <row r="225" spans="1:25">
      <c r="A225" s="37" t="s">
        <v>110</v>
      </c>
      <c r="B225" s="37" t="s">
        <v>282</v>
      </c>
      <c r="C225"/>
      <c r="D225"/>
      <c r="E225"/>
      <c r="F225"/>
      <c r="G225"/>
      <c r="H225" s="37" t="s">
        <v>110</v>
      </c>
      <c r="I225" s="37" t="s">
        <v>282</v>
      </c>
      <c r="J225"/>
      <c r="K225"/>
      <c r="L225"/>
      <c r="M225"/>
      <c r="N225"/>
    </row>
    <row r="226" spans="1:25">
      <c r="A226" s="37" t="s">
        <v>281</v>
      </c>
      <c r="B226">
        <v>1</v>
      </c>
      <c r="C226">
        <v>2</v>
      </c>
      <c r="D226" t="s">
        <v>161</v>
      </c>
      <c r="E226"/>
      <c r="F226"/>
      <c r="G226"/>
      <c r="H226" s="37" t="s">
        <v>281</v>
      </c>
      <c r="I226">
        <v>1</v>
      </c>
      <c r="J226">
        <v>2</v>
      </c>
      <c r="K226">
        <v>3</v>
      </c>
      <c r="L226" t="s">
        <v>161</v>
      </c>
      <c r="M226"/>
      <c r="N226"/>
    </row>
    <row r="227" spans="1:25">
      <c r="A227" s="38">
        <v>1</v>
      </c>
      <c r="B227" s="25">
        <v>1</v>
      </c>
      <c r="C227" s="25">
        <v>4</v>
      </c>
      <c r="D227" s="25">
        <v>5</v>
      </c>
      <c r="E227"/>
      <c r="F227"/>
      <c r="G227"/>
      <c r="H227" s="38">
        <v>1</v>
      </c>
      <c r="I227" s="25">
        <v>3</v>
      </c>
      <c r="J227" s="25">
        <v>2</v>
      </c>
      <c r="K227" s="25"/>
      <c r="L227" s="25">
        <v>5</v>
      </c>
      <c r="M227"/>
      <c r="N227"/>
    </row>
    <row r="228" spans="1:25">
      <c r="A228" s="38">
        <v>2</v>
      </c>
      <c r="B228" s="25">
        <v>3</v>
      </c>
      <c r="C228" s="25">
        <v>1</v>
      </c>
      <c r="D228" s="25">
        <v>4</v>
      </c>
      <c r="E228"/>
      <c r="F228"/>
      <c r="H228" s="38">
        <v>2</v>
      </c>
      <c r="I228" s="25">
        <v>1</v>
      </c>
      <c r="J228" s="25">
        <v>2</v>
      </c>
      <c r="K228" s="25">
        <v>1</v>
      </c>
      <c r="L228" s="25">
        <v>4</v>
      </c>
      <c r="M228"/>
      <c r="N228"/>
    </row>
    <row r="229" spans="1:25">
      <c r="A229" s="38">
        <v>3</v>
      </c>
      <c r="B229" s="25">
        <v>2</v>
      </c>
      <c r="C229" s="25">
        <v>2</v>
      </c>
      <c r="D229" s="25">
        <v>4</v>
      </c>
      <c r="E229"/>
      <c r="F229"/>
      <c r="G229" s="31"/>
      <c r="H229" s="38">
        <v>3</v>
      </c>
      <c r="I229" s="25">
        <v>3</v>
      </c>
      <c r="J229" s="25"/>
      <c r="K229" s="25">
        <v>1</v>
      </c>
      <c r="L229" s="25">
        <v>4</v>
      </c>
      <c r="M229"/>
      <c r="N229"/>
    </row>
    <row r="230" spans="1:25">
      <c r="A230" s="38">
        <v>4</v>
      </c>
      <c r="B230" s="25">
        <v>1</v>
      </c>
      <c r="C230" s="25">
        <v>1</v>
      </c>
      <c r="D230" s="25">
        <v>2</v>
      </c>
      <c r="E230"/>
      <c r="F230"/>
      <c r="H230" s="38">
        <v>4</v>
      </c>
      <c r="I230" s="25">
        <v>2</v>
      </c>
      <c r="J230" s="25"/>
      <c r="K230" s="25"/>
      <c r="L230" s="25">
        <v>2</v>
      </c>
      <c r="M230"/>
      <c r="N230"/>
      <c r="R230" s="31"/>
      <c r="S230" s="31"/>
      <c r="T230" s="31"/>
      <c r="U230" s="31"/>
      <c r="V230" s="31"/>
      <c r="W230" s="31"/>
      <c r="X230" s="31"/>
      <c r="Y230" s="31"/>
    </row>
    <row r="231" spans="1:25">
      <c r="A231" s="38" t="s">
        <v>161</v>
      </c>
      <c r="B231" s="25">
        <v>7</v>
      </c>
      <c r="C231" s="25">
        <v>8</v>
      </c>
      <c r="D231" s="25">
        <v>15</v>
      </c>
      <c r="E231"/>
      <c r="F231"/>
      <c r="H231" s="38" t="s">
        <v>161</v>
      </c>
      <c r="I231" s="25">
        <v>9</v>
      </c>
      <c r="J231" s="25">
        <v>4</v>
      </c>
      <c r="K231" s="25">
        <v>2</v>
      </c>
      <c r="L231" s="25">
        <v>15</v>
      </c>
      <c r="M231"/>
      <c r="N231"/>
      <c r="O231" s="31"/>
      <c r="R231" s="31"/>
      <c r="S231" s="31"/>
      <c r="T231" s="31"/>
      <c r="U231" s="31"/>
      <c r="V231" s="31"/>
      <c r="W231" s="31"/>
      <c r="X231" s="31"/>
      <c r="Y231" s="31"/>
    </row>
    <row r="232" spans="1:25">
      <c r="A232"/>
      <c r="B232"/>
      <c r="C232"/>
      <c r="D232"/>
      <c r="E232"/>
      <c r="F232"/>
      <c r="H232"/>
      <c r="I232"/>
      <c r="J232"/>
      <c r="K232"/>
      <c r="L232"/>
      <c r="M232"/>
      <c r="N232"/>
      <c r="O232" s="31"/>
      <c r="R232" s="31"/>
      <c r="S232" s="31"/>
      <c r="T232" s="31"/>
      <c r="U232" s="31"/>
      <c r="V232" s="31"/>
      <c r="W232" s="31"/>
      <c r="X232" s="31"/>
      <c r="Y232" s="31"/>
    </row>
    <row r="233" spans="1:25">
      <c r="A233"/>
      <c r="B233"/>
      <c r="C233"/>
      <c r="D233"/>
      <c r="E233"/>
      <c r="F233"/>
      <c r="H233"/>
      <c r="I233"/>
      <c r="J233"/>
      <c r="K233"/>
      <c r="L233"/>
      <c r="M233"/>
      <c r="N233"/>
      <c r="O233" s="31"/>
      <c r="R233" s="31"/>
      <c r="S233" s="31"/>
      <c r="T233" s="31"/>
      <c r="U233" s="31"/>
      <c r="V233" s="31"/>
      <c r="W233" s="31"/>
      <c r="X233" s="31"/>
      <c r="Y233" s="31"/>
    </row>
    <row r="234" spans="1:25">
      <c r="A234"/>
      <c r="B234"/>
      <c r="C234"/>
      <c r="D234"/>
      <c r="E234"/>
      <c r="F234"/>
      <c r="H234"/>
      <c r="I234"/>
      <c r="J234"/>
      <c r="K234"/>
      <c r="L234"/>
      <c r="M234"/>
      <c r="N234"/>
      <c r="O234" s="31"/>
      <c r="R234" s="31"/>
      <c r="S234" s="31"/>
      <c r="T234" s="31"/>
      <c r="U234" s="31"/>
      <c r="V234" s="31"/>
      <c r="W234" s="31"/>
      <c r="X234" s="31"/>
      <c r="Y234" s="31"/>
    </row>
    <row r="235" spans="1:25">
      <c r="A235" s="39" t="s">
        <v>673</v>
      </c>
      <c r="B235"/>
      <c r="C235"/>
      <c r="D235"/>
      <c r="E235"/>
      <c r="F235"/>
      <c r="H235" s="39" t="s">
        <v>674</v>
      </c>
      <c r="I235"/>
      <c r="J235"/>
      <c r="K235"/>
      <c r="L235"/>
      <c r="M235"/>
      <c r="N235"/>
      <c r="R235" s="31"/>
      <c r="S235" s="31"/>
      <c r="T235" s="31"/>
      <c r="U235" s="31"/>
      <c r="V235" s="31"/>
      <c r="W235" s="31"/>
      <c r="X235" s="31"/>
      <c r="Y235" s="31"/>
    </row>
    <row r="236" spans="1:25">
      <c r="A236" s="37" t="s">
        <v>110</v>
      </c>
      <c r="B236" s="37" t="s">
        <v>282</v>
      </c>
      <c r="C236"/>
      <c r="D236"/>
      <c r="E236"/>
      <c r="F236"/>
      <c r="G236"/>
      <c r="H236" s="37" t="s">
        <v>110</v>
      </c>
      <c r="I236" s="37" t="s">
        <v>282</v>
      </c>
      <c r="J236"/>
      <c r="K236"/>
      <c r="L236"/>
      <c r="M236"/>
      <c r="N236"/>
      <c r="R236" s="31"/>
      <c r="S236" s="31"/>
      <c r="T236" s="31"/>
      <c r="U236" s="31"/>
      <c r="V236" s="31"/>
      <c r="W236" s="31"/>
      <c r="X236" s="31"/>
      <c r="Y236" s="31"/>
    </row>
    <row r="237" spans="1:25">
      <c r="A237" s="37" t="s">
        <v>281</v>
      </c>
      <c r="B237">
        <v>1</v>
      </c>
      <c r="C237">
        <v>2</v>
      </c>
      <c r="D237" t="s">
        <v>161</v>
      </c>
      <c r="E237"/>
      <c r="F237"/>
      <c r="G237"/>
      <c r="H237" s="37" t="s">
        <v>281</v>
      </c>
      <c r="I237">
        <v>1</v>
      </c>
      <c r="J237">
        <v>2</v>
      </c>
      <c r="K237">
        <v>3</v>
      </c>
      <c r="L237" t="s">
        <v>161</v>
      </c>
      <c r="M237"/>
      <c r="N237"/>
      <c r="R237" s="31"/>
      <c r="S237" s="31"/>
      <c r="T237" s="31"/>
      <c r="U237" s="31"/>
      <c r="V237" s="31"/>
      <c r="W237" s="31"/>
      <c r="X237" s="31"/>
      <c r="Y237" s="31"/>
    </row>
    <row r="238" spans="1:25">
      <c r="A238" s="38">
        <v>1</v>
      </c>
      <c r="B238" s="25">
        <v>3</v>
      </c>
      <c r="C238" s="25">
        <v>3</v>
      </c>
      <c r="D238" s="25">
        <v>6</v>
      </c>
      <c r="E238"/>
      <c r="F238"/>
      <c r="G238"/>
      <c r="H238" s="38">
        <v>1</v>
      </c>
      <c r="I238" s="25">
        <v>4</v>
      </c>
      <c r="J238" s="25">
        <v>1</v>
      </c>
      <c r="K238" s="25">
        <v>1</v>
      </c>
      <c r="L238" s="25">
        <v>6</v>
      </c>
      <c r="M238"/>
      <c r="N238"/>
    </row>
    <row r="239" spans="1:25">
      <c r="A239" s="38">
        <v>2</v>
      </c>
      <c r="B239" s="25">
        <v>2</v>
      </c>
      <c r="C239" s="25">
        <v>3</v>
      </c>
      <c r="D239" s="25">
        <v>5</v>
      </c>
      <c r="E239"/>
      <c r="F239"/>
      <c r="H239" s="38">
        <v>2</v>
      </c>
      <c r="I239" s="25">
        <v>2</v>
      </c>
      <c r="J239" s="25">
        <v>2</v>
      </c>
      <c r="K239" s="25">
        <v>1</v>
      </c>
      <c r="L239" s="25">
        <v>5</v>
      </c>
      <c r="M239"/>
      <c r="N239"/>
    </row>
    <row r="240" spans="1:25">
      <c r="A240" s="38">
        <v>3</v>
      </c>
      <c r="B240" s="25">
        <v>1</v>
      </c>
      <c r="C240" s="25">
        <v>1</v>
      </c>
      <c r="D240" s="25">
        <v>2</v>
      </c>
      <c r="E240"/>
      <c r="F240"/>
      <c r="H240" s="38">
        <v>3</v>
      </c>
      <c r="I240" s="25">
        <v>1</v>
      </c>
      <c r="J240" s="25">
        <v>1</v>
      </c>
      <c r="K240" s="25"/>
      <c r="L240" s="25">
        <v>2</v>
      </c>
      <c r="M240"/>
      <c r="N240"/>
      <c r="R240" s="31"/>
      <c r="S240" s="31"/>
      <c r="T240" s="31"/>
      <c r="U240" s="31"/>
      <c r="V240" s="31"/>
      <c r="W240" s="31"/>
      <c r="X240" s="31"/>
      <c r="Y240" s="31"/>
    </row>
    <row r="241" spans="1:25">
      <c r="A241" s="38">
        <v>4</v>
      </c>
      <c r="B241" s="25">
        <v>1</v>
      </c>
      <c r="C241" s="25">
        <v>1</v>
      </c>
      <c r="D241" s="25">
        <v>2</v>
      </c>
      <c r="E241"/>
      <c r="F241"/>
      <c r="H241" s="38">
        <v>4</v>
      </c>
      <c r="I241" s="25">
        <v>2</v>
      </c>
      <c r="J241" s="25"/>
      <c r="K241" s="25"/>
      <c r="L241" s="25">
        <v>2</v>
      </c>
      <c r="M241"/>
      <c r="N241"/>
      <c r="O241" s="31"/>
    </row>
    <row r="242" spans="1:25">
      <c r="A242" s="38" t="s">
        <v>161</v>
      </c>
      <c r="B242" s="25">
        <v>7</v>
      </c>
      <c r="C242" s="25">
        <v>8</v>
      </c>
      <c r="D242" s="25">
        <v>15</v>
      </c>
      <c r="E242"/>
      <c r="F242"/>
      <c r="H242" s="38" t="s">
        <v>161</v>
      </c>
      <c r="I242" s="25">
        <v>9</v>
      </c>
      <c r="J242" s="25">
        <v>4</v>
      </c>
      <c r="K242" s="25">
        <v>2</v>
      </c>
      <c r="L242" s="25">
        <v>15</v>
      </c>
      <c r="M242"/>
      <c r="N242"/>
    </row>
    <row r="243" spans="1:25">
      <c r="A243"/>
      <c r="B243"/>
      <c r="C243"/>
      <c r="D243"/>
      <c r="E243"/>
      <c r="F243"/>
      <c r="H243"/>
      <c r="I243"/>
      <c r="J243"/>
      <c r="K243"/>
      <c r="L243"/>
      <c r="M243"/>
      <c r="N243"/>
    </row>
    <row r="244" spans="1:25">
      <c r="A244"/>
      <c r="B244"/>
      <c r="C244"/>
      <c r="D244"/>
      <c r="E244"/>
      <c r="F244"/>
      <c r="G244" s="31"/>
      <c r="H244"/>
      <c r="I244"/>
      <c r="J244"/>
      <c r="K244"/>
      <c r="L244"/>
      <c r="M244"/>
      <c r="N244"/>
    </row>
    <row r="245" spans="1:25">
      <c r="A245"/>
      <c r="B245"/>
      <c r="C245"/>
      <c r="D245"/>
      <c r="E245"/>
      <c r="F245"/>
      <c r="H245"/>
      <c r="I245"/>
      <c r="J245"/>
      <c r="K245"/>
      <c r="L245"/>
      <c r="M245"/>
      <c r="N245"/>
    </row>
    <row r="246" spans="1:25">
      <c r="A246" s="39" t="s">
        <v>675</v>
      </c>
      <c r="B246"/>
      <c r="C246"/>
      <c r="D246"/>
      <c r="E246"/>
      <c r="F246"/>
      <c r="H246" s="39" t="s">
        <v>676</v>
      </c>
      <c r="I246"/>
      <c r="J246"/>
      <c r="K246"/>
      <c r="L246"/>
      <c r="M246"/>
      <c r="N246"/>
    </row>
    <row r="247" spans="1:25">
      <c r="A247" s="37" t="s">
        <v>110</v>
      </c>
      <c r="B247" s="37" t="s">
        <v>282</v>
      </c>
      <c r="C247"/>
      <c r="D247"/>
      <c r="E247"/>
      <c r="F247"/>
      <c r="H247" s="37" t="s">
        <v>110</v>
      </c>
      <c r="I247" s="37" t="s">
        <v>282</v>
      </c>
      <c r="J247"/>
      <c r="K247"/>
      <c r="L247"/>
      <c r="M247"/>
      <c r="N247"/>
    </row>
    <row r="248" spans="1:25">
      <c r="A248" s="37" t="s">
        <v>281</v>
      </c>
      <c r="B248">
        <v>1</v>
      </c>
      <c r="C248">
        <v>2</v>
      </c>
      <c r="D248" t="s">
        <v>161</v>
      </c>
      <c r="E248"/>
      <c r="F248"/>
      <c r="H248" s="37" t="s">
        <v>281</v>
      </c>
      <c r="I248">
        <v>1</v>
      </c>
      <c r="J248">
        <v>2</v>
      </c>
      <c r="K248">
        <v>3</v>
      </c>
      <c r="L248" t="s">
        <v>161</v>
      </c>
      <c r="M248"/>
      <c r="N248"/>
    </row>
    <row r="249" spans="1:25">
      <c r="A249" s="38">
        <v>1</v>
      </c>
      <c r="B249" s="25">
        <v>4</v>
      </c>
      <c r="C249" s="25">
        <v>4</v>
      </c>
      <c r="D249" s="25">
        <v>8</v>
      </c>
      <c r="E249"/>
      <c r="F249"/>
      <c r="H249" s="38">
        <v>1</v>
      </c>
      <c r="I249" s="25">
        <v>6</v>
      </c>
      <c r="J249" s="25">
        <v>2</v>
      </c>
      <c r="K249" s="25"/>
      <c r="L249" s="25">
        <v>8</v>
      </c>
      <c r="M249"/>
      <c r="N249"/>
      <c r="R249" s="31"/>
      <c r="S249" s="31"/>
      <c r="T249" s="31"/>
      <c r="U249" s="31"/>
      <c r="V249" s="31"/>
      <c r="W249" s="31"/>
      <c r="X249" s="31"/>
      <c r="Y249" s="31"/>
    </row>
    <row r="250" spans="1:25">
      <c r="A250" s="38">
        <v>2</v>
      </c>
      <c r="B250" s="25">
        <v>3</v>
      </c>
      <c r="C250" s="25">
        <v>4</v>
      </c>
      <c r="D250" s="25">
        <v>7</v>
      </c>
      <c r="E250"/>
      <c r="F250"/>
      <c r="H250" s="38">
        <v>2</v>
      </c>
      <c r="I250" s="25">
        <v>3</v>
      </c>
      <c r="J250" s="25">
        <v>2</v>
      </c>
      <c r="K250" s="25">
        <v>2</v>
      </c>
      <c r="L250" s="25">
        <v>7</v>
      </c>
      <c r="M250"/>
      <c r="N250"/>
      <c r="O250" s="31"/>
    </row>
    <row r="251" spans="1:25">
      <c r="A251" s="38" t="s">
        <v>161</v>
      </c>
      <c r="B251" s="25">
        <v>7</v>
      </c>
      <c r="C251" s="25">
        <v>8</v>
      </c>
      <c r="D251" s="25">
        <v>15</v>
      </c>
      <c r="E251"/>
      <c r="F251"/>
      <c r="G251" s="31"/>
      <c r="H251" s="38" t="s">
        <v>161</v>
      </c>
      <c r="I251" s="25">
        <v>9</v>
      </c>
      <c r="J251" s="25">
        <v>4</v>
      </c>
      <c r="K251" s="25">
        <v>2</v>
      </c>
      <c r="L251" s="25">
        <v>15</v>
      </c>
      <c r="M251"/>
      <c r="N251"/>
    </row>
    <row r="252" spans="1:25">
      <c r="A252"/>
      <c r="B252"/>
      <c r="C252"/>
      <c r="D252"/>
      <c r="E252"/>
      <c r="F252"/>
      <c r="H252"/>
      <c r="I252"/>
      <c r="J252"/>
      <c r="K252"/>
      <c r="L252"/>
      <c r="M252"/>
      <c r="N252"/>
    </row>
    <row r="253" spans="1:25">
      <c r="A253"/>
      <c r="B253"/>
      <c r="C253"/>
      <c r="D253"/>
      <c r="E253"/>
      <c r="F253"/>
      <c r="H253"/>
      <c r="I253"/>
      <c r="J253"/>
      <c r="K253"/>
      <c r="L253"/>
      <c r="M253"/>
      <c r="N253"/>
    </row>
    <row r="254" spans="1:25">
      <c r="A254"/>
      <c r="B254"/>
      <c r="C254"/>
      <c r="D254"/>
      <c r="E254"/>
      <c r="F254"/>
      <c r="H254"/>
      <c r="I254"/>
      <c r="J254"/>
      <c r="K254"/>
      <c r="L254"/>
      <c r="M254"/>
      <c r="N254"/>
    </row>
    <row r="255" spans="1:25">
      <c r="A255" s="39" t="s">
        <v>302</v>
      </c>
      <c r="B255"/>
      <c r="C255"/>
      <c r="D255"/>
      <c r="E255"/>
      <c r="F255"/>
      <c r="H255" s="39" t="s">
        <v>336</v>
      </c>
      <c r="I255"/>
      <c r="J255"/>
      <c r="K255"/>
      <c r="L255"/>
      <c r="M255"/>
      <c r="N255"/>
    </row>
    <row r="256" spans="1:25">
      <c r="A256" s="37" t="s">
        <v>110</v>
      </c>
      <c r="B256" s="37" t="s">
        <v>282</v>
      </c>
      <c r="C256"/>
      <c r="D256"/>
      <c r="E256"/>
      <c r="F256"/>
      <c r="G256"/>
      <c r="H256" s="37" t="s">
        <v>110</v>
      </c>
      <c r="I256" s="37" t="s">
        <v>282</v>
      </c>
      <c r="J256"/>
      <c r="K256"/>
      <c r="L256"/>
      <c r="M256"/>
      <c r="N256"/>
    </row>
    <row r="257" spans="1:25">
      <c r="A257" s="37" t="s">
        <v>281</v>
      </c>
      <c r="B257">
        <v>1</v>
      </c>
      <c r="C257">
        <v>2</v>
      </c>
      <c r="D257" t="s">
        <v>161</v>
      </c>
      <c r="E257"/>
      <c r="F257"/>
      <c r="G257"/>
      <c r="H257" s="37" t="s">
        <v>281</v>
      </c>
      <c r="I257">
        <v>1</v>
      </c>
      <c r="J257">
        <v>2</v>
      </c>
      <c r="K257">
        <v>3</v>
      </c>
      <c r="L257" t="s">
        <v>161</v>
      </c>
      <c r="M257"/>
      <c r="N257"/>
    </row>
    <row r="258" spans="1:25">
      <c r="A258" s="38">
        <v>1</v>
      </c>
      <c r="B258" s="25">
        <v>2</v>
      </c>
      <c r="C258" s="25">
        <v>6</v>
      </c>
      <c r="D258" s="25">
        <v>8</v>
      </c>
      <c r="E258"/>
      <c r="F258"/>
      <c r="G258"/>
      <c r="H258" s="38">
        <v>1</v>
      </c>
      <c r="I258" s="25">
        <v>4</v>
      </c>
      <c r="J258" s="25">
        <v>3</v>
      </c>
      <c r="K258" s="25">
        <v>1</v>
      </c>
      <c r="L258" s="25">
        <v>8</v>
      </c>
      <c r="M258"/>
      <c r="N258"/>
      <c r="R258" s="31"/>
      <c r="S258" s="31"/>
      <c r="T258" s="31"/>
      <c r="U258" s="31"/>
      <c r="V258" s="31"/>
      <c r="W258" s="31"/>
      <c r="X258" s="31"/>
      <c r="Y258" s="31"/>
    </row>
    <row r="259" spans="1:25">
      <c r="A259" s="38">
        <v>2</v>
      </c>
      <c r="B259" s="25">
        <v>5</v>
      </c>
      <c r="C259" s="25">
        <v>2</v>
      </c>
      <c r="D259" s="25">
        <v>7</v>
      </c>
      <c r="E259"/>
      <c r="F259"/>
      <c r="H259" s="38">
        <v>2</v>
      </c>
      <c r="I259" s="25">
        <v>5</v>
      </c>
      <c r="J259" s="25">
        <v>1</v>
      </c>
      <c r="K259" s="25">
        <v>1</v>
      </c>
      <c r="L259" s="25">
        <v>7</v>
      </c>
      <c r="M259"/>
      <c r="N259"/>
      <c r="O259" s="31"/>
    </row>
    <row r="260" spans="1:25">
      <c r="A260" s="38" t="s">
        <v>161</v>
      </c>
      <c r="B260" s="25">
        <v>7</v>
      </c>
      <c r="C260" s="25">
        <v>8</v>
      </c>
      <c r="D260" s="25">
        <v>15</v>
      </c>
      <c r="E260"/>
      <c r="F260"/>
      <c r="H260" s="38" t="s">
        <v>161</v>
      </c>
      <c r="I260" s="25">
        <v>9</v>
      </c>
      <c r="J260" s="25">
        <v>4</v>
      </c>
      <c r="K260" s="25">
        <v>2</v>
      </c>
      <c r="L260" s="25">
        <v>15</v>
      </c>
      <c r="M260"/>
      <c r="N260"/>
    </row>
    <row r="261" spans="1:25">
      <c r="A261"/>
      <c r="B261"/>
      <c r="C261"/>
      <c r="D261"/>
      <c r="E261"/>
      <c r="F261"/>
      <c r="H261"/>
      <c r="I261"/>
      <c r="J261"/>
      <c r="K261"/>
      <c r="L261"/>
      <c r="M261"/>
      <c r="N261"/>
    </row>
    <row r="262" spans="1:25">
      <c r="A262"/>
      <c r="B262"/>
      <c r="C262"/>
      <c r="D262"/>
      <c r="E262"/>
      <c r="F262"/>
      <c r="H262"/>
      <c r="I262"/>
      <c r="J262"/>
      <c r="K262"/>
      <c r="L262"/>
      <c r="M262"/>
      <c r="N262"/>
    </row>
    <row r="263" spans="1:25">
      <c r="A263"/>
      <c r="B263"/>
      <c r="C263"/>
      <c r="D263"/>
      <c r="E263"/>
      <c r="F263"/>
      <c r="H263"/>
      <c r="I263"/>
      <c r="J263"/>
      <c r="K263"/>
      <c r="L263"/>
      <c r="M263"/>
      <c r="N263"/>
    </row>
    <row r="264" spans="1:25">
      <c r="A264" s="39" t="s">
        <v>677</v>
      </c>
      <c r="B264"/>
      <c r="C264"/>
      <c r="D264"/>
      <c r="E264"/>
      <c r="F264"/>
      <c r="H264" s="39" t="s">
        <v>678</v>
      </c>
      <c r="I264"/>
      <c r="J264"/>
      <c r="K264"/>
      <c r="L264"/>
      <c r="M264"/>
      <c r="N264"/>
    </row>
    <row r="265" spans="1:25">
      <c r="A265" s="37" t="s">
        <v>110</v>
      </c>
      <c r="B265" s="37" t="s">
        <v>282</v>
      </c>
      <c r="C265"/>
      <c r="D265"/>
      <c r="E265"/>
      <c r="F265"/>
      <c r="G265" s="31"/>
      <c r="H265" s="37" t="s">
        <v>110</v>
      </c>
      <c r="I265" s="37" t="s">
        <v>282</v>
      </c>
      <c r="J265"/>
      <c r="K265"/>
      <c r="L265"/>
      <c r="M265"/>
      <c r="N265"/>
    </row>
    <row r="266" spans="1:25">
      <c r="A266" s="37" t="s">
        <v>281</v>
      </c>
      <c r="B266">
        <v>1</v>
      </c>
      <c r="C266">
        <v>2</v>
      </c>
      <c r="D266" t="s">
        <v>161</v>
      </c>
      <c r="E266"/>
      <c r="F266"/>
      <c r="H266" s="37" t="s">
        <v>281</v>
      </c>
      <c r="I266">
        <v>1</v>
      </c>
      <c r="J266">
        <v>2</v>
      </c>
      <c r="K266">
        <v>3</v>
      </c>
      <c r="L266" t="s">
        <v>161</v>
      </c>
      <c r="M266"/>
      <c r="N266"/>
    </row>
    <row r="267" spans="1:25">
      <c r="A267" s="38">
        <v>1</v>
      </c>
      <c r="B267" s="25">
        <v>6</v>
      </c>
      <c r="C267" s="25">
        <v>1</v>
      </c>
      <c r="D267" s="25">
        <v>7</v>
      </c>
      <c r="E267"/>
      <c r="F267"/>
      <c r="H267" s="38">
        <v>1</v>
      </c>
      <c r="I267" s="25">
        <v>4</v>
      </c>
      <c r="J267" s="25">
        <v>1</v>
      </c>
      <c r="K267" s="25">
        <v>2</v>
      </c>
      <c r="L267" s="25">
        <v>7</v>
      </c>
      <c r="M267"/>
      <c r="N267"/>
      <c r="R267" s="31"/>
      <c r="S267" s="31"/>
      <c r="T267" s="31"/>
      <c r="U267" s="31"/>
      <c r="V267" s="31"/>
      <c r="W267" s="31"/>
      <c r="X267" s="31"/>
      <c r="Y267" s="31"/>
    </row>
    <row r="268" spans="1:25">
      <c r="A268" s="38">
        <v>2</v>
      </c>
      <c r="B268" s="25">
        <v>1</v>
      </c>
      <c r="C268" s="25">
        <v>7</v>
      </c>
      <c r="D268" s="25">
        <v>8</v>
      </c>
      <c r="E268"/>
      <c r="F268"/>
      <c r="H268" s="38">
        <v>2</v>
      </c>
      <c r="I268" s="25">
        <v>5</v>
      </c>
      <c r="J268" s="25">
        <v>3</v>
      </c>
      <c r="K268" s="25"/>
      <c r="L268" s="25">
        <v>8</v>
      </c>
      <c r="M268"/>
      <c r="N268"/>
      <c r="O268" s="31"/>
    </row>
    <row r="269" spans="1:25">
      <c r="A269" s="38" t="s">
        <v>161</v>
      </c>
      <c r="B269" s="25">
        <v>7</v>
      </c>
      <c r="C269" s="25">
        <v>8</v>
      </c>
      <c r="D269" s="25">
        <v>15</v>
      </c>
      <c r="E269"/>
      <c r="F269"/>
      <c r="H269" s="38" t="s">
        <v>161</v>
      </c>
      <c r="I269" s="25">
        <v>9</v>
      </c>
      <c r="J269" s="25">
        <v>4</v>
      </c>
      <c r="K269" s="25">
        <v>2</v>
      </c>
      <c r="L269" s="25">
        <v>15</v>
      </c>
      <c r="M269"/>
      <c r="N269"/>
    </row>
    <row r="270" spans="1:25">
      <c r="A270"/>
      <c r="B270"/>
      <c r="C270"/>
      <c r="D270"/>
      <c r="E270"/>
      <c r="F270"/>
      <c r="H270"/>
      <c r="I270"/>
      <c r="J270"/>
      <c r="K270"/>
      <c r="L270"/>
      <c r="M270"/>
      <c r="N270"/>
    </row>
    <row r="271" spans="1:25">
      <c r="A271"/>
      <c r="B271"/>
      <c r="C271"/>
      <c r="D271"/>
      <c r="E271"/>
      <c r="F271"/>
      <c r="H271"/>
      <c r="I271"/>
      <c r="J271"/>
      <c r="K271"/>
      <c r="L271"/>
      <c r="M271"/>
      <c r="N271"/>
    </row>
    <row r="272" spans="1:25">
      <c r="A272"/>
      <c r="B272"/>
      <c r="C272"/>
      <c r="D272"/>
      <c r="E272"/>
      <c r="F272"/>
      <c r="G272" s="31"/>
      <c r="H272"/>
      <c r="I272"/>
      <c r="J272"/>
      <c r="K272"/>
      <c r="L272"/>
      <c r="M272"/>
      <c r="N272"/>
    </row>
    <row r="273" spans="1:18">
      <c r="A273" s="39" t="s">
        <v>679</v>
      </c>
      <c r="B273"/>
      <c r="C273"/>
      <c r="D273"/>
      <c r="E273"/>
      <c r="F273"/>
      <c r="H273" s="39" t="s">
        <v>680</v>
      </c>
      <c r="I273"/>
      <c r="J273"/>
      <c r="K273"/>
      <c r="L273"/>
      <c r="M273"/>
      <c r="N273"/>
    </row>
    <row r="274" spans="1:18">
      <c r="A274" s="37" t="s">
        <v>110</v>
      </c>
      <c r="B274" s="37" t="s">
        <v>282</v>
      </c>
      <c r="C274"/>
      <c r="D274"/>
      <c r="E274"/>
      <c r="F274"/>
      <c r="G274"/>
      <c r="H274" s="37" t="s">
        <v>110</v>
      </c>
      <c r="I274" s="37" t="s">
        <v>282</v>
      </c>
      <c r="J274"/>
      <c r="K274"/>
      <c r="L274"/>
      <c r="M274"/>
      <c r="N274"/>
      <c r="R274" s="31"/>
    </row>
    <row r="275" spans="1:18">
      <c r="A275" s="37" t="s">
        <v>281</v>
      </c>
      <c r="B275">
        <v>1</v>
      </c>
      <c r="C275">
        <v>2</v>
      </c>
      <c r="D275" t="s">
        <v>161</v>
      </c>
      <c r="E275"/>
      <c r="F275"/>
      <c r="G275"/>
      <c r="H275" s="37" t="s">
        <v>281</v>
      </c>
      <c r="I275">
        <v>1</v>
      </c>
      <c r="J275">
        <v>2</v>
      </c>
      <c r="K275">
        <v>3</v>
      </c>
      <c r="L275" t="s">
        <v>161</v>
      </c>
      <c r="M275"/>
      <c r="N275"/>
      <c r="R275" s="31"/>
    </row>
    <row r="276" spans="1:18">
      <c r="A276" s="38">
        <v>1</v>
      </c>
      <c r="B276" s="25">
        <v>1</v>
      </c>
      <c r="C276" s="25">
        <v>7</v>
      </c>
      <c r="D276" s="25">
        <v>8</v>
      </c>
      <c r="E276"/>
      <c r="F276"/>
      <c r="G276"/>
      <c r="H276" s="38">
        <v>1</v>
      </c>
      <c r="I276" s="25">
        <v>3</v>
      </c>
      <c r="J276" s="25">
        <v>3</v>
      </c>
      <c r="K276" s="25">
        <v>2</v>
      </c>
      <c r="L276" s="25">
        <v>8</v>
      </c>
      <c r="M276"/>
      <c r="N276"/>
      <c r="R276" s="31"/>
    </row>
    <row r="277" spans="1:18">
      <c r="A277" s="38">
        <v>2</v>
      </c>
      <c r="B277" s="25">
        <v>6</v>
      </c>
      <c r="C277" s="25">
        <v>1</v>
      </c>
      <c r="D277" s="25">
        <v>7</v>
      </c>
      <c r="E277"/>
      <c r="F277"/>
      <c r="H277" s="38">
        <v>2</v>
      </c>
      <c r="I277" s="25">
        <v>6</v>
      </c>
      <c r="J277" s="25">
        <v>1</v>
      </c>
      <c r="K277" s="25"/>
      <c r="L277" s="25">
        <v>7</v>
      </c>
      <c r="M277"/>
      <c r="N277"/>
      <c r="R277" s="31"/>
    </row>
    <row r="278" spans="1:18">
      <c r="A278" s="38" t="s">
        <v>161</v>
      </c>
      <c r="B278" s="25">
        <v>7</v>
      </c>
      <c r="C278" s="25">
        <v>8</v>
      </c>
      <c r="D278" s="25">
        <v>15</v>
      </c>
      <c r="E278"/>
      <c r="F278"/>
      <c r="H278" s="38" t="s">
        <v>161</v>
      </c>
      <c r="I278" s="25">
        <v>9</v>
      </c>
      <c r="J278" s="25">
        <v>4</v>
      </c>
      <c r="K278" s="25">
        <v>2</v>
      </c>
      <c r="L278" s="25">
        <v>15</v>
      </c>
      <c r="M278"/>
      <c r="N278"/>
      <c r="R278" s="31"/>
    </row>
    <row r="279" spans="1:18">
      <c r="A279"/>
      <c r="B279"/>
      <c r="C279"/>
      <c r="D279"/>
      <c r="E279"/>
      <c r="F279"/>
      <c r="G279" s="31"/>
      <c r="H279"/>
      <c r="I279"/>
      <c r="J279"/>
      <c r="K279"/>
      <c r="L279"/>
      <c r="M279"/>
      <c r="N279"/>
      <c r="R279" s="31"/>
    </row>
    <row r="280" spans="1:18">
      <c r="A280"/>
      <c r="B280"/>
      <c r="C280"/>
      <c r="D280"/>
      <c r="E280"/>
      <c r="F280"/>
      <c r="G280" s="31"/>
      <c r="H280"/>
      <c r="I280"/>
      <c r="J280"/>
      <c r="K280"/>
      <c r="L280"/>
      <c r="M280"/>
      <c r="N280"/>
      <c r="R280" s="31"/>
    </row>
    <row r="281" spans="1:18">
      <c r="A281"/>
      <c r="B281"/>
      <c r="C281"/>
      <c r="D281"/>
      <c r="E281"/>
      <c r="F281"/>
      <c r="H281"/>
      <c r="I281"/>
      <c r="J281"/>
      <c r="K281"/>
      <c r="L281"/>
      <c r="M281"/>
      <c r="N281"/>
      <c r="R281" s="31"/>
    </row>
    <row r="282" spans="1:18">
      <c r="A282" s="39" t="s">
        <v>682</v>
      </c>
      <c r="B282"/>
      <c r="C282"/>
      <c r="D282"/>
      <c r="E282"/>
      <c r="F282"/>
      <c r="H282" s="39" t="s">
        <v>681</v>
      </c>
      <c r="I282"/>
      <c r="J282"/>
      <c r="K282"/>
      <c r="L282"/>
      <c r="M282"/>
      <c r="N282"/>
    </row>
    <row r="283" spans="1:18">
      <c r="A283" s="37" t="s">
        <v>110</v>
      </c>
      <c r="B283" s="37" t="s">
        <v>282</v>
      </c>
      <c r="C283"/>
      <c r="D283"/>
      <c r="E283"/>
      <c r="F283"/>
      <c r="G283"/>
      <c r="H283" s="37" t="s">
        <v>110</v>
      </c>
      <c r="I283" s="37" t="s">
        <v>282</v>
      </c>
      <c r="J283"/>
      <c r="K283"/>
      <c r="L283"/>
      <c r="M283"/>
      <c r="N283"/>
      <c r="R283" s="31"/>
    </row>
    <row r="284" spans="1:18">
      <c r="A284" s="37" t="s">
        <v>281</v>
      </c>
      <c r="B284">
        <v>1</v>
      </c>
      <c r="C284">
        <v>2</v>
      </c>
      <c r="D284" t="s">
        <v>161</v>
      </c>
      <c r="E284"/>
      <c r="F284"/>
      <c r="G284"/>
      <c r="H284" s="37" t="s">
        <v>281</v>
      </c>
      <c r="I284">
        <v>1</v>
      </c>
      <c r="J284">
        <v>2</v>
      </c>
      <c r="K284">
        <v>3</v>
      </c>
      <c r="L284" t="s">
        <v>161</v>
      </c>
      <c r="M284"/>
      <c r="N284"/>
    </row>
    <row r="285" spans="1:18">
      <c r="A285" s="38">
        <v>1</v>
      </c>
      <c r="B285" s="25">
        <v>1</v>
      </c>
      <c r="C285" s="25">
        <v>5</v>
      </c>
      <c r="D285" s="25">
        <v>6</v>
      </c>
      <c r="E285"/>
      <c r="F285"/>
      <c r="G285"/>
      <c r="H285" s="38">
        <v>1</v>
      </c>
      <c r="I285" s="25">
        <v>3</v>
      </c>
      <c r="J285" s="25">
        <v>3</v>
      </c>
      <c r="K285" s="25"/>
      <c r="L285" s="25">
        <v>6</v>
      </c>
      <c r="M285"/>
      <c r="N285"/>
    </row>
    <row r="286" spans="1:18">
      <c r="A286" s="38">
        <v>2</v>
      </c>
      <c r="B286" s="25">
        <v>6</v>
      </c>
      <c r="C286" s="25">
        <v>3</v>
      </c>
      <c r="D286" s="25">
        <v>9</v>
      </c>
      <c r="E286"/>
      <c r="F286"/>
      <c r="H286" s="38">
        <v>2</v>
      </c>
      <c r="I286" s="25">
        <v>6</v>
      </c>
      <c r="J286" s="25">
        <v>1</v>
      </c>
      <c r="K286" s="25">
        <v>2</v>
      </c>
      <c r="L286" s="25">
        <v>9</v>
      </c>
      <c r="M286"/>
      <c r="N286"/>
    </row>
    <row r="287" spans="1:18">
      <c r="A287" s="38" t="s">
        <v>161</v>
      </c>
      <c r="B287" s="25">
        <v>7</v>
      </c>
      <c r="C287" s="25">
        <v>8</v>
      </c>
      <c r="D287" s="25">
        <v>15</v>
      </c>
      <c r="E287"/>
      <c r="F287"/>
      <c r="G287" s="31"/>
      <c r="H287" s="38" t="s">
        <v>161</v>
      </c>
      <c r="I287" s="25">
        <v>9</v>
      </c>
      <c r="J287" s="25">
        <v>4</v>
      </c>
      <c r="K287" s="25">
        <v>2</v>
      </c>
      <c r="L287" s="25">
        <v>15</v>
      </c>
      <c r="M287"/>
      <c r="N287"/>
    </row>
    <row r="288" spans="1:18">
      <c r="A288"/>
      <c r="B288"/>
      <c r="C288"/>
      <c r="D288"/>
      <c r="E288"/>
      <c r="F288"/>
      <c r="H288"/>
      <c r="I288"/>
      <c r="J288"/>
      <c r="K288"/>
      <c r="L288"/>
      <c r="M288"/>
      <c r="N288"/>
    </row>
    <row r="289" spans="1:18">
      <c r="A289"/>
      <c r="B289"/>
      <c r="C289"/>
      <c r="D289"/>
      <c r="E289"/>
      <c r="F289"/>
      <c r="H289"/>
      <c r="I289"/>
      <c r="J289"/>
      <c r="K289"/>
      <c r="L289"/>
      <c r="M289"/>
      <c r="N289"/>
    </row>
    <row r="290" spans="1:18">
      <c r="A290"/>
      <c r="B290"/>
      <c r="C290"/>
      <c r="D290"/>
      <c r="E290"/>
      <c r="F290"/>
      <c r="H290"/>
      <c r="I290"/>
      <c r="J290"/>
      <c r="K290"/>
      <c r="L290"/>
      <c r="M290"/>
      <c r="N290"/>
    </row>
    <row r="291" spans="1:18">
      <c r="A291" s="39" t="s">
        <v>683</v>
      </c>
      <c r="B291"/>
      <c r="C291"/>
      <c r="D291"/>
      <c r="E291"/>
      <c r="F291"/>
      <c r="H291" s="39" t="s">
        <v>684</v>
      </c>
      <c r="I291"/>
      <c r="J291"/>
      <c r="K291"/>
      <c r="L291"/>
      <c r="M291"/>
      <c r="N291"/>
    </row>
    <row r="292" spans="1:18">
      <c r="A292" s="37" t="s">
        <v>110</v>
      </c>
      <c r="B292" s="37" t="s">
        <v>282</v>
      </c>
      <c r="C292"/>
      <c r="D292"/>
      <c r="E292"/>
      <c r="F292"/>
      <c r="G292"/>
      <c r="H292" s="37" t="s">
        <v>110</v>
      </c>
      <c r="I292" s="37" t="s">
        <v>282</v>
      </c>
      <c r="J292"/>
      <c r="K292"/>
      <c r="L292"/>
      <c r="M292"/>
      <c r="N292"/>
      <c r="R292" s="31"/>
    </row>
    <row r="293" spans="1:18">
      <c r="A293" s="37" t="s">
        <v>281</v>
      </c>
      <c r="B293">
        <v>1</v>
      </c>
      <c r="C293">
        <v>2</v>
      </c>
      <c r="D293" t="s">
        <v>161</v>
      </c>
      <c r="E293"/>
      <c r="F293"/>
      <c r="G293"/>
      <c r="H293" s="37" t="s">
        <v>281</v>
      </c>
      <c r="I293">
        <v>1</v>
      </c>
      <c r="J293">
        <v>2</v>
      </c>
      <c r="K293">
        <v>3</v>
      </c>
      <c r="L293" t="s">
        <v>161</v>
      </c>
      <c r="M293"/>
      <c r="N293"/>
    </row>
    <row r="294" spans="1:18">
      <c r="A294" s="38">
        <v>1</v>
      </c>
      <c r="B294" s="25">
        <v>4</v>
      </c>
      <c r="C294" s="25">
        <v>5</v>
      </c>
      <c r="D294" s="25">
        <v>9</v>
      </c>
      <c r="E294"/>
      <c r="F294"/>
      <c r="G294"/>
      <c r="H294" s="38">
        <v>1</v>
      </c>
      <c r="I294" s="25">
        <v>6</v>
      </c>
      <c r="J294" s="25">
        <v>2</v>
      </c>
      <c r="K294" s="25">
        <v>1</v>
      </c>
      <c r="L294" s="25">
        <v>9</v>
      </c>
      <c r="M294"/>
      <c r="N294"/>
    </row>
    <row r="295" spans="1:18">
      <c r="A295" s="38">
        <v>2</v>
      </c>
      <c r="B295" s="25">
        <v>3</v>
      </c>
      <c r="C295" s="25">
        <v>3</v>
      </c>
      <c r="D295" s="25">
        <v>6</v>
      </c>
      <c r="E295"/>
      <c r="F295"/>
      <c r="G295" s="31"/>
      <c r="H295" s="38">
        <v>2</v>
      </c>
      <c r="I295" s="25">
        <v>3</v>
      </c>
      <c r="J295" s="25">
        <v>2</v>
      </c>
      <c r="K295" s="25">
        <v>1</v>
      </c>
      <c r="L295" s="25">
        <v>6</v>
      </c>
      <c r="M295"/>
      <c r="N295"/>
    </row>
    <row r="296" spans="1:18">
      <c r="A296" s="38" t="s">
        <v>161</v>
      </c>
      <c r="B296" s="25">
        <v>7</v>
      </c>
      <c r="C296" s="25">
        <v>8</v>
      </c>
      <c r="D296" s="25">
        <v>15</v>
      </c>
      <c r="E296"/>
      <c r="F296"/>
      <c r="G296" s="31"/>
      <c r="H296" s="38" t="s">
        <v>161</v>
      </c>
      <c r="I296" s="25">
        <v>9</v>
      </c>
      <c r="J296" s="25">
        <v>4</v>
      </c>
      <c r="K296" s="25">
        <v>2</v>
      </c>
      <c r="L296" s="25">
        <v>15</v>
      </c>
      <c r="M296"/>
      <c r="N296"/>
    </row>
    <row r="297" spans="1:18">
      <c r="A297"/>
      <c r="B297"/>
      <c r="C297"/>
      <c r="D297"/>
      <c r="E297"/>
      <c r="F297"/>
      <c r="G297" s="31"/>
      <c r="H297"/>
      <c r="I297"/>
      <c r="J297"/>
      <c r="K297"/>
      <c r="L297"/>
      <c r="M297"/>
      <c r="N297"/>
    </row>
    <row r="298" spans="1:18">
      <c r="A298"/>
      <c r="B298"/>
      <c r="C298"/>
      <c r="D298"/>
      <c r="E298"/>
      <c r="F298"/>
      <c r="G298" s="31"/>
      <c r="H298"/>
      <c r="I298"/>
      <c r="J298"/>
      <c r="K298"/>
      <c r="L298"/>
      <c r="M298"/>
      <c r="N298"/>
    </row>
    <row r="299" spans="1:18">
      <c r="A299"/>
      <c r="B299"/>
      <c r="C299"/>
      <c r="D299"/>
      <c r="E299"/>
      <c r="F299"/>
      <c r="H299"/>
      <c r="I299"/>
      <c r="J299"/>
      <c r="K299"/>
      <c r="L299"/>
      <c r="M299"/>
      <c r="N299"/>
    </row>
    <row r="300" spans="1:18">
      <c r="A300" s="39" t="s">
        <v>685</v>
      </c>
      <c r="B300"/>
      <c r="C300"/>
      <c r="D300"/>
      <c r="E300"/>
      <c r="F300"/>
      <c r="H300" s="39" t="s">
        <v>686</v>
      </c>
      <c r="I300"/>
      <c r="J300"/>
      <c r="K300"/>
      <c r="L300"/>
      <c r="M300"/>
      <c r="N300"/>
    </row>
    <row r="301" spans="1:18">
      <c r="A301" s="37" t="s">
        <v>110</v>
      </c>
      <c r="B301" s="37" t="s">
        <v>282</v>
      </c>
      <c r="C301"/>
      <c r="D301"/>
      <c r="E301"/>
      <c r="F301"/>
      <c r="G301"/>
      <c r="H301" s="37" t="s">
        <v>110</v>
      </c>
      <c r="I301" s="37" t="s">
        <v>282</v>
      </c>
      <c r="J301"/>
      <c r="K301"/>
      <c r="L301"/>
      <c r="M301"/>
      <c r="N301"/>
      <c r="R301" s="31"/>
    </row>
    <row r="302" spans="1:18">
      <c r="A302" s="37" t="s">
        <v>281</v>
      </c>
      <c r="B302">
        <v>1</v>
      </c>
      <c r="C302">
        <v>2</v>
      </c>
      <c r="D302" t="s">
        <v>161</v>
      </c>
      <c r="E302"/>
      <c r="F302"/>
      <c r="G302"/>
      <c r="H302" s="37" t="s">
        <v>281</v>
      </c>
      <c r="I302">
        <v>1</v>
      </c>
      <c r="J302">
        <v>2</v>
      </c>
      <c r="K302">
        <v>3</v>
      </c>
      <c r="L302" t="s">
        <v>161</v>
      </c>
      <c r="M302"/>
      <c r="N302"/>
    </row>
    <row r="303" spans="1:18">
      <c r="A303" s="38">
        <v>1</v>
      </c>
      <c r="B303" s="25">
        <v>4</v>
      </c>
      <c r="C303" s="25">
        <v>3</v>
      </c>
      <c r="D303" s="25">
        <v>7</v>
      </c>
      <c r="E303"/>
      <c r="F303"/>
      <c r="G303"/>
      <c r="H303" s="38">
        <v>1</v>
      </c>
      <c r="I303" s="25">
        <v>4</v>
      </c>
      <c r="J303" s="25">
        <v>2</v>
      </c>
      <c r="K303" s="25">
        <v>1</v>
      </c>
      <c r="L303" s="25">
        <v>7</v>
      </c>
      <c r="M303"/>
      <c r="N303"/>
    </row>
    <row r="304" spans="1:18">
      <c r="A304" s="38">
        <v>2</v>
      </c>
      <c r="B304" s="25">
        <v>3</v>
      </c>
      <c r="C304" s="25">
        <v>5</v>
      </c>
      <c r="D304" s="25">
        <v>8</v>
      </c>
      <c r="E304"/>
      <c r="F304"/>
      <c r="H304" s="38">
        <v>2</v>
      </c>
      <c r="I304" s="25">
        <v>5</v>
      </c>
      <c r="J304" s="25">
        <v>2</v>
      </c>
      <c r="K304" s="25">
        <v>1</v>
      </c>
      <c r="L304" s="25">
        <v>8</v>
      </c>
      <c r="M304"/>
      <c r="N304"/>
    </row>
    <row r="305" spans="1:25">
      <c r="A305" s="38" t="s">
        <v>161</v>
      </c>
      <c r="B305" s="25">
        <v>7</v>
      </c>
      <c r="C305" s="25">
        <v>8</v>
      </c>
      <c r="D305" s="25">
        <v>15</v>
      </c>
      <c r="E305"/>
      <c r="F305"/>
      <c r="H305" s="38" t="s">
        <v>161</v>
      </c>
      <c r="I305" s="25">
        <v>9</v>
      </c>
      <c r="J305" s="25">
        <v>4</v>
      </c>
      <c r="K305" s="25">
        <v>2</v>
      </c>
      <c r="L305" s="25">
        <v>15</v>
      </c>
      <c r="M305"/>
      <c r="N305"/>
    </row>
    <row r="306" spans="1:25">
      <c r="A306"/>
      <c r="B306"/>
      <c r="C306"/>
      <c r="D306"/>
      <c r="E306"/>
      <c r="F306"/>
      <c r="H306"/>
      <c r="I306"/>
      <c r="J306"/>
      <c r="K306"/>
      <c r="L306"/>
      <c r="M306"/>
      <c r="N306"/>
    </row>
    <row r="307" spans="1:25">
      <c r="A307"/>
      <c r="B307"/>
      <c r="C307"/>
      <c r="D307"/>
      <c r="E307"/>
      <c r="F307"/>
      <c r="H307"/>
      <c r="I307"/>
      <c r="J307"/>
      <c r="K307"/>
      <c r="L307"/>
      <c r="M307"/>
      <c r="N307"/>
    </row>
    <row r="308" spans="1:25">
      <c r="A308"/>
      <c r="B308"/>
      <c r="C308"/>
      <c r="D308"/>
      <c r="E308"/>
      <c r="F308"/>
      <c r="H308"/>
      <c r="I308"/>
      <c r="J308"/>
      <c r="K308"/>
      <c r="L308"/>
      <c r="M308"/>
      <c r="N308"/>
    </row>
    <row r="309" spans="1:25">
      <c r="A309" s="39" t="s">
        <v>687</v>
      </c>
      <c r="B309"/>
      <c r="C309"/>
      <c r="D309"/>
      <c r="E309"/>
      <c r="F309"/>
      <c r="H309" s="39" t="s">
        <v>688</v>
      </c>
      <c r="I309"/>
      <c r="J309"/>
      <c r="K309"/>
      <c r="L309"/>
      <c r="M309"/>
      <c r="N309"/>
    </row>
    <row r="310" spans="1:25">
      <c r="A310" s="37" t="s">
        <v>110</v>
      </c>
      <c r="B310" s="37" t="s">
        <v>282</v>
      </c>
      <c r="C310"/>
      <c r="D310"/>
      <c r="E310"/>
      <c r="F310"/>
      <c r="G310"/>
      <c r="H310" s="37" t="s">
        <v>110</v>
      </c>
      <c r="I310" s="37" t="s">
        <v>282</v>
      </c>
      <c r="J310"/>
      <c r="K310"/>
      <c r="L310"/>
      <c r="M310"/>
      <c r="N310"/>
      <c r="R310" s="31"/>
    </row>
    <row r="311" spans="1:25">
      <c r="A311" s="37" t="s">
        <v>281</v>
      </c>
      <c r="B311">
        <v>1</v>
      </c>
      <c r="C311">
        <v>2</v>
      </c>
      <c r="D311" t="s">
        <v>161</v>
      </c>
      <c r="E311"/>
      <c r="F311"/>
      <c r="G311"/>
      <c r="H311" s="37" t="s">
        <v>281</v>
      </c>
      <c r="I311">
        <v>1</v>
      </c>
      <c r="J311">
        <v>2</v>
      </c>
      <c r="K311">
        <v>3</v>
      </c>
      <c r="L311" t="s">
        <v>161</v>
      </c>
      <c r="M311"/>
      <c r="N311"/>
    </row>
    <row r="312" spans="1:25">
      <c r="A312" s="38">
        <v>1</v>
      </c>
      <c r="B312" s="25">
        <v>3</v>
      </c>
      <c r="C312" s="25">
        <v>5</v>
      </c>
      <c r="D312" s="25">
        <v>8</v>
      </c>
      <c r="E312"/>
      <c r="F312"/>
      <c r="G312"/>
      <c r="H312" s="38">
        <v>1</v>
      </c>
      <c r="I312" s="25">
        <v>5</v>
      </c>
      <c r="J312" s="25">
        <v>1</v>
      </c>
      <c r="K312" s="25">
        <v>2</v>
      </c>
      <c r="L312" s="25">
        <v>8</v>
      </c>
      <c r="M312"/>
      <c r="N312"/>
    </row>
    <row r="313" spans="1:25">
      <c r="A313" s="38">
        <v>2</v>
      </c>
      <c r="B313" s="25">
        <v>4</v>
      </c>
      <c r="C313" s="25">
        <v>3</v>
      </c>
      <c r="D313" s="25">
        <v>7</v>
      </c>
      <c r="E313"/>
      <c r="F313"/>
      <c r="H313" s="38">
        <v>2</v>
      </c>
      <c r="I313" s="25">
        <v>4</v>
      </c>
      <c r="J313" s="25">
        <v>3</v>
      </c>
      <c r="K313" s="25"/>
      <c r="L313" s="25">
        <v>7</v>
      </c>
      <c r="M313"/>
      <c r="N313"/>
    </row>
    <row r="314" spans="1:25">
      <c r="A314" s="38" t="s">
        <v>161</v>
      </c>
      <c r="B314" s="25">
        <v>7</v>
      </c>
      <c r="C314" s="25">
        <v>8</v>
      </c>
      <c r="D314" s="25">
        <v>15</v>
      </c>
      <c r="E314"/>
      <c r="F314"/>
      <c r="H314" s="38" t="s">
        <v>862</v>
      </c>
      <c r="I314" s="25">
        <v>4</v>
      </c>
      <c r="J314" s="25">
        <v>1</v>
      </c>
      <c r="K314" s="25"/>
      <c r="L314" s="25">
        <v>5</v>
      </c>
      <c r="M314"/>
      <c r="N314"/>
    </row>
    <row r="315" spans="1:25">
      <c r="A315"/>
      <c r="B315"/>
      <c r="C315"/>
      <c r="D315"/>
      <c r="E315"/>
      <c r="F315"/>
      <c r="H315" s="38" t="s">
        <v>161</v>
      </c>
      <c r="I315" s="25">
        <v>13</v>
      </c>
      <c r="J315" s="25">
        <v>5</v>
      </c>
      <c r="K315" s="25">
        <v>2</v>
      </c>
      <c r="L315" s="25">
        <v>20</v>
      </c>
      <c r="M315"/>
      <c r="N315"/>
    </row>
    <row r="316" spans="1:25">
      <c r="A316"/>
      <c r="B316"/>
      <c r="C316"/>
      <c r="D316"/>
      <c r="E316"/>
      <c r="F316"/>
      <c r="H316"/>
      <c r="I316"/>
      <c r="J316"/>
      <c r="K316"/>
      <c r="L316"/>
      <c r="M316"/>
      <c r="N316"/>
    </row>
    <row r="317" spans="1:25">
      <c r="A317"/>
      <c r="B317"/>
      <c r="C317"/>
      <c r="D317"/>
      <c r="E317"/>
      <c r="F317"/>
      <c r="H317"/>
      <c r="I317"/>
      <c r="J317"/>
      <c r="K317"/>
      <c r="L317"/>
      <c r="M317"/>
      <c r="N317"/>
    </row>
    <row r="318" spans="1:25">
      <c r="A318" s="39" t="s">
        <v>689</v>
      </c>
      <c r="B318"/>
      <c r="C318"/>
      <c r="D318"/>
      <c r="E318"/>
      <c r="F318"/>
      <c r="H318" s="39" t="s">
        <v>690</v>
      </c>
      <c r="I318"/>
      <c r="J318"/>
      <c r="K318"/>
      <c r="L318"/>
      <c r="M318"/>
      <c r="N318"/>
      <c r="R318" s="31"/>
      <c r="S318" s="31"/>
      <c r="T318" s="31"/>
      <c r="U318" s="31"/>
      <c r="V318" s="31"/>
      <c r="W318" s="31"/>
      <c r="X318" s="31"/>
      <c r="Y318" s="31"/>
    </row>
    <row r="319" spans="1:25">
      <c r="A319" s="37" t="s">
        <v>110</v>
      </c>
      <c r="B319" s="37" t="s">
        <v>282</v>
      </c>
      <c r="C319"/>
      <c r="D319"/>
      <c r="E319"/>
      <c r="F319"/>
      <c r="G319"/>
      <c r="H319" s="37" t="s">
        <v>110</v>
      </c>
      <c r="I319" s="37" t="s">
        <v>282</v>
      </c>
      <c r="J319"/>
      <c r="K319"/>
      <c r="L319"/>
      <c r="M319"/>
      <c r="N319"/>
    </row>
    <row r="320" spans="1:25">
      <c r="A320" s="37" t="s">
        <v>281</v>
      </c>
      <c r="B320">
        <v>1</v>
      </c>
      <c r="C320">
        <v>2</v>
      </c>
      <c r="D320" t="s">
        <v>161</v>
      </c>
      <c r="E320"/>
      <c r="F320"/>
      <c r="G320"/>
      <c r="H320" s="37" t="s">
        <v>281</v>
      </c>
      <c r="I320">
        <v>1</v>
      </c>
      <c r="J320">
        <v>2</v>
      </c>
      <c r="K320">
        <v>3</v>
      </c>
      <c r="L320" t="s">
        <v>161</v>
      </c>
      <c r="M320"/>
      <c r="N320"/>
    </row>
    <row r="321" spans="1:25">
      <c r="A321" s="38">
        <v>1</v>
      </c>
      <c r="B321" s="25">
        <v>4</v>
      </c>
      <c r="C321" s="25">
        <v>4</v>
      </c>
      <c r="D321" s="25">
        <v>8</v>
      </c>
      <c r="E321"/>
      <c r="F321"/>
      <c r="G321"/>
      <c r="H321" s="38">
        <v>1</v>
      </c>
      <c r="I321" s="25">
        <v>4</v>
      </c>
      <c r="J321" s="25">
        <v>3</v>
      </c>
      <c r="K321" s="25">
        <v>1</v>
      </c>
      <c r="L321" s="25">
        <v>8</v>
      </c>
      <c r="M321"/>
      <c r="N321"/>
    </row>
    <row r="322" spans="1:25">
      <c r="A322" s="38">
        <v>2</v>
      </c>
      <c r="B322" s="25">
        <v>3</v>
      </c>
      <c r="C322" s="25">
        <v>4</v>
      </c>
      <c r="D322" s="25">
        <v>7</v>
      </c>
      <c r="E322"/>
      <c r="F322"/>
      <c r="H322" s="38">
        <v>2</v>
      </c>
      <c r="I322" s="25">
        <v>5</v>
      </c>
      <c r="J322" s="25">
        <v>1</v>
      </c>
      <c r="K322" s="25">
        <v>1</v>
      </c>
      <c r="L322" s="25">
        <v>7</v>
      </c>
      <c r="M322"/>
      <c r="N322"/>
    </row>
    <row r="323" spans="1:25">
      <c r="A323" s="38" t="s">
        <v>161</v>
      </c>
      <c r="B323" s="25">
        <v>7</v>
      </c>
      <c r="C323" s="25">
        <v>8</v>
      </c>
      <c r="D323" s="25">
        <v>15</v>
      </c>
      <c r="E323"/>
      <c r="F323"/>
      <c r="H323" s="38" t="s">
        <v>161</v>
      </c>
      <c r="I323" s="25">
        <v>9</v>
      </c>
      <c r="J323" s="25">
        <v>4</v>
      </c>
      <c r="K323" s="25">
        <v>2</v>
      </c>
      <c r="L323" s="25">
        <v>15</v>
      </c>
      <c r="M323"/>
      <c r="N323"/>
    </row>
    <row r="324" spans="1:25">
      <c r="A324"/>
      <c r="B324"/>
      <c r="C324"/>
      <c r="D324"/>
      <c r="E324"/>
      <c r="F324"/>
      <c r="H324"/>
      <c r="I324"/>
      <c r="J324"/>
      <c r="K324"/>
      <c r="L324"/>
      <c r="M324"/>
      <c r="N324"/>
    </row>
    <row r="325" spans="1:25">
      <c r="A325"/>
      <c r="B325"/>
      <c r="C325"/>
      <c r="D325"/>
      <c r="E325"/>
      <c r="F325"/>
      <c r="H325"/>
      <c r="I325"/>
      <c r="J325"/>
      <c r="K325"/>
      <c r="L325"/>
      <c r="M325"/>
      <c r="N325"/>
      <c r="R325" s="31"/>
      <c r="S325" s="31"/>
      <c r="T325" s="31"/>
      <c r="U325" s="31"/>
      <c r="V325" s="31"/>
      <c r="W325" s="31"/>
      <c r="X325" s="31"/>
      <c r="Y325" s="31"/>
    </row>
    <row r="326" spans="1:25">
      <c r="A326"/>
      <c r="B326"/>
      <c r="C326"/>
      <c r="D326"/>
      <c r="E326"/>
      <c r="F326"/>
      <c r="H326"/>
      <c r="I326"/>
      <c r="J326"/>
      <c r="K326"/>
      <c r="L326"/>
      <c r="M326"/>
      <c r="N326"/>
    </row>
    <row r="327" spans="1:25">
      <c r="A327" s="39" t="s">
        <v>691</v>
      </c>
      <c r="B327"/>
      <c r="C327"/>
      <c r="D327"/>
      <c r="E327"/>
      <c r="F327"/>
      <c r="H327" s="39" t="s">
        <v>692</v>
      </c>
      <c r="I327"/>
      <c r="J327"/>
      <c r="K327"/>
      <c r="L327"/>
      <c r="M327"/>
      <c r="N327"/>
    </row>
    <row r="328" spans="1:25">
      <c r="A328" s="37" t="s">
        <v>110</v>
      </c>
      <c r="B328" s="37" t="s">
        <v>282</v>
      </c>
      <c r="C328"/>
      <c r="D328"/>
      <c r="E328"/>
      <c r="F328"/>
      <c r="G328"/>
      <c r="H328" s="37" t="s">
        <v>110</v>
      </c>
      <c r="I328" s="37" t="s">
        <v>282</v>
      </c>
      <c r="J328"/>
      <c r="K328"/>
      <c r="L328"/>
      <c r="M328"/>
      <c r="N328"/>
    </row>
    <row r="329" spans="1:25">
      <c r="A329" s="37" t="s">
        <v>281</v>
      </c>
      <c r="B329">
        <v>1</v>
      </c>
      <c r="C329">
        <v>2</v>
      </c>
      <c r="D329" t="s">
        <v>161</v>
      </c>
      <c r="E329"/>
      <c r="F329"/>
      <c r="G329"/>
      <c r="H329" s="37" t="s">
        <v>281</v>
      </c>
      <c r="I329">
        <v>1</v>
      </c>
      <c r="J329">
        <v>2</v>
      </c>
      <c r="K329">
        <v>3</v>
      </c>
      <c r="L329" t="s">
        <v>161</v>
      </c>
      <c r="M329"/>
      <c r="N329"/>
    </row>
    <row r="330" spans="1:25">
      <c r="A330" s="38">
        <v>1</v>
      </c>
      <c r="B330" s="25">
        <v>5</v>
      </c>
      <c r="C330" s="25">
        <v>3</v>
      </c>
      <c r="D330" s="25">
        <v>8</v>
      </c>
      <c r="E330"/>
      <c r="F330"/>
      <c r="G330"/>
      <c r="H330" s="38">
        <v>1</v>
      </c>
      <c r="I330" s="25">
        <v>3</v>
      </c>
      <c r="J330" s="25">
        <v>4</v>
      </c>
      <c r="K330" s="25">
        <v>1</v>
      </c>
      <c r="L330" s="25">
        <v>8</v>
      </c>
      <c r="M330"/>
      <c r="N330"/>
    </row>
    <row r="331" spans="1:25">
      <c r="A331" s="38">
        <v>2</v>
      </c>
      <c r="B331" s="25">
        <v>2</v>
      </c>
      <c r="C331" s="25">
        <v>5</v>
      </c>
      <c r="D331" s="25">
        <v>7</v>
      </c>
      <c r="E331"/>
      <c r="F331"/>
      <c r="G331" s="31"/>
      <c r="H331" s="38">
        <v>2</v>
      </c>
      <c r="I331" s="25">
        <v>6</v>
      </c>
      <c r="J331" s="25"/>
      <c r="K331" s="25">
        <v>1</v>
      </c>
      <c r="L331" s="25">
        <v>7</v>
      </c>
      <c r="M331"/>
      <c r="N331"/>
    </row>
    <row r="332" spans="1:25">
      <c r="A332" s="38" t="s">
        <v>161</v>
      </c>
      <c r="B332" s="25">
        <v>7</v>
      </c>
      <c r="C332" s="25">
        <v>8</v>
      </c>
      <c r="D332" s="25">
        <v>15</v>
      </c>
      <c r="E332"/>
      <c r="F332"/>
      <c r="H332" s="38" t="s">
        <v>161</v>
      </c>
      <c r="I332" s="25">
        <v>9</v>
      </c>
      <c r="J332" s="25">
        <v>4</v>
      </c>
      <c r="K332" s="25">
        <v>2</v>
      </c>
      <c r="L332" s="25">
        <v>15</v>
      </c>
      <c r="M332"/>
      <c r="N332"/>
      <c r="R332" s="31"/>
      <c r="S332" s="31"/>
      <c r="T332" s="31"/>
      <c r="U332" s="31"/>
      <c r="V332" s="31"/>
      <c r="W332" s="31"/>
      <c r="X332" s="31"/>
      <c r="Y332" s="31"/>
    </row>
    <row r="333" spans="1:25">
      <c r="A333"/>
      <c r="B333"/>
      <c r="C333"/>
      <c r="D333"/>
      <c r="E333"/>
      <c r="F333"/>
      <c r="H333"/>
      <c r="I333"/>
      <c r="J333"/>
      <c r="K333"/>
      <c r="L333"/>
      <c r="M333"/>
      <c r="N333"/>
    </row>
    <row r="334" spans="1:25">
      <c r="A334"/>
      <c r="B334"/>
      <c r="C334"/>
      <c r="D334"/>
      <c r="E334"/>
      <c r="F334"/>
      <c r="H334"/>
      <c r="I334"/>
      <c r="J334"/>
      <c r="K334"/>
      <c r="L334"/>
      <c r="M334"/>
      <c r="N334"/>
    </row>
    <row r="335" spans="1:25">
      <c r="A335"/>
      <c r="B335"/>
      <c r="C335"/>
      <c r="D335"/>
      <c r="E335"/>
      <c r="F335"/>
      <c r="H335"/>
      <c r="I335"/>
      <c r="J335"/>
      <c r="K335"/>
      <c r="L335"/>
      <c r="M335"/>
      <c r="N335"/>
    </row>
    <row r="336" spans="1:25">
      <c r="A336" s="39" t="s">
        <v>693</v>
      </c>
      <c r="B336"/>
      <c r="C336"/>
      <c r="D336"/>
      <c r="E336"/>
      <c r="F336"/>
      <c r="H336" s="39" t="s">
        <v>694</v>
      </c>
      <c r="I336"/>
      <c r="J336"/>
      <c r="K336"/>
      <c r="L336"/>
      <c r="M336"/>
      <c r="N336"/>
    </row>
    <row r="337" spans="1:25">
      <c r="A337" s="37" t="s">
        <v>110</v>
      </c>
      <c r="B337" s="37" t="s">
        <v>282</v>
      </c>
      <c r="C337"/>
      <c r="D337"/>
      <c r="E337"/>
      <c r="F337"/>
      <c r="G337"/>
      <c r="H337" s="37" t="s">
        <v>110</v>
      </c>
      <c r="I337" s="37" t="s">
        <v>282</v>
      </c>
      <c r="J337"/>
      <c r="K337"/>
      <c r="L337"/>
      <c r="M337"/>
      <c r="N337"/>
    </row>
    <row r="338" spans="1:25">
      <c r="A338" s="37" t="s">
        <v>281</v>
      </c>
      <c r="B338">
        <v>1</v>
      </c>
      <c r="C338">
        <v>2</v>
      </c>
      <c r="D338" t="s">
        <v>161</v>
      </c>
      <c r="E338"/>
      <c r="F338"/>
      <c r="G338"/>
      <c r="H338" s="37" t="s">
        <v>281</v>
      </c>
      <c r="I338">
        <v>1</v>
      </c>
      <c r="J338">
        <v>2</v>
      </c>
      <c r="K338">
        <v>3</v>
      </c>
      <c r="L338" t="s">
        <v>161</v>
      </c>
      <c r="M338"/>
      <c r="N338"/>
    </row>
    <row r="339" spans="1:25">
      <c r="A339" s="38">
        <v>1</v>
      </c>
      <c r="B339" s="25">
        <v>2</v>
      </c>
      <c r="C339" s="25">
        <v>5</v>
      </c>
      <c r="D339" s="25">
        <v>7</v>
      </c>
      <c r="E339"/>
      <c r="F339"/>
      <c r="G339"/>
      <c r="H339" s="38">
        <v>1</v>
      </c>
      <c r="I339" s="25">
        <v>3</v>
      </c>
      <c r="J339" s="25">
        <v>2</v>
      </c>
      <c r="K339" s="25">
        <v>2</v>
      </c>
      <c r="L339" s="25">
        <v>7</v>
      </c>
      <c r="M339"/>
      <c r="N339"/>
      <c r="R339" s="31"/>
      <c r="S339" s="31"/>
      <c r="T339" s="31"/>
      <c r="U339" s="31"/>
      <c r="V339" s="31"/>
      <c r="W339" s="31"/>
      <c r="X339" s="31"/>
      <c r="Y339" s="31"/>
    </row>
    <row r="340" spans="1:25">
      <c r="A340" s="38">
        <v>2</v>
      </c>
      <c r="B340" s="25">
        <v>5</v>
      </c>
      <c r="C340" s="25">
        <v>3</v>
      </c>
      <c r="D340" s="25">
        <v>8</v>
      </c>
      <c r="E340"/>
      <c r="F340"/>
      <c r="H340" s="38">
        <v>2</v>
      </c>
      <c r="I340" s="25">
        <v>6</v>
      </c>
      <c r="J340" s="25">
        <v>2</v>
      </c>
      <c r="K340" s="25"/>
      <c r="L340" s="25">
        <v>8</v>
      </c>
      <c r="M340"/>
      <c r="N340"/>
      <c r="O340" s="31"/>
    </row>
    <row r="341" spans="1:25">
      <c r="A341" s="38" t="s">
        <v>161</v>
      </c>
      <c r="B341" s="25">
        <v>7</v>
      </c>
      <c r="C341" s="25">
        <v>8</v>
      </c>
      <c r="D341" s="25">
        <v>15</v>
      </c>
      <c r="E341"/>
      <c r="F341"/>
      <c r="H341" s="38" t="s">
        <v>161</v>
      </c>
      <c r="I341" s="25">
        <v>9</v>
      </c>
      <c r="J341" s="25">
        <v>4</v>
      </c>
      <c r="K341" s="25">
        <v>2</v>
      </c>
      <c r="L341" s="25">
        <v>15</v>
      </c>
      <c r="M341"/>
      <c r="N341"/>
    </row>
    <row r="342" spans="1:25">
      <c r="A342"/>
      <c r="B342"/>
      <c r="C342"/>
      <c r="D342"/>
      <c r="E342"/>
      <c r="F342"/>
      <c r="H342"/>
      <c r="I342"/>
      <c r="J342"/>
      <c r="K342"/>
      <c r="L342"/>
      <c r="M342"/>
      <c r="N342"/>
    </row>
    <row r="343" spans="1:25">
      <c r="A343"/>
      <c r="B343"/>
      <c r="C343"/>
      <c r="D343"/>
      <c r="E343"/>
      <c r="F343"/>
      <c r="H343"/>
      <c r="I343"/>
      <c r="J343"/>
      <c r="K343"/>
      <c r="L343"/>
      <c r="M343"/>
      <c r="N343"/>
    </row>
    <row r="344" spans="1:25">
      <c r="A344"/>
      <c r="B344"/>
      <c r="C344"/>
      <c r="D344"/>
      <c r="E344"/>
      <c r="F344"/>
      <c r="H344"/>
      <c r="I344"/>
      <c r="J344"/>
      <c r="K344"/>
      <c r="L344"/>
      <c r="M344"/>
      <c r="N344"/>
    </row>
    <row r="345" spans="1:25">
      <c r="A345" s="39" t="s">
        <v>695</v>
      </c>
      <c r="B345"/>
      <c r="C345"/>
      <c r="D345"/>
      <c r="E345"/>
      <c r="F345"/>
      <c r="H345" s="39" t="s">
        <v>696</v>
      </c>
      <c r="I345"/>
      <c r="J345"/>
      <c r="K345"/>
      <c r="L345"/>
      <c r="M345"/>
      <c r="N345"/>
    </row>
    <row r="346" spans="1:25">
      <c r="A346" s="37" t="s">
        <v>110</v>
      </c>
      <c r="B346" s="37" t="s">
        <v>282</v>
      </c>
      <c r="C346"/>
      <c r="D346"/>
      <c r="E346"/>
      <c r="F346"/>
      <c r="G346"/>
      <c r="H346" s="37" t="s">
        <v>110</v>
      </c>
      <c r="I346" s="37" t="s">
        <v>282</v>
      </c>
      <c r="J346"/>
      <c r="K346"/>
      <c r="L346"/>
      <c r="M346"/>
      <c r="N346"/>
      <c r="R346" s="31"/>
      <c r="S346" s="31"/>
      <c r="T346" s="31"/>
      <c r="U346" s="31"/>
      <c r="V346" s="31"/>
      <c r="W346" s="31"/>
      <c r="X346" s="31"/>
      <c r="Y346" s="31"/>
    </row>
    <row r="347" spans="1:25">
      <c r="A347" s="37" t="s">
        <v>281</v>
      </c>
      <c r="B347">
        <v>1</v>
      </c>
      <c r="C347">
        <v>2</v>
      </c>
      <c r="D347" t="s">
        <v>161</v>
      </c>
      <c r="E347"/>
      <c r="F347"/>
      <c r="G347"/>
      <c r="H347" s="37" t="s">
        <v>281</v>
      </c>
      <c r="I347">
        <v>1</v>
      </c>
      <c r="J347">
        <v>2</v>
      </c>
      <c r="K347">
        <v>3</v>
      </c>
      <c r="L347" t="s">
        <v>161</v>
      </c>
      <c r="M347"/>
      <c r="N347"/>
      <c r="O347" s="31"/>
    </row>
    <row r="348" spans="1:25">
      <c r="A348" s="38">
        <v>1</v>
      </c>
      <c r="B348" s="25">
        <v>2</v>
      </c>
      <c r="C348" s="25">
        <v>5</v>
      </c>
      <c r="D348" s="25">
        <v>7</v>
      </c>
      <c r="E348"/>
      <c r="F348"/>
      <c r="G348"/>
      <c r="H348" s="38">
        <v>1</v>
      </c>
      <c r="I348" s="25">
        <v>4</v>
      </c>
      <c r="J348" s="25">
        <v>2</v>
      </c>
      <c r="K348" s="25">
        <v>1</v>
      </c>
      <c r="L348" s="25">
        <v>7</v>
      </c>
      <c r="M348"/>
      <c r="N348"/>
    </row>
    <row r="349" spans="1:25">
      <c r="A349" s="38">
        <v>2</v>
      </c>
      <c r="B349" s="25">
        <v>5</v>
      </c>
      <c r="C349" s="25">
        <v>3</v>
      </c>
      <c r="D349" s="25">
        <v>8</v>
      </c>
      <c r="E349"/>
      <c r="F349"/>
      <c r="H349" s="38">
        <v>2</v>
      </c>
      <c r="I349" s="25">
        <v>5</v>
      </c>
      <c r="J349" s="25">
        <v>2</v>
      </c>
      <c r="K349" s="25">
        <v>1</v>
      </c>
      <c r="L349" s="25">
        <v>8</v>
      </c>
      <c r="M349"/>
      <c r="N349"/>
    </row>
    <row r="350" spans="1:25">
      <c r="A350" s="38" t="s">
        <v>161</v>
      </c>
      <c r="B350" s="25">
        <v>7</v>
      </c>
      <c r="C350" s="25">
        <v>8</v>
      </c>
      <c r="D350" s="25">
        <v>15</v>
      </c>
      <c r="E350"/>
      <c r="F350"/>
      <c r="H350" s="38" t="s">
        <v>161</v>
      </c>
      <c r="I350" s="25">
        <v>9</v>
      </c>
      <c r="J350" s="25">
        <v>4</v>
      </c>
      <c r="K350" s="25">
        <v>2</v>
      </c>
      <c r="L350" s="25">
        <v>15</v>
      </c>
      <c r="M350"/>
      <c r="N350"/>
    </row>
    <row r="351" spans="1:25">
      <c r="A351"/>
      <c r="B351"/>
      <c r="C351"/>
      <c r="D351"/>
      <c r="E351"/>
      <c r="F351"/>
      <c r="H351"/>
      <c r="I351"/>
      <c r="J351"/>
      <c r="K351"/>
      <c r="L351"/>
      <c r="M351"/>
      <c r="N351"/>
    </row>
    <row r="352" spans="1:25">
      <c r="A352"/>
      <c r="B352"/>
      <c r="C352"/>
      <c r="D352"/>
      <c r="E352"/>
      <c r="F352"/>
      <c r="H352"/>
      <c r="I352"/>
      <c r="J352"/>
      <c r="K352"/>
      <c r="L352"/>
      <c r="M352"/>
      <c r="N352"/>
    </row>
    <row r="353" spans="1:25">
      <c r="A353"/>
      <c r="B353"/>
      <c r="C353"/>
      <c r="D353"/>
      <c r="E353"/>
      <c r="F353"/>
      <c r="H353"/>
      <c r="I353"/>
      <c r="J353"/>
      <c r="K353"/>
      <c r="L353"/>
      <c r="M353"/>
      <c r="N353"/>
      <c r="R353" s="31"/>
      <c r="S353" s="31"/>
      <c r="T353" s="31"/>
      <c r="U353" s="31"/>
      <c r="V353" s="31"/>
      <c r="W353" s="31"/>
      <c r="X353" s="31"/>
      <c r="Y353" s="31"/>
    </row>
    <row r="354" spans="1:25">
      <c r="A354" s="39" t="s">
        <v>306</v>
      </c>
      <c r="B354"/>
      <c r="C354"/>
      <c r="D354"/>
      <c r="E354"/>
      <c r="F354"/>
      <c r="H354" s="39" t="s">
        <v>337</v>
      </c>
      <c r="I354"/>
      <c r="J354"/>
      <c r="K354"/>
      <c r="L354"/>
      <c r="M354"/>
      <c r="N354"/>
      <c r="O354" s="31"/>
    </row>
    <row r="355" spans="1:25">
      <c r="A355" s="37" t="s">
        <v>110</v>
      </c>
      <c r="B355" s="37" t="s">
        <v>282</v>
      </c>
      <c r="C355"/>
      <c r="D355"/>
      <c r="E355"/>
      <c r="F355"/>
      <c r="G355" s="31"/>
      <c r="H355" s="37" t="s">
        <v>110</v>
      </c>
      <c r="I355" s="37" t="s">
        <v>282</v>
      </c>
      <c r="J355"/>
      <c r="K355"/>
      <c r="L355"/>
      <c r="M355"/>
      <c r="N355"/>
    </row>
    <row r="356" spans="1:25">
      <c r="A356" s="37" t="s">
        <v>281</v>
      </c>
      <c r="B356">
        <v>1</v>
      </c>
      <c r="C356">
        <v>2</v>
      </c>
      <c r="D356" t="s">
        <v>161</v>
      </c>
      <c r="E356"/>
      <c r="F356"/>
      <c r="H356" s="37" t="s">
        <v>281</v>
      </c>
      <c r="I356">
        <v>1</v>
      </c>
      <c r="J356">
        <v>2</v>
      </c>
      <c r="K356">
        <v>3</v>
      </c>
      <c r="L356" t="s">
        <v>161</v>
      </c>
      <c r="M356"/>
      <c r="N356"/>
    </row>
    <row r="357" spans="1:25">
      <c r="A357" s="38">
        <v>1</v>
      </c>
      <c r="B357" s="25">
        <v>1</v>
      </c>
      <c r="C357" s="25">
        <v>3</v>
      </c>
      <c r="D357" s="25">
        <v>4</v>
      </c>
      <c r="E357"/>
      <c r="F357"/>
      <c r="H357" s="38">
        <v>1</v>
      </c>
      <c r="I357" s="25">
        <v>2</v>
      </c>
      <c r="J357" s="25">
        <v>2</v>
      </c>
      <c r="K357" s="25"/>
      <c r="L357" s="25">
        <v>4</v>
      </c>
      <c r="M357"/>
      <c r="N357"/>
    </row>
    <row r="358" spans="1:25">
      <c r="A358" s="38">
        <v>2</v>
      </c>
      <c r="B358" s="25">
        <v>1</v>
      </c>
      <c r="C358" s="25">
        <v>2</v>
      </c>
      <c r="D358" s="25">
        <v>3</v>
      </c>
      <c r="E358"/>
      <c r="F358"/>
      <c r="H358" s="38">
        <v>2</v>
      </c>
      <c r="I358" s="25">
        <v>2</v>
      </c>
      <c r="J358" s="25"/>
      <c r="K358" s="25">
        <v>1</v>
      </c>
      <c r="L358" s="25">
        <v>3</v>
      </c>
      <c r="M358"/>
      <c r="N358"/>
    </row>
    <row r="359" spans="1:25">
      <c r="A359" s="38" t="s">
        <v>161</v>
      </c>
      <c r="B359" s="25">
        <v>2</v>
      </c>
      <c r="C359" s="25">
        <v>5</v>
      </c>
      <c r="D359" s="25">
        <v>7</v>
      </c>
      <c r="E359"/>
      <c r="F359"/>
      <c r="H359" s="38" t="s">
        <v>161</v>
      </c>
      <c r="I359" s="25">
        <v>4</v>
      </c>
      <c r="J359" s="25">
        <v>2</v>
      </c>
      <c r="K359" s="25">
        <v>1</v>
      </c>
      <c r="L359" s="25">
        <v>7</v>
      </c>
      <c r="M359"/>
      <c r="N359"/>
      <c r="R359" s="31"/>
    </row>
    <row r="360" spans="1:25">
      <c r="A360"/>
      <c r="B360"/>
      <c r="C360"/>
      <c r="D360"/>
      <c r="E360"/>
      <c r="F360"/>
      <c r="H360"/>
      <c r="I360"/>
      <c r="J360"/>
      <c r="K360"/>
      <c r="L360"/>
      <c r="M360"/>
      <c r="N360"/>
    </row>
    <row r="361" spans="1:25">
      <c r="A361"/>
      <c r="B361"/>
      <c r="C361"/>
      <c r="D361"/>
      <c r="E361"/>
      <c r="F361"/>
      <c r="H361"/>
      <c r="I361"/>
      <c r="J361"/>
      <c r="K361"/>
      <c r="L361"/>
      <c r="M361"/>
      <c r="N361"/>
    </row>
    <row r="362" spans="1:25">
      <c r="A362"/>
      <c r="B362"/>
      <c r="C362"/>
      <c r="D362"/>
      <c r="E362"/>
      <c r="F362"/>
      <c r="H362"/>
      <c r="I362"/>
      <c r="J362"/>
      <c r="K362"/>
      <c r="L362"/>
      <c r="M362"/>
      <c r="N362"/>
    </row>
    <row r="363" spans="1:25">
      <c r="A363"/>
      <c r="B363"/>
      <c r="C363"/>
      <c r="D363"/>
      <c r="E363"/>
      <c r="F363"/>
      <c r="H363"/>
      <c r="I363"/>
      <c r="J363"/>
      <c r="K363"/>
      <c r="L363"/>
      <c r="M363"/>
      <c r="N363"/>
    </row>
    <row r="364" spans="1:25">
      <c r="A364" s="39" t="s">
        <v>697</v>
      </c>
      <c r="B364"/>
      <c r="C364"/>
      <c r="D364"/>
      <c r="E364"/>
      <c r="F364"/>
      <c r="H364" s="39" t="s">
        <v>698</v>
      </c>
      <c r="I364"/>
      <c r="J364"/>
      <c r="K364"/>
      <c r="L364"/>
      <c r="M364"/>
      <c r="N364"/>
    </row>
    <row r="365" spans="1:25">
      <c r="A365" s="37" t="s">
        <v>110</v>
      </c>
      <c r="B365" s="37" t="s">
        <v>282</v>
      </c>
      <c r="C365"/>
      <c r="D365"/>
      <c r="E365"/>
      <c r="F365"/>
      <c r="H365" s="37" t="s">
        <v>110</v>
      </c>
      <c r="I365" s="37" t="s">
        <v>282</v>
      </c>
      <c r="J365"/>
      <c r="K365"/>
      <c r="L365"/>
      <c r="M365"/>
      <c r="N365"/>
    </row>
    <row r="366" spans="1:25">
      <c r="A366" s="37" t="s">
        <v>281</v>
      </c>
      <c r="B366">
        <v>1</v>
      </c>
      <c r="C366">
        <v>2</v>
      </c>
      <c r="D366" t="s">
        <v>161</v>
      </c>
      <c r="E366"/>
      <c r="F366"/>
      <c r="G366" s="31"/>
      <c r="H366" s="37" t="s">
        <v>281</v>
      </c>
      <c r="I366">
        <v>1</v>
      </c>
      <c r="J366">
        <v>2</v>
      </c>
      <c r="K366">
        <v>3</v>
      </c>
      <c r="L366" t="s">
        <v>161</v>
      </c>
      <c r="M366"/>
      <c r="N366"/>
    </row>
    <row r="367" spans="1:25">
      <c r="A367" s="38">
        <v>1</v>
      </c>
      <c r="B367" s="25">
        <v>2</v>
      </c>
      <c r="C367" s="25">
        <v>1</v>
      </c>
      <c r="D367" s="25">
        <v>3</v>
      </c>
      <c r="E367"/>
      <c r="F367"/>
      <c r="G367" s="31"/>
      <c r="H367" s="38">
        <v>1</v>
      </c>
      <c r="I367" s="25">
        <v>2</v>
      </c>
      <c r="J367" s="25"/>
      <c r="K367" s="25">
        <v>1</v>
      </c>
      <c r="L367" s="25">
        <v>3</v>
      </c>
      <c r="M367"/>
      <c r="N367"/>
    </row>
    <row r="368" spans="1:25">
      <c r="A368" s="38">
        <v>2</v>
      </c>
      <c r="B368" s="25">
        <v>2</v>
      </c>
      <c r="C368" s="25">
        <v>2</v>
      </c>
      <c r="D368" s="25">
        <v>4</v>
      </c>
      <c r="E368"/>
      <c r="F368"/>
      <c r="G368" s="31"/>
      <c r="H368" s="38">
        <v>2</v>
      </c>
      <c r="I368" s="25">
        <v>2</v>
      </c>
      <c r="J368" s="25">
        <v>1</v>
      </c>
      <c r="K368" s="25">
        <v>1</v>
      </c>
      <c r="L368" s="25">
        <v>4</v>
      </c>
      <c r="M368"/>
      <c r="N368"/>
    </row>
    <row r="369" spans="1:25">
      <c r="A369" s="38">
        <v>3</v>
      </c>
      <c r="B369" s="25">
        <v>2</v>
      </c>
      <c r="C369" s="25">
        <v>2</v>
      </c>
      <c r="D369" s="25">
        <v>4</v>
      </c>
      <c r="E369"/>
      <c r="F369"/>
      <c r="G369" s="31"/>
      <c r="H369" s="38">
        <v>3</v>
      </c>
      <c r="I369" s="25">
        <v>3</v>
      </c>
      <c r="J369" s="25">
        <v>1</v>
      </c>
      <c r="K369" s="25"/>
      <c r="L369" s="25">
        <v>4</v>
      </c>
      <c r="M369"/>
      <c r="N369"/>
      <c r="R369" s="31"/>
    </row>
    <row r="370" spans="1:25">
      <c r="A370" s="38">
        <v>4</v>
      </c>
      <c r="B370" s="25">
        <v>1</v>
      </c>
      <c r="C370" s="25">
        <v>2</v>
      </c>
      <c r="D370" s="25">
        <v>3</v>
      </c>
      <c r="E370"/>
      <c r="F370"/>
      <c r="G370" s="31"/>
      <c r="H370" s="38">
        <v>4</v>
      </c>
      <c r="I370" s="25">
        <v>2</v>
      </c>
      <c r="J370" s="25">
        <v>1</v>
      </c>
      <c r="K370" s="25"/>
      <c r="L370" s="25">
        <v>3</v>
      </c>
      <c r="M370"/>
      <c r="N370"/>
    </row>
    <row r="371" spans="1:25">
      <c r="A371" s="38">
        <v>7</v>
      </c>
      <c r="B371" s="25"/>
      <c r="C371" s="25">
        <v>1</v>
      </c>
      <c r="D371" s="25">
        <v>1</v>
      </c>
      <c r="E371"/>
      <c r="F371"/>
      <c r="H371" s="38">
        <v>7</v>
      </c>
      <c r="I371" s="25"/>
      <c r="J371" s="25">
        <v>1</v>
      </c>
      <c r="K371" s="25"/>
      <c r="L371" s="25">
        <v>1</v>
      </c>
      <c r="M371"/>
      <c r="N371"/>
    </row>
    <row r="372" spans="1:25">
      <c r="A372" s="38" t="s">
        <v>161</v>
      </c>
      <c r="B372" s="25">
        <v>7</v>
      </c>
      <c r="C372" s="25">
        <v>8</v>
      </c>
      <c r="D372" s="25">
        <v>15</v>
      </c>
      <c r="E372"/>
      <c r="F372"/>
      <c r="H372" s="38" t="s">
        <v>161</v>
      </c>
      <c r="I372" s="25">
        <v>9</v>
      </c>
      <c r="J372" s="25">
        <v>4</v>
      </c>
      <c r="K372" s="25">
        <v>2</v>
      </c>
      <c r="L372" s="25">
        <v>15</v>
      </c>
      <c r="M372"/>
      <c r="N372"/>
    </row>
    <row r="373" spans="1:25">
      <c r="A373"/>
      <c r="B373"/>
      <c r="C373"/>
      <c r="D373"/>
      <c r="E373"/>
      <c r="F373"/>
      <c r="G373" s="31"/>
      <c r="H373"/>
      <c r="I373"/>
      <c r="J373"/>
      <c r="K373"/>
      <c r="L373"/>
      <c r="M373"/>
      <c r="N373"/>
    </row>
    <row r="374" spans="1:25">
      <c r="A374"/>
      <c r="B374"/>
      <c r="C374"/>
      <c r="D374"/>
      <c r="E374"/>
      <c r="F374"/>
      <c r="H374"/>
      <c r="I374"/>
      <c r="J374"/>
      <c r="K374"/>
      <c r="L374"/>
      <c r="M374"/>
      <c r="N374"/>
    </row>
    <row r="375" spans="1:25">
      <c r="A375"/>
      <c r="B375"/>
      <c r="C375"/>
      <c r="D375"/>
      <c r="E375"/>
      <c r="F375"/>
      <c r="H375"/>
      <c r="I375"/>
      <c r="J375"/>
      <c r="K375"/>
      <c r="L375"/>
      <c r="M375"/>
      <c r="N375"/>
    </row>
    <row r="376" spans="1:25">
      <c r="A376" s="39" t="s">
        <v>699</v>
      </c>
      <c r="B376"/>
      <c r="C376"/>
      <c r="D376"/>
      <c r="E376"/>
      <c r="F376"/>
      <c r="H376" s="39" t="s">
        <v>700</v>
      </c>
      <c r="I376"/>
      <c r="J376"/>
      <c r="K376"/>
      <c r="L376"/>
      <c r="M376"/>
      <c r="N376"/>
      <c r="R376" s="31"/>
    </row>
    <row r="377" spans="1:25">
      <c r="A377" s="37" t="s">
        <v>110</v>
      </c>
      <c r="B377" s="37" t="s">
        <v>282</v>
      </c>
      <c r="C377"/>
      <c r="D377"/>
      <c r="E377"/>
      <c r="F377"/>
      <c r="H377" s="37" t="s">
        <v>110</v>
      </c>
      <c r="I377" s="37" t="s">
        <v>282</v>
      </c>
      <c r="J377"/>
      <c r="K377"/>
      <c r="L377"/>
      <c r="M377"/>
      <c r="N377"/>
    </row>
    <row r="378" spans="1:25">
      <c r="A378" s="37" t="s">
        <v>281</v>
      </c>
      <c r="B378">
        <v>1</v>
      </c>
      <c r="C378">
        <v>2</v>
      </c>
      <c r="D378" t="s">
        <v>161</v>
      </c>
      <c r="E378"/>
      <c r="F378"/>
      <c r="H378" s="37" t="s">
        <v>281</v>
      </c>
      <c r="I378">
        <v>1</v>
      </c>
      <c r="J378">
        <v>2</v>
      </c>
      <c r="K378">
        <v>3</v>
      </c>
      <c r="L378" t="s">
        <v>161</v>
      </c>
      <c r="M378"/>
      <c r="N378"/>
    </row>
    <row r="379" spans="1:25">
      <c r="A379" s="38">
        <v>1</v>
      </c>
      <c r="B379" s="25">
        <v>4</v>
      </c>
      <c r="C379" s="25">
        <v>2</v>
      </c>
      <c r="D379" s="25">
        <v>6</v>
      </c>
      <c r="E379"/>
      <c r="F379"/>
      <c r="H379" s="38">
        <v>1</v>
      </c>
      <c r="I379" s="25">
        <v>5</v>
      </c>
      <c r="J379" s="25"/>
      <c r="K379" s="25">
        <v>1</v>
      </c>
      <c r="L379" s="25">
        <v>6</v>
      </c>
      <c r="M379"/>
      <c r="N379"/>
    </row>
    <row r="380" spans="1:25">
      <c r="A380" s="38">
        <v>2</v>
      </c>
      <c r="B380" s="25">
        <v>1</v>
      </c>
      <c r="C380" s="25">
        <v>1</v>
      </c>
      <c r="D380" s="25">
        <v>2</v>
      </c>
      <c r="E380"/>
      <c r="F380"/>
      <c r="G380" s="31"/>
      <c r="H380" s="38">
        <v>2</v>
      </c>
      <c r="I380" s="25"/>
      <c r="J380" s="25">
        <v>2</v>
      </c>
      <c r="K380" s="25"/>
      <c r="L380" s="25">
        <v>2</v>
      </c>
      <c r="M380"/>
      <c r="N380"/>
    </row>
    <row r="381" spans="1:25">
      <c r="A381" s="38">
        <v>3</v>
      </c>
      <c r="B381" s="25"/>
      <c r="C381" s="25">
        <v>3</v>
      </c>
      <c r="D381" s="25">
        <v>3</v>
      </c>
      <c r="E381"/>
      <c r="F381"/>
      <c r="G381" s="31"/>
      <c r="H381" s="38">
        <v>3</v>
      </c>
      <c r="I381" s="25">
        <v>1</v>
      </c>
      <c r="J381" s="25">
        <v>1</v>
      </c>
      <c r="K381" s="25">
        <v>1</v>
      </c>
      <c r="L381" s="25">
        <v>3</v>
      </c>
      <c r="M381"/>
      <c r="N381"/>
    </row>
    <row r="382" spans="1:25">
      <c r="A382" s="38">
        <v>4</v>
      </c>
      <c r="B382" s="25">
        <v>1</v>
      </c>
      <c r="C382" s="25">
        <v>1</v>
      </c>
      <c r="D382" s="25">
        <v>2</v>
      </c>
      <c r="E382"/>
      <c r="F382"/>
      <c r="G382" s="31"/>
      <c r="H382" s="38">
        <v>4</v>
      </c>
      <c r="I382" s="25">
        <v>1</v>
      </c>
      <c r="J382" s="25">
        <v>1</v>
      </c>
      <c r="K382" s="25"/>
      <c r="L382" s="25">
        <v>2</v>
      </c>
      <c r="M382"/>
      <c r="N382"/>
    </row>
    <row r="383" spans="1:25">
      <c r="A383" s="38">
        <v>7</v>
      </c>
      <c r="B383" s="25">
        <v>1</v>
      </c>
      <c r="C383" s="25">
        <v>1</v>
      </c>
      <c r="D383" s="25">
        <v>2</v>
      </c>
      <c r="E383"/>
      <c r="F383"/>
      <c r="G383" s="31"/>
      <c r="H383" s="38">
        <v>7</v>
      </c>
      <c r="I383" s="25">
        <v>2</v>
      </c>
      <c r="J383" s="25"/>
      <c r="K383" s="25"/>
      <c r="L383" s="25">
        <v>2</v>
      </c>
      <c r="M383"/>
      <c r="N383"/>
    </row>
    <row r="384" spans="1:25">
      <c r="A384" s="38" t="s">
        <v>161</v>
      </c>
      <c r="B384" s="25">
        <v>7</v>
      </c>
      <c r="C384" s="25">
        <v>8</v>
      </c>
      <c r="D384" s="25">
        <v>15</v>
      </c>
      <c r="E384"/>
      <c r="F384"/>
      <c r="G384" s="31"/>
      <c r="H384" s="38" t="s">
        <v>161</v>
      </c>
      <c r="I384" s="25">
        <v>9</v>
      </c>
      <c r="J384" s="25">
        <v>4</v>
      </c>
      <c r="K384" s="25">
        <v>2</v>
      </c>
      <c r="L384" s="25">
        <v>15</v>
      </c>
      <c r="M384"/>
      <c r="N384"/>
      <c r="R384" s="31"/>
      <c r="S384" s="31"/>
      <c r="T384" s="31"/>
      <c r="U384" s="31"/>
      <c r="V384" s="31"/>
      <c r="W384" s="31"/>
      <c r="X384" s="31"/>
      <c r="Y384" s="31"/>
    </row>
    <row r="385" spans="1:25">
      <c r="A385"/>
      <c r="B385"/>
      <c r="C385"/>
      <c r="D385"/>
      <c r="E385"/>
      <c r="F385"/>
      <c r="H385"/>
      <c r="I385"/>
      <c r="J385"/>
      <c r="K385"/>
      <c r="L385"/>
      <c r="M385"/>
      <c r="N385"/>
      <c r="R385" s="31"/>
      <c r="S385" s="31"/>
      <c r="T385" s="31"/>
      <c r="U385" s="31"/>
      <c r="V385" s="31"/>
      <c r="W385" s="31"/>
      <c r="X385" s="31"/>
      <c r="Y385" s="31"/>
    </row>
    <row r="386" spans="1:25">
      <c r="A386"/>
      <c r="B386"/>
      <c r="C386"/>
      <c r="D386"/>
      <c r="E386"/>
      <c r="F386"/>
      <c r="H386"/>
      <c r="I386"/>
      <c r="J386"/>
      <c r="K386"/>
      <c r="L386"/>
      <c r="M386"/>
      <c r="N386"/>
      <c r="R386" s="31"/>
      <c r="S386" s="31"/>
      <c r="T386" s="31"/>
      <c r="U386" s="31"/>
      <c r="V386" s="31"/>
      <c r="W386" s="31"/>
      <c r="X386" s="31"/>
      <c r="Y386" s="31"/>
    </row>
    <row r="387" spans="1:25">
      <c r="A387"/>
      <c r="B387"/>
      <c r="C387"/>
      <c r="D387"/>
      <c r="E387"/>
      <c r="F387"/>
      <c r="G387" s="31"/>
      <c r="H387"/>
      <c r="I387"/>
      <c r="J387"/>
      <c r="K387"/>
      <c r="L387"/>
      <c r="M387"/>
      <c r="N387"/>
      <c r="R387" s="31"/>
      <c r="S387" s="31"/>
      <c r="T387" s="31"/>
      <c r="U387" s="31"/>
      <c r="V387" s="31"/>
      <c r="W387" s="31"/>
      <c r="X387" s="31"/>
      <c r="Y387" s="31"/>
    </row>
    <row r="388" spans="1:25">
      <c r="A388" s="39" t="s">
        <v>701</v>
      </c>
      <c r="B388"/>
      <c r="C388"/>
      <c r="D388"/>
      <c r="E388"/>
      <c r="F388"/>
      <c r="H388" s="39" t="s">
        <v>702</v>
      </c>
      <c r="I388"/>
      <c r="J388"/>
      <c r="K388"/>
      <c r="L388"/>
      <c r="M388"/>
      <c r="N388"/>
      <c r="R388" s="31"/>
      <c r="S388" s="31"/>
      <c r="T388" s="31"/>
      <c r="U388" s="31"/>
      <c r="V388" s="31"/>
      <c r="W388" s="31"/>
      <c r="X388" s="31"/>
      <c r="Y388" s="31"/>
    </row>
    <row r="389" spans="1:25">
      <c r="A389" s="37" t="s">
        <v>110</v>
      </c>
      <c r="B389" s="37" t="s">
        <v>282</v>
      </c>
      <c r="C389"/>
      <c r="D389"/>
      <c r="E389"/>
      <c r="F389"/>
      <c r="H389" s="37" t="s">
        <v>110</v>
      </c>
      <c r="I389" s="37" t="s">
        <v>282</v>
      </c>
      <c r="J389"/>
      <c r="K389"/>
      <c r="L389"/>
      <c r="M389"/>
      <c r="N389"/>
    </row>
    <row r="390" spans="1:25">
      <c r="A390" s="37" t="s">
        <v>281</v>
      </c>
      <c r="B390">
        <v>1</v>
      </c>
      <c r="C390">
        <v>2</v>
      </c>
      <c r="D390" t="s">
        <v>161</v>
      </c>
      <c r="E390"/>
      <c r="F390"/>
      <c r="H390" s="37" t="s">
        <v>281</v>
      </c>
      <c r="I390">
        <v>1</v>
      </c>
      <c r="J390">
        <v>2</v>
      </c>
      <c r="K390">
        <v>3</v>
      </c>
      <c r="L390" t="s">
        <v>161</v>
      </c>
      <c r="M390"/>
      <c r="N390"/>
    </row>
    <row r="391" spans="1:25">
      <c r="A391" s="38">
        <v>1</v>
      </c>
      <c r="B391" s="25">
        <v>1</v>
      </c>
      <c r="C391" s="25">
        <v>3</v>
      </c>
      <c r="D391" s="25">
        <v>4</v>
      </c>
      <c r="E391"/>
      <c r="F391"/>
      <c r="H391" s="38">
        <v>1</v>
      </c>
      <c r="I391" s="25">
        <v>2</v>
      </c>
      <c r="J391" s="25">
        <v>2</v>
      </c>
      <c r="K391" s="25"/>
      <c r="L391" s="25">
        <v>4</v>
      </c>
      <c r="M391"/>
      <c r="N391"/>
      <c r="R391" s="31"/>
      <c r="S391" s="31"/>
      <c r="T391" s="31"/>
      <c r="U391" s="31"/>
      <c r="V391" s="31"/>
      <c r="W391" s="31"/>
      <c r="X391" s="31"/>
      <c r="Y391" s="31"/>
    </row>
    <row r="392" spans="1:25">
      <c r="A392" s="38">
        <v>2</v>
      </c>
      <c r="B392" s="25">
        <v>2</v>
      </c>
      <c r="C392" s="25">
        <v>2</v>
      </c>
      <c r="D392" s="25">
        <v>4</v>
      </c>
      <c r="E392"/>
      <c r="F392"/>
      <c r="H392" s="38">
        <v>2</v>
      </c>
      <c r="I392" s="25">
        <v>3</v>
      </c>
      <c r="J392" s="25">
        <v>1</v>
      </c>
      <c r="K392" s="25"/>
      <c r="L392" s="25">
        <v>4</v>
      </c>
      <c r="M392"/>
      <c r="N392"/>
    </row>
    <row r="393" spans="1:25">
      <c r="A393" s="38">
        <v>3</v>
      </c>
      <c r="B393" s="25">
        <v>1</v>
      </c>
      <c r="C393" s="25">
        <v>2</v>
      </c>
      <c r="D393" s="25">
        <v>3</v>
      </c>
      <c r="E393"/>
      <c r="F393"/>
      <c r="H393" s="38">
        <v>3</v>
      </c>
      <c r="I393" s="25">
        <v>2</v>
      </c>
      <c r="J393" s="25">
        <v>1</v>
      </c>
      <c r="K393" s="25"/>
      <c r="L393" s="25">
        <v>3</v>
      </c>
      <c r="M393"/>
      <c r="N393"/>
    </row>
    <row r="394" spans="1:25">
      <c r="A394" s="38">
        <v>4</v>
      </c>
      <c r="B394" s="25">
        <v>3</v>
      </c>
      <c r="C394" s="25"/>
      <c r="D394" s="25">
        <v>3</v>
      </c>
      <c r="E394"/>
      <c r="F394"/>
      <c r="G394" s="31"/>
      <c r="H394" s="38">
        <v>4</v>
      </c>
      <c r="I394" s="25">
        <v>2</v>
      </c>
      <c r="J394" s="25"/>
      <c r="K394" s="25">
        <v>1</v>
      </c>
      <c r="L394" s="25">
        <v>3</v>
      </c>
      <c r="M394"/>
      <c r="N394"/>
    </row>
    <row r="395" spans="1:25">
      <c r="A395" s="38">
        <v>7</v>
      </c>
      <c r="B395" s="25"/>
      <c r="C395" s="25">
        <v>1</v>
      </c>
      <c r="D395" s="25">
        <v>1</v>
      </c>
      <c r="E395"/>
      <c r="F395"/>
      <c r="H395" s="38">
        <v>7</v>
      </c>
      <c r="I395" s="25"/>
      <c r="J395" s="25"/>
      <c r="K395" s="25">
        <v>1</v>
      </c>
      <c r="L395" s="25">
        <v>1</v>
      </c>
      <c r="M395"/>
      <c r="N395"/>
    </row>
    <row r="396" spans="1:25">
      <c r="A396" s="38" t="s">
        <v>161</v>
      </c>
      <c r="B396" s="25">
        <v>7</v>
      </c>
      <c r="C396" s="25">
        <v>8</v>
      </c>
      <c r="D396" s="25">
        <v>15</v>
      </c>
      <c r="E396"/>
      <c r="F396"/>
      <c r="H396" s="38" t="s">
        <v>161</v>
      </c>
      <c r="I396" s="25">
        <v>9</v>
      </c>
      <c r="J396" s="25">
        <v>4</v>
      </c>
      <c r="K396" s="25">
        <v>2</v>
      </c>
      <c r="L396" s="25">
        <v>15</v>
      </c>
      <c r="M396"/>
      <c r="N396"/>
    </row>
    <row r="397" spans="1:25">
      <c r="A397"/>
      <c r="B397"/>
      <c r="C397"/>
      <c r="D397"/>
      <c r="E397"/>
      <c r="F397"/>
      <c r="H397"/>
      <c r="I397"/>
      <c r="J397"/>
      <c r="K397"/>
      <c r="L397"/>
      <c r="M397"/>
      <c r="N397"/>
    </row>
    <row r="398" spans="1:25">
      <c r="A398"/>
      <c r="B398"/>
      <c r="C398"/>
      <c r="D398"/>
      <c r="E398"/>
      <c r="F398"/>
      <c r="H398"/>
      <c r="I398"/>
      <c r="J398"/>
      <c r="K398"/>
      <c r="L398"/>
      <c r="M398"/>
      <c r="N398"/>
      <c r="R398" s="31"/>
      <c r="S398" s="31"/>
      <c r="T398" s="31"/>
      <c r="U398" s="31"/>
      <c r="V398" s="31"/>
      <c r="W398" s="31"/>
      <c r="X398" s="31"/>
      <c r="Y398" s="31"/>
    </row>
    <row r="399" spans="1:25">
      <c r="A399" s="39" t="s">
        <v>703</v>
      </c>
      <c r="B399"/>
      <c r="C399"/>
      <c r="D399"/>
      <c r="E399"/>
      <c r="F399"/>
      <c r="H399" s="39" t="s">
        <v>704</v>
      </c>
      <c r="I399"/>
      <c r="J399"/>
      <c r="K399"/>
      <c r="L399"/>
      <c r="M399"/>
      <c r="N399"/>
      <c r="R399" s="31"/>
      <c r="S399" s="31"/>
      <c r="T399" s="31"/>
      <c r="U399" s="31"/>
      <c r="V399" s="31"/>
      <c r="W399" s="31"/>
      <c r="X399" s="31"/>
      <c r="Y399" s="31"/>
    </row>
    <row r="400" spans="1:25">
      <c r="A400" s="37" t="s">
        <v>110</v>
      </c>
      <c r="B400" s="37" t="s">
        <v>282</v>
      </c>
      <c r="C400"/>
      <c r="D400"/>
      <c r="E400"/>
      <c r="F400"/>
      <c r="H400" s="37" t="s">
        <v>110</v>
      </c>
      <c r="I400" s="37" t="s">
        <v>282</v>
      </c>
      <c r="J400"/>
      <c r="K400"/>
      <c r="L400"/>
      <c r="M400"/>
      <c r="N400"/>
      <c r="R400" s="31"/>
      <c r="S400" s="31"/>
      <c r="T400" s="31"/>
      <c r="U400" s="31"/>
      <c r="V400" s="31"/>
      <c r="W400" s="31"/>
      <c r="X400" s="31"/>
      <c r="Y400" s="31"/>
    </row>
    <row r="401" spans="1:25">
      <c r="A401" s="37" t="s">
        <v>281</v>
      </c>
      <c r="B401">
        <v>1</v>
      </c>
      <c r="C401">
        <v>2</v>
      </c>
      <c r="D401" t="s">
        <v>161</v>
      </c>
      <c r="E401"/>
      <c r="F401"/>
      <c r="G401" s="31"/>
      <c r="H401" s="37" t="s">
        <v>281</v>
      </c>
      <c r="I401">
        <v>1</v>
      </c>
      <c r="J401">
        <v>2</v>
      </c>
      <c r="K401">
        <v>3</v>
      </c>
      <c r="L401" t="s">
        <v>161</v>
      </c>
      <c r="M401"/>
      <c r="N401"/>
      <c r="R401" s="31"/>
      <c r="S401" s="31"/>
      <c r="T401" s="31"/>
      <c r="U401" s="31"/>
      <c r="V401" s="31"/>
      <c r="W401" s="31"/>
      <c r="X401" s="31"/>
      <c r="Y401" s="31"/>
    </row>
    <row r="402" spans="1:25">
      <c r="A402" s="38">
        <v>1</v>
      </c>
      <c r="B402" s="25">
        <v>1</v>
      </c>
      <c r="C402" s="25">
        <v>4</v>
      </c>
      <c r="D402" s="25">
        <v>5</v>
      </c>
      <c r="E402"/>
      <c r="F402"/>
      <c r="G402" s="31"/>
      <c r="H402" s="38">
        <v>1</v>
      </c>
      <c r="I402" s="25">
        <v>3</v>
      </c>
      <c r="J402" s="25">
        <v>2</v>
      </c>
      <c r="K402" s="25"/>
      <c r="L402" s="25">
        <v>5</v>
      </c>
      <c r="M402"/>
      <c r="N402"/>
      <c r="R402" s="31"/>
      <c r="S402" s="31"/>
      <c r="T402" s="31"/>
      <c r="U402" s="31"/>
      <c r="V402" s="31"/>
      <c r="W402" s="31"/>
      <c r="X402" s="31"/>
      <c r="Y402" s="31"/>
    </row>
    <row r="403" spans="1:25">
      <c r="A403" s="38">
        <v>2</v>
      </c>
      <c r="B403" s="25">
        <v>3</v>
      </c>
      <c r="C403" s="25">
        <v>2</v>
      </c>
      <c r="D403" s="25">
        <v>5</v>
      </c>
      <c r="E403"/>
      <c r="F403"/>
      <c r="G403" s="31"/>
      <c r="H403" s="38">
        <v>2</v>
      </c>
      <c r="I403" s="25">
        <v>3</v>
      </c>
      <c r="J403" s="25">
        <v>2</v>
      </c>
      <c r="K403" s="25"/>
      <c r="L403" s="25">
        <v>5</v>
      </c>
      <c r="M403"/>
      <c r="N403"/>
    </row>
    <row r="404" spans="1:25">
      <c r="A404" s="38">
        <v>3</v>
      </c>
      <c r="B404" s="25">
        <v>2</v>
      </c>
      <c r="C404" s="25">
        <v>2</v>
      </c>
      <c r="D404" s="25">
        <v>4</v>
      </c>
      <c r="E404"/>
      <c r="F404"/>
      <c r="G404" s="31"/>
      <c r="H404" s="38">
        <v>3</v>
      </c>
      <c r="I404" s="25">
        <v>2</v>
      </c>
      <c r="J404" s="25"/>
      <c r="K404" s="25">
        <v>2</v>
      </c>
      <c r="L404" s="25">
        <v>4</v>
      </c>
      <c r="M404"/>
      <c r="N404"/>
    </row>
    <row r="405" spans="1:25">
      <c r="A405" s="38">
        <v>8</v>
      </c>
      <c r="B405" s="25">
        <v>1</v>
      </c>
      <c r="C405" s="25"/>
      <c r="D405" s="25">
        <v>1</v>
      </c>
      <c r="E405"/>
      <c r="F405"/>
      <c r="G405" s="31"/>
      <c r="H405" s="38">
        <v>8</v>
      </c>
      <c r="I405" s="25">
        <v>1</v>
      </c>
      <c r="J405" s="25"/>
      <c r="K405" s="25"/>
      <c r="L405" s="25">
        <v>1</v>
      </c>
      <c r="M405"/>
      <c r="N405"/>
      <c r="R405" s="31"/>
      <c r="S405" s="31"/>
      <c r="T405" s="31"/>
      <c r="U405" s="31"/>
      <c r="V405" s="31"/>
      <c r="W405" s="31"/>
      <c r="X405" s="31"/>
      <c r="Y405" s="31"/>
    </row>
    <row r="406" spans="1:25">
      <c r="A406" s="38" t="s">
        <v>161</v>
      </c>
      <c r="B406" s="25">
        <v>7</v>
      </c>
      <c r="C406" s="25">
        <v>8</v>
      </c>
      <c r="D406" s="25">
        <v>15</v>
      </c>
      <c r="E406"/>
      <c r="F406"/>
      <c r="G406" s="31"/>
      <c r="H406" s="38" t="s">
        <v>161</v>
      </c>
      <c r="I406" s="25">
        <v>9</v>
      </c>
      <c r="J406" s="25">
        <v>4</v>
      </c>
      <c r="K406" s="25">
        <v>2</v>
      </c>
      <c r="L406" s="25">
        <v>15</v>
      </c>
      <c r="M406"/>
      <c r="N406"/>
    </row>
    <row r="407" spans="1:25">
      <c r="A407"/>
      <c r="B407"/>
      <c r="C407"/>
      <c r="D407"/>
      <c r="E407"/>
      <c r="F407"/>
      <c r="H407"/>
      <c r="I407"/>
      <c r="J407"/>
      <c r="K407"/>
      <c r="L407"/>
      <c r="M407"/>
      <c r="N407"/>
    </row>
    <row r="408" spans="1:25">
      <c r="A408"/>
      <c r="B408"/>
      <c r="C408"/>
      <c r="D408"/>
      <c r="E408"/>
      <c r="F408"/>
      <c r="H408"/>
      <c r="I408"/>
      <c r="J408"/>
      <c r="K408"/>
      <c r="L408"/>
      <c r="M408"/>
      <c r="N408"/>
    </row>
    <row r="409" spans="1:25">
      <c r="A409"/>
      <c r="B409"/>
      <c r="C409"/>
      <c r="D409"/>
      <c r="E409"/>
      <c r="F409"/>
      <c r="H409"/>
      <c r="I409"/>
      <c r="J409"/>
      <c r="K409"/>
      <c r="L409"/>
      <c r="M409"/>
      <c r="N409"/>
    </row>
    <row r="410" spans="1:25">
      <c r="A410" s="39" t="s">
        <v>705</v>
      </c>
      <c r="B410"/>
      <c r="C410"/>
      <c r="D410"/>
      <c r="E410"/>
      <c r="F410"/>
      <c r="G410" s="31"/>
      <c r="H410" s="39" t="s">
        <v>338</v>
      </c>
      <c r="I410"/>
      <c r="J410"/>
      <c r="K410"/>
      <c r="L410"/>
      <c r="M410"/>
      <c r="N410"/>
    </row>
    <row r="411" spans="1:25">
      <c r="A411" s="37" t="s">
        <v>110</v>
      </c>
      <c r="B411" s="37" t="s">
        <v>282</v>
      </c>
      <c r="C411"/>
      <c r="D411"/>
      <c r="E411"/>
      <c r="F411"/>
      <c r="G411" s="31"/>
      <c r="H411" s="37" t="s">
        <v>110</v>
      </c>
      <c r="I411" s="37" t="s">
        <v>282</v>
      </c>
      <c r="J411"/>
      <c r="K411"/>
      <c r="L411"/>
      <c r="M411"/>
      <c r="N411"/>
    </row>
    <row r="412" spans="1:25">
      <c r="A412" s="37" t="s">
        <v>281</v>
      </c>
      <c r="B412">
        <v>1</v>
      </c>
      <c r="C412">
        <v>2</v>
      </c>
      <c r="D412" t="s">
        <v>161</v>
      </c>
      <c r="E412"/>
      <c r="F412"/>
      <c r="G412" s="31"/>
      <c r="H412" s="37" t="s">
        <v>281</v>
      </c>
      <c r="I412">
        <v>1</v>
      </c>
      <c r="J412">
        <v>2</v>
      </c>
      <c r="K412">
        <v>3</v>
      </c>
      <c r="L412" t="s">
        <v>161</v>
      </c>
      <c r="M412"/>
      <c r="N412"/>
      <c r="R412" s="31"/>
      <c r="S412" s="31"/>
      <c r="T412" s="31"/>
      <c r="U412" s="31"/>
      <c r="V412" s="31"/>
      <c r="W412" s="31"/>
      <c r="X412" s="31"/>
      <c r="Y412" s="31"/>
    </row>
    <row r="413" spans="1:25">
      <c r="A413" s="38">
        <v>1</v>
      </c>
      <c r="B413" s="25">
        <v>2</v>
      </c>
      <c r="C413" s="25">
        <v>1</v>
      </c>
      <c r="D413" s="25">
        <v>3</v>
      </c>
      <c r="E413"/>
      <c r="F413"/>
      <c r="G413" s="31"/>
      <c r="H413" s="38">
        <v>1</v>
      </c>
      <c r="I413" s="25">
        <v>2</v>
      </c>
      <c r="J413" s="25"/>
      <c r="K413" s="25">
        <v>1</v>
      </c>
      <c r="L413" s="25">
        <v>3</v>
      </c>
      <c r="M413"/>
      <c r="N413"/>
      <c r="R413" s="31"/>
      <c r="S413" s="31"/>
      <c r="T413" s="31"/>
      <c r="U413" s="31"/>
      <c r="V413" s="31"/>
      <c r="W413" s="31"/>
      <c r="X413" s="31"/>
      <c r="Y413" s="31"/>
    </row>
    <row r="414" spans="1:25">
      <c r="A414" s="38">
        <v>2</v>
      </c>
      <c r="B414" s="25">
        <v>2</v>
      </c>
      <c r="C414" s="25">
        <v>3</v>
      </c>
      <c r="D414" s="25">
        <v>5</v>
      </c>
      <c r="E414"/>
      <c r="F414"/>
      <c r="G414" s="31"/>
      <c r="H414" s="38">
        <v>2</v>
      </c>
      <c r="I414" s="25">
        <v>4</v>
      </c>
      <c r="J414" s="25">
        <v>1</v>
      </c>
      <c r="K414" s="25"/>
      <c r="L414" s="25">
        <v>5</v>
      </c>
      <c r="M414"/>
      <c r="N414"/>
      <c r="R414" s="31"/>
      <c r="S414" s="31"/>
      <c r="T414" s="31"/>
      <c r="U414" s="31"/>
      <c r="V414" s="31"/>
      <c r="W414" s="31"/>
      <c r="X414" s="31"/>
      <c r="Y414" s="31"/>
    </row>
    <row r="415" spans="1:25">
      <c r="A415" s="38">
        <v>3</v>
      </c>
      <c r="B415" s="25">
        <v>1</v>
      </c>
      <c r="C415" s="25">
        <v>3</v>
      </c>
      <c r="D415" s="25">
        <v>4</v>
      </c>
      <c r="E415"/>
      <c r="F415"/>
      <c r="G415" s="31"/>
      <c r="H415" s="38">
        <v>3</v>
      </c>
      <c r="I415" s="25">
        <v>2</v>
      </c>
      <c r="J415" s="25">
        <v>1</v>
      </c>
      <c r="K415" s="25">
        <v>1</v>
      </c>
      <c r="L415" s="25">
        <v>4</v>
      </c>
      <c r="M415"/>
      <c r="N415"/>
      <c r="R415" s="31"/>
      <c r="S415" s="31"/>
      <c r="T415" s="31"/>
      <c r="U415" s="31"/>
      <c r="V415" s="31"/>
      <c r="W415" s="31"/>
      <c r="X415" s="31"/>
      <c r="Y415" s="31"/>
    </row>
    <row r="416" spans="1:25">
      <c r="A416" s="38">
        <v>4</v>
      </c>
      <c r="B416" s="25">
        <v>2</v>
      </c>
      <c r="C416" s="25">
        <v>1</v>
      </c>
      <c r="D416" s="25">
        <v>3</v>
      </c>
      <c r="E416"/>
      <c r="F416"/>
      <c r="H416" s="38">
        <v>4</v>
      </c>
      <c r="I416" s="25">
        <v>1</v>
      </c>
      <c r="J416" s="25">
        <v>2</v>
      </c>
      <c r="K416" s="25"/>
      <c r="L416" s="25">
        <v>3</v>
      </c>
      <c r="M416"/>
      <c r="N416"/>
      <c r="R416" s="31"/>
      <c r="S416" s="31"/>
      <c r="T416" s="31"/>
      <c r="U416" s="31"/>
      <c r="V416" s="31"/>
      <c r="W416" s="31"/>
      <c r="X416" s="31"/>
      <c r="Y416" s="31"/>
    </row>
    <row r="417" spans="1:25">
      <c r="A417" s="38" t="s">
        <v>161</v>
      </c>
      <c r="B417" s="25">
        <v>7</v>
      </c>
      <c r="C417" s="25">
        <v>8</v>
      </c>
      <c r="D417" s="25">
        <v>15</v>
      </c>
      <c r="E417"/>
      <c r="F417"/>
      <c r="H417" s="38" t="s">
        <v>161</v>
      </c>
      <c r="I417" s="25">
        <v>9</v>
      </c>
      <c r="J417" s="25">
        <v>4</v>
      </c>
      <c r="K417" s="25">
        <v>2</v>
      </c>
      <c r="L417" s="25">
        <v>15</v>
      </c>
      <c r="M417"/>
      <c r="N417"/>
    </row>
    <row r="418" spans="1:25">
      <c r="A418"/>
      <c r="B418"/>
      <c r="C418"/>
      <c r="D418"/>
      <c r="E418"/>
      <c r="F418"/>
      <c r="H418"/>
      <c r="I418"/>
      <c r="J418"/>
      <c r="K418"/>
      <c r="L418"/>
      <c r="M418"/>
      <c r="N418"/>
    </row>
    <row r="419" spans="1:25">
      <c r="A419"/>
      <c r="B419"/>
      <c r="C419"/>
      <c r="D419"/>
      <c r="E419"/>
      <c r="F419"/>
      <c r="G419" s="31"/>
      <c r="H419"/>
      <c r="I419"/>
      <c r="J419"/>
      <c r="K419"/>
      <c r="L419"/>
      <c r="M419"/>
      <c r="N419"/>
      <c r="R419" s="31"/>
      <c r="S419" s="31"/>
      <c r="T419" s="31"/>
      <c r="U419" s="31"/>
      <c r="V419" s="31"/>
      <c r="W419" s="31"/>
      <c r="X419" s="31"/>
      <c r="Y419" s="31"/>
    </row>
    <row r="420" spans="1:25">
      <c r="A420" s="39" t="s">
        <v>706</v>
      </c>
      <c r="B420"/>
      <c r="C420"/>
      <c r="D420"/>
      <c r="E420"/>
      <c r="F420"/>
      <c r="G420" s="31"/>
      <c r="H420" s="39" t="s">
        <v>515</v>
      </c>
      <c r="I420"/>
      <c r="J420"/>
      <c r="K420"/>
      <c r="L420"/>
      <c r="M420"/>
      <c r="N420"/>
      <c r="R420" s="31"/>
      <c r="S420" s="31"/>
      <c r="T420" s="31"/>
      <c r="U420" s="31"/>
      <c r="V420" s="31"/>
      <c r="W420" s="31"/>
      <c r="X420" s="31"/>
      <c r="Y420" s="31"/>
    </row>
    <row r="421" spans="1:25">
      <c r="A421" s="37" t="s">
        <v>110</v>
      </c>
      <c r="B421" s="37" t="s">
        <v>282</v>
      </c>
      <c r="C421"/>
      <c r="D421"/>
      <c r="E421"/>
      <c r="F421"/>
      <c r="G421" s="31"/>
      <c r="H421" s="37" t="s">
        <v>110</v>
      </c>
      <c r="I421" s="37" t="s">
        <v>282</v>
      </c>
      <c r="J421"/>
      <c r="K421"/>
      <c r="L421"/>
      <c r="M421"/>
      <c r="N421"/>
      <c r="R421" s="31"/>
      <c r="S421" s="31"/>
      <c r="T421" s="31"/>
      <c r="U421" s="31"/>
      <c r="V421" s="31"/>
      <c r="W421" s="31"/>
      <c r="X421" s="31"/>
      <c r="Y421" s="31"/>
    </row>
    <row r="422" spans="1:25">
      <c r="A422" s="37" t="s">
        <v>281</v>
      </c>
      <c r="B422">
        <v>1</v>
      </c>
      <c r="C422">
        <v>2</v>
      </c>
      <c r="D422" t="s">
        <v>161</v>
      </c>
      <c r="E422"/>
      <c r="F422"/>
      <c r="G422" s="31"/>
      <c r="H422" s="37" t="s">
        <v>281</v>
      </c>
      <c r="I422">
        <v>1</v>
      </c>
      <c r="J422">
        <v>2</v>
      </c>
      <c r="K422">
        <v>3</v>
      </c>
      <c r="L422" t="s">
        <v>161</v>
      </c>
      <c r="M422"/>
      <c r="N422"/>
      <c r="R422" s="31"/>
      <c r="S422" s="31"/>
      <c r="T422" s="31"/>
      <c r="U422" s="31"/>
      <c r="V422" s="31"/>
      <c r="W422" s="31"/>
      <c r="X422" s="31"/>
      <c r="Y422" s="31"/>
    </row>
    <row r="423" spans="1:25">
      <c r="A423" s="38">
        <v>1</v>
      </c>
      <c r="B423" s="25">
        <v>1</v>
      </c>
      <c r="C423" s="25">
        <v>2</v>
      </c>
      <c r="D423" s="25">
        <v>3</v>
      </c>
      <c r="E423"/>
      <c r="F423"/>
      <c r="G423" s="31"/>
      <c r="H423" s="38">
        <v>1</v>
      </c>
      <c r="I423" s="25">
        <v>3</v>
      </c>
      <c r="J423" s="25"/>
      <c r="K423" s="25"/>
      <c r="L423" s="25">
        <v>3</v>
      </c>
      <c r="M423"/>
      <c r="N423"/>
      <c r="R423" s="31"/>
      <c r="S423" s="31"/>
      <c r="T423" s="31"/>
      <c r="U423" s="31"/>
      <c r="V423" s="31"/>
      <c r="W423" s="31"/>
      <c r="X423" s="31"/>
      <c r="Y423" s="31"/>
    </row>
    <row r="424" spans="1:25">
      <c r="A424" s="38">
        <v>2</v>
      </c>
      <c r="B424" s="25">
        <v>2</v>
      </c>
      <c r="C424" s="25">
        <v>3</v>
      </c>
      <c r="D424" s="25">
        <v>5</v>
      </c>
      <c r="E424"/>
      <c r="F424"/>
      <c r="G424" s="31"/>
      <c r="H424" s="38">
        <v>2</v>
      </c>
      <c r="I424" s="25">
        <v>3</v>
      </c>
      <c r="J424" s="25">
        <v>1</v>
      </c>
      <c r="K424" s="25">
        <v>1</v>
      </c>
      <c r="L424" s="25">
        <v>5</v>
      </c>
      <c r="M424"/>
      <c r="N424"/>
    </row>
    <row r="425" spans="1:25">
      <c r="A425" s="38">
        <v>3</v>
      </c>
      <c r="B425" s="25">
        <v>2</v>
      </c>
      <c r="C425" s="25">
        <v>2</v>
      </c>
      <c r="D425" s="25">
        <v>4</v>
      </c>
      <c r="E425"/>
      <c r="F425"/>
      <c r="H425" s="38">
        <v>3</v>
      </c>
      <c r="I425" s="25">
        <v>2</v>
      </c>
      <c r="J425" s="25">
        <v>1</v>
      </c>
      <c r="K425" s="25">
        <v>1</v>
      </c>
      <c r="L425" s="25">
        <v>4</v>
      </c>
      <c r="M425"/>
      <c r="N425"/>
    </row>
    <row r="426" spans="1:25">
      <c r="A426" s="38">
        <v>4</v>
      </c>
      <c r="B426" s="25">
        <v>2</v>
      </c>
      <c r="C426" s="25"/>
      <c r="D426" s="25">
        <v>2</v>
      </c>
      <c r="E426"/>
      <c r="F426"/>
      <c r="H426" s="38">
        <v>4</v>
      </c>
      <c r="I426" s="25">
        <v>1</v>
      </c>
      <c r="J426" s="25">
        <v>1</v>
      </c>
      <c r="K426" s="25"/>
      <c r="L426" s="25">
        <v>2</v>
      </c>
      <c r="M426"/>
      <c r="N426"/>
      <c r="R426" s="31"/>
      <c r="S426" s="31"/>
      <c r="T426" s="31"/>
      <c r="U426" s="31"/>
      <c r="V426" s="31"/>
      <c r="W426" s="31"/>
      <c r="X426" s="31"/>
      <c r="Y426" s="31"/>
    </row>
    <row r="427" spans="1:25">
      <c r="A427" s="38">
        <v>8</v>
      </c>
      <c r="B427" s="25"/>
      <c r="C427" s="25">
        <v>1</v>
      </c>
      <c r="D427" s="25">
        <v>1</v>
      </c>
      <c r="E427"/>
      <c r="F427"/>
      <c r="H427" s="38">
        <v>8</v>
      </c>
      <c r="I427" s="25"/>
      <c r="J427" s="25">
        <v>1</v>
      </c>
      <c r="K427" s="25"/>
      <c r="L427" s="25">
        <v>1</v>
      </c>
      <c r="M427"/>
      <c r="N427"/>
      <c r="O427" s="31"/>
    </row>
    <row r="428" spans="1:25">
      <c r="A428" s="38" t="s">
        <v>161</v>
      </c>
      <c r="B428" s="25">
        <v>7</v>
      </c>
      <c r="C428" s="25">
        <v>8</v>
      </c>
      <c r="D428" s="25">
        <v>15</v>
      </c>
      <c r="E428"/>
      <c r="F428"/>
      <c r="G428" s="31"/>
      <c r="H428" s="38" t="s">
        <v>161</v>
      </c>
      <c r="I428" s="25">
        <v>9</v>
      </c>
      <c r="J428" s="25">
        <v>4</v>
      </c>
      <c r="K428" s="25">
        <v>2</v>
      </c>
      <c r="L428" s="25">
        <v>15</v>
      </c>
      <c r="M428"/>
      <c r="N428"/>
      <c r="O428" s="31"/>
    </row>
    <row r="429" spans="1:25">
      <c r="A429"/>
      <c r="B429"/>
      <c r="C429"/>
      <c r="D429"/>
      <c r="E429"/>
      <c r="F429"/>
      <c r="G429" s="31"/>
      <c r="H429"/>
      <c r="I429"/>
      <c r="J429"/>
      <c r="K429"/>
      <c r="L429"/>
      <c r="M429"/>
      <c r="N429"/>
      <c r="O429" s="31"/>
    </row>
    <row r="430" spans="1:25">
      <c r="A430"/>
      <c r="B430"/>
      <c r="C430"/>
      <c r="D430"/>
      <c r="E430"/>
      <c r="F430"/>
      <c r="G430" s="31"/>
      <c r="H430"/>
      <c r="I430"/>
      <c r="J430"/>
      <c r="K430"/>
      <c r="L430"/>
      <c r="M430"/>
      <c r="N430"/>
      <c r="O430" s="31"/>
    </row>
    <row r="431" spans="1:25">
      <c r="A431" s="39" t="s">
        <v>707</v>
      </c>
      <c r="B431"/>
      <c r="C431"/>
      <c r="D431"/>
      <c r="E431"/>
      <c r="F431"/>
      <c r="G431" s="31"/>
      <c r="H431" s="39" t="s">
        <v>708</v>
      </c>
      <c r="I431"/>
      <c r="J431"/>
      <c r="K431"/>
      <c r="L431"/>
      <c r="M431"/>
      <c r="N431"/>
      <c r="O431" s="31"/>
    </row>
    <row r="432" spans="1:25">
      <c r="A432" s="37" t="s">
        <v>110</v>
      </c>
      <c r="B432" s="37" t="s">
        <v>282</v>
      </c>
      <c r="C432"/>
      <c r="D432"/>
      <c r="E432"/>
      <c r="F432"/>
      <c r="G432" s="31"/>
      <c r="H432" s="37" t="s">
        <v>110</v>
      </c>
      <c r="I432" s="37" t="s">
        <v>282</v>
      </c>
      <c r="J432"/>
      <c r="K432"/>
      <c r="L432"/>
      <c r="M432"/>
      <c r="N432"/>
      <c r="O432" s="31"/>
    </row>
    <row r="433" spans="1:25">
      <c r="A433" s="37" t="s">
        <v>281</v>
      </c>
      <c r="B433">
        <v>1</v>
      </c>
      <c r="C433">
        <v>2</v>
      </c>
      <c r="D433" t="s">
        <v>161</v>
      </c>
      <c r="E433"/>
      <c r="F433"/>
      <c r="G433" s="31"/>
      <c r="H433" s="37" t="s">
        <v>281</v>
      </c>
      <c r="I433">
        <v>1</v>
      </c>
      <c r="J433">
        <v>2</v>
      </c>
      <c r="K433">
        <v>3</v>
      </c>
      <c r="L433" t="s">
        <v>161</v>
      </c>
      <c r="M433"/>
      <c r="N433"/>
    </row>
    <row r="434" spans="1:25">
      <c r="A434" s="38">
        <v>1</v>
      </c>
      <c r="B434" s="25">
        <v>2</v>
      </c>
      <c r="C434" s="25">
        <v>2</v>
      </c>
      <c r="D434" s="25">
        <v>4</v>
      </c>
      <c r="E434"/>
      <c r="F434"/>
      <c r="G434" s="31"/>
      <c r="H434" s="38">
        <v>1</v>
      </c>
      <c r="I434" s="25">
        <v>3</v>
      </c>
      <c r="J434" s="25">
        <v>1</v>
      </c>
      <c r="K434" s="25"/>
      <c r="L434" s="25">
        <v>4</v>
      </c>
      <c r="M434"/>
      <c r="N434"/>
      <c r="R434" s="31"/>
      <c r="S434" s="31"/>
      <c r="T434" s="31"/>
      <c r="U434" s="31"/>
      <c r="V434" s="31"/>
      <c r="W434" s="31"/>
      <c r="X434" s="31"/>
      <c r="Y434" s="31"/>
    </row>
    <row r="435" spans="1:25">
      <c r="A435" s="38">
        <v>2</v>
      </c>
      <c r="B435" s="25">
        <v>1</v>
      </c>
      <c r="C435" s="25">
        <v>4</v>
      </c>
      <c r="D435" s="25">
        <v>5</v>
      </c>
      <c r="E435"/>
      <c r="F435"/>
      <c r="G435" s="31"/>
      <c r="H435" s="38">
        <v>2</v>
      </c>
      <c r="I435" s="25">
        <v>3</v>
      </c>
      <c r="J435" s="25">
        <v>1</v>
      </c>
      <c r="K435" s="25">
        <v>1</v>
      </c>
      <c r="L435" s="25">
        <v>5</v>
      </c>
      <c r="M435"/>
      <c r="N435"/>
      <c r="O435" s="31"/>
      <c r="R435" s="31"/>
      <c r="S435" s="31"/>
      <c r="T435" s="31"/>
      <c r="U435" s="31"/>
      <c r="V435" s="31"/>
      <c r="W435" s="31"/>
      <c r="X435" s="31"/>
      <c r="Y435" s="31"/>
    </row>
    <row r="436" spans="1:25">
      <c r="A436" s="38">
        <v>3</v>
      </c>
      <c r="B436" s="25">
        <v>2</v>
      </c>
      <c r="C436" s="25">
        <v>1</v>
      </c>
      <c r="D436" s="25">
        <v>3</v>
      </c>
      <c r="E436"/>
      <c r="F436"/>
      <c r="G436" s="31"/>
      <c r="H436" s="38">
        <v>3</v>
      </c>
      <c r="I436" s="25">
        <v>2</v>
      </c>
      <c r="J436" s="25"/>
      <c r="K436" s="25">
        <v>1</v>
      </c>
      <c r="L436" s="25">
        <v>3</v>
      </c>
      <c r="M436"/>
      <c r="N436"/>
      <c r="O436" s="31"/>
      <c r="R436" s="31"/>
      <c r="S436" s="31"/>
      <c r="T436" s="31"/>
      <c r="U436" s="31"/>
      <c r="V436" s="31"/>
      <c r="W436" s="31"/>
      <c r="X436" s="31"/>
      <c r="Y436" s="31"/>
    </row>
    <row r="437" spans="1:25">
      <c r="A437" s="38">
        <v>4</v>
      </c>
      <c r="B437" s="25">
        <v>1</v>
      </c>
      <c r="C437" s="25">
        <v>1</v>
      </c>
      <c r="D437" s="25">
        <v>2</v>
      </c>
      <c r="E437"/>
      <c r="F437"/>
      <c r="H437" s="38">
        <v>4</v>
      </c>
      <c r="I437" s="25"/>
      <c r="J437" s="25">
        <v>2</v>
      </c>
      <c r="K437" s="25"/>
      <c r="L437" s="25">
        <v>2</v>
      </c>
      <c r="M437"/>
      <c r="N437"/>
      <c r="O437" s="31"/>
      <c r="R437" s="31"/>
      <c r="S437" s="31"/>
      <c r="T437" s="31"/>
      <c r="U437" s="31"/>
      <c r="V437" s="31"/>
      <c r="W437" s="31"/>
      <c r="X437" s="31"/>
      <c r="Y437" s="31"/>
    </row>
    <row r="438" spans="1:25">
      <c r="A438" s="38">
        <v>8</v>
      </c>
      <c r="B438" s="25">
        <v>1</v>
      </c>
      <c r="C438" s="25"/>
      <c r="D438" s="25">
        <v>1</v>
      </c>
      <c r="E438"/>
      <c r="F438"/>
      <c r="H438" s="38">
        <v>8</v>
      </c>
      <c r="I438" s="25">
        <v>1</v>
      </c>
      <c r="J438" s="25"/>
      <c r="K438" s="25"/>
      <c r="L438" s="25">
        <v>1</v>
      </c>
      <c r="M438"/>
      <c r="N438"/>
      <c r="O438" s="31"/>
      <c r="R438" s="31"/>
      <c r="S438" s="31"/>
      <c r="T438" s="31"/>
      <c r="U438" s="31"/>
      <c r="V438" s="31"/>
      <c r="W438" s="31"/>
      <c r="X438" s="31"/>
      <c r="Y438" s="31"/>
    </row>
    <row r="439" spans="1:25">
      <c r="A439" s="38" t="s">
        <v>161</v>
      </c>
      <c r="B439" s="25">
        <v>7</v>
      </c>
      <c r="C439" s="25">
        <v>8</v>
      </c>
      <c r="D439" s="25">
        <v>15</v>
      </c>
      <c r="E439"/>
      <c r="F439"/>
      <c r="G439" s="31"/>
      <c r="H439" s="38" t="s">
        <v>161</v>
      </c>
      <c r="I439" s="25">
        <v>9</v>
      </c>
      <c r="J439" s="25">
        <v>4</v>
      </c>
      <c r="K439" s="25">
        <v>2</v>
      </c>
      <c r="L439" s="25">
        <v>15</v>
      </c>
      <c r="M439"/>
      <c r="N439"/>
      <c r="O439" s="31"/>
    </row>
    <row r="440" spans="1:25">
      <c r="A440"/>
      <c r="B440"/>
      <c r="C440"/>
      <c r="D440"/>
      <c r="E440"/>
      <c r="F440"/>
      <c r="G440" s="31"/>
      <c r="H440"/>
      <c r="I440"/>
      <c r="J440"/>
      <c r="K440"/>
      <c r="L440"/>
      <c r="M440"/>
      <c r="N440"/>
    </row>
    <row r="441" spans="1:25">
      <c r="A441"/>
      <c r="B441"/>
      <c r="C441"/>
      <c r="D441"/>
      <c r="E441"/>
      <c r="F441"/>
      <c r="G441" s="31"/>
      <c r="H441"/>
      <c r="I441"/>
      <c r="J441"/>
      <c r="K441"/>
      <c r="L441"/>
      <c r="M441"/>
      <c r="N441"/>
      <c r="R441" s="31"/>
      <c r="S441" s="31"/>
      <c r="T441" s="31"/>
      <c r="U441" s="31"/>
      <c r="V441" s="31"/>
      <c r="W441" s="31"/>
      <c r="X441" s="31"/>
      <c r="Y441" s="31"/>
    </row>
    <row r="442" spans="1:25">
      <c r="A442" s="39" t="s">
        <v>709</v>
      </c>
      <c r="B442"/>
      <c r="C442"/>
      <c r="D442"/>
      <c r="E442"/>
      <c r="F442"/>
      <c r="G442" s="31"/>
      <c r="H442" s="39" t="s">
        <v>710</v>
      </c>
      <c r="I442"/>
      <c r="J442"/>
      <c r="K442"/>
      <c r="L442"/>
      <c r="M442"/>
      <c r="N442"/>
      <c r="O442" s="31"/>
    </row>
    <row r="443" spans="1:25">
      <c r="A443" s="37" t="s">
        <v>110</v>
      </c>
      <c r="B443" s="37" t="s">
        <v>282</v>
      </c>
      <c r="C443"/>
      <c r="D443"/>
      <c r="E443"/>
      <c r="F443"/>
      <c r="G443" s="31"/>
      <c r="H443" s="37" t="s">
        <v>110</v>
      </c>
      <c r="I443" s="37" t="s">
        <v>282</v>
      </c>
      <c r="J443"/>
      <c r="K443"/>
      <c r="L443"/>
      <c r="M443"/>
      <c r="N443"/>
    </row>
    <row r="444" spans="1:25">
      <c r="A444" s="37" t="s">
        <v>281</v>
      </c>
      <c r="B444">
        <v>1</v>
      </c>
      <c r="C444">
        <v>2</v>
      </c>
      <c r="D444" t="s">
        <v>161</v>
      </c>
      <c r="E444"/>
      <c r="F444"/>
      <c r="G444" s="31"/>
      <c r="H444" s="37" t="s">
        <v>281</v>
      </c>
      <c r="I444">
        <v>1</v>
      </c>
      <c r="J444">
        <v>2</v>
      </c>
      <c r="K444">
        <v>3</v>
      </c>
      <c r="L444" t="s">
        <v>161</v>
      </c>
      <c r="M444"/>
      <c r="N444"/>
    </row>
    <row r="445" spans="1:25">
      <c r="A445" s="38">
        <v>1</v>
      </c>
      <c r="B445" s="25">
        <v>1</v>
      </c>
      <c r="C445" s="25">
        <v>1</v>
      </c>
      <c r="D445" s="25">
        <v>2</v>
      </c>
      <c r="E445"/>
      <c r="F445"/>
      <c r="G445" s="31"/>
      <c r="H445" s="38">
        <v>1</v>
      </c>
      <c r="I445" s="25"/>
      <c r="J445" s="25">
        <v>1</v>
      </c>
      <c r="K445" s="25">
        <v>1</v>
      </c>
      <c r="L445" s="25">
        <v>2</v>
      </c>
      <c r="M445"/>
      <c r="N445"/>
    </row>
    <row r="446" spans="1:25">
      <c r="A446" s="38">
        <v>2</v>
      </c>
      <c r="B446" s="25">
        <v>2</v>
      </c>
      <c r="C446" s="25">
        <v>2</v>
      </c>
      <c r="D446" s="25">
        <v>4</v>
      </c>
      <c r="E446"/>
      <c r="F446"/>
      <c r="G446" s="31"/>
      <c r="H446" s="38">
        <v>2</v>
      </c>
      <c r="I446" s="25">
        <v>3</v>
      </c>
      <c r="J446" s="25"/>
      <c r="K446" s="25">
        <v>1</v>
      </c>
      <c r="L446" s="25">
        <v>4</v>
      </c>
      <c r="M446"/>
      <c r="N446"/>
    </row>
    <row r="447" spans="1:25">
      <c r="A447" s="38">
        <v>3</v>
      </c>
      <c r="B447" s="25">
        <v>1</v>
      </c>
      <c r="C447" s="25">
        <v>2</v>
      </c>
      <c r="D447" s="25">
        <v>3</v>
      </c>
      <c r="E447"/>
      <c r="F447"/>
      <c r="H447" s="38">
        <v>3</v>
      </c>
      <c r="I447" s="25">
        <v>2</v>
      </c>
      <c r="J447" s="25">
        <v>1</v>
      </c>
      <c r="K447" s="25"/>
      <c r="L447" s="25">
        <v>3</v>
      </c>
      <c r="M447"/>
      <c r="N447"/>
    </row>
    <row r="448" spans="1:25">
      <c r="A448" s="38">
        <v>4</v>
      </c>
      <c r="B448" s="25"/>
      <c r="C448" s="25">
        <v>2</v>
      </c>
      <c r="D448" s="25">
        <v>2</v>
      </c>
      <c r="E448"/>
      <c r="F448"/>
      <c r="H448" s="38">
        <v>4</v>
      </c>
      <c r="I448" s="25"/>
      <c r="J448" s="25">
        <v>2</v>
      </c>
      <c r="K448" s="25"/>
      <c r="L448" s="25">
        <v>2</v>
      </c>
      <c r="M448"/>
      <c r="N448"/>
      <c r="R448" s="31"/>
      <c r="S448" s="31"/>
      <c r="T448" s="31"/>
      <c r="U448" s="31"/>
      <c r="V448" s="31"/>
      <c r="W448" s="31"/>
      <c r="X448" s="31"/>
      <c r="Y448" s="31"/>
    </row>
    <row r="449" spans="1:25">
      <c r="A449" s="38">
        <v>8</v>
      </c>
      <c r="B449" s="25">
        <v>3</v>
      </c>
      <c r="C449" s="25">
        <v>1</v>
      </c>
      <c r="D449" s="25">
        <v>4</v>
      </c>
      <c r="E449"/>
      <c r="F449"/>
      <c r="G449" s="31"/>
      <c r="H449" s="38">
        <v>8</v>
      </c>
      <c r="I449" s="25">
        <v>4</v>
      </c>
      <c r="J449" s="25"/>
      <c r="K449" s="25"/>
      <c r="L449" s="25">
        <v>4</v>
      </c>
      <c r="M449"/>
      <c r="N449"/>
      <c r="O449" s="31"/>
      <c r="R449" s="31"/>
      <c r="S449" s="31"/>
      <c r="T449" s="31"/>
      <c r="U449" s="31"/>
      <c r="V449" s="31"/>
      <c r="W449" s="31"/>
      <c r="X449" s="31"/>
      <c r="Y449" s="31"/>
    </row>
    <row r="450" spans="1:25">
      <c r="A450" s="38" t="s">
        <v>161</v>
      </c>
      <c r="B450" s="25">
        <v>7</v>
      </c>
      <c r="C450" s="25">
        <v>8</v>
      </c>
      <c r="D450" s="25">
        <v>15</v>
      </c>
      <c r="E450"/>
      <c r="F450"/>
      <c r="G450" s="31"/>
      <c r="H450" s="38" t="s">
        <v>161</v>
      </c>
      <c r="I450" s="25">
        <v>9</v>
      </c>
      <c r="J450" s="25">
        <v>4</v>
      </c>
      <c r="K450" s="25">
        <v>2</v>
      </c>
      <c r="L450" s="25">
        <v>15</v>
      </c>
      <c r="M450"/>
      <c r="N450"/>
      <c r="O450" s="31"/>
      <c r="R450" s="31"/>
      <c r="S450" s="31"/>
      <c r="T450" s="31"/>
      <c r="U450" s="31"/>
      <c r="V450" s="31"/>
      <c r="W450" s="31"/>
      <c r="X450" s="31"/>
      <c r="Y450" s="31"/>
    </row>
    <row r="451" spans="1:25">
      <c r="A451"/>
      <c r="B451"/>
      <c r="C451"/>
      <c r="D451"/>
      <c r="E451"/>
      <c r="F451"/>
      <c r="G451" s="31"/>
      <c r="H451"/>
      <c r="I451"/>
      <c r="J451"/>
      <c r="K451"/>
      <c r="L451"/>
      <c r="M451"/>
      <c r="N451"/>
      <c r="O451" s="31"/>
      <c r="R451" s="31"/>
      <c r="S451" s="31"/>
      <c r="T451" s="31"/>
      <c r="U451" s="31"/>
      <c r="V451" s="31"/>
      <c r="W451" s="31"/>
      <c r="X451" s="31"/>
      <c r="Y451" s="31"/>
    </row>
    <row r="452" spans="1:25">
      <c r="A452"/>
      <c r="B452"/>
      <c r="C452"/>
      <c r="D452"/>
      <c r="E452"/>
      <c r="F452"/>
      <c r="G452" s="31"/>
      <c r="H452"/>
      <c r="I452"/>
      <c r="J452"/>
      <c r="K452"/>
      <c r="L452"/>
      <c r="M452"/>
      <c r="N452"/>
      <c r="O452" s="31"/>
      <c r="R452" s="31"/>
      <c r="S452" s="31"/>
      <c r="T452" s="31"/>
      <c r="U452" s="31"/>
      <c r="V452" s="31"/>
      <c r="W452" s="31"/>
      <c r="X452" s="31"/>
      <c r="Y452" s="31"/>
    </row>
    <row r="453" spans="1:25">
      <c r="A453" s="39" t="s">
        <v>711</v>
      </c>
      <c r="B453"/>
      <c r="C453"/>
      <c r="D453"/>
      <c r="E453"/>
      <c r="F453"/>
      <c r="G453" s="31"/>
      <c r="H453" s="39" t="s">
        <v>712</v>
      </c>
      <c r="I453"/>
      <c r="J453"/>
      <c r="K453"/>
      <c r="L453"/>
      <c r="M453"/>
      <c r="N453"/>
      <c r="O453" s="31"/>
    </row>
    <row r="454" spans="1:25">
      <c r="A454" s="37" t="s">
        <v>110</v>
      </c>
      <c r="B454" s="37" t="s">
        <v>282</v>
      </c>
      <c r="C454"/>
      <c r="D454"/>
      <c r="E454"/>
      <c r="F454"/>
      <c r="G454" s="31"/>
      <c r="H454" s="37" t="s">
        <v>110</v>
      </c>
      <c r="I454" s="37" t="s">
        <v>282</v>
      </c>
      <c r="J454"/>
      <c r="K454"/>
      <c r="L454"/>
      <c r="M454"/>
      <c r="N454"/>
    </row>
    <row r="455" spans="1:25">
      <c r="A455" s="37" t="s">
        <v>281</v>
      </c>
      <c r="B455">
        <v>1</v>
      </c>
      <c r="C455">
        <v>2</v>
      </c>
      <c r="D455" t="s">
        <v>161</v>
      </c>
      <c r="E455"/>
      <c r="F455"/>
      <c r="G455" s="31"/>
      <c r="H455" s="37" t="s">
        <v>281</v>
      </c>
      <c r="I455">
        <v>1</v>
      </c>
      <c r="J455">
        <v>2</v>
      </c>
      <c r="K455">
        <v>3</v>
      </c>
      <c r="L455" t="s">
        <v>161</v>
      </c>
      <c r="M455"/>
      <c r="N455"/>
      <c r="R455" s="31"/>
    </row>
    <row r="456" spans="1:25">
      <c r="A456" s="38">
        <v>1</v>
      </c>
      <c r="B456" s="25">
        <v>1</v>
      </c>
      <c r="C456" s="25">
        <v>2</v>
      </c>
      <c r="D456" s="25">
        <v>3</v>
      </c>
      <c r="E456"/>
      <c r="F456"/>
      <c r="G456" s="31"/>
      <c r="H456" s="38">
        <v>1</v>
      </c>
      <c r="I456" s="25">
        <v>1</v>
      </c>
      <c r="J456" s="25">
        <v>1</v>
      </c>
      <c r="K456" s="25">
        <v>1</v>
      </c>
      <c r="L456" s="25">
        <v>3</v>
      </c>
      <c r="M456"/>
      <c r="N456"/>
      <c r="O456" s="31"/>
      <c r="R456" s="31"/>
    </row>
    <row r="457" spans="1:25">
      <c r="A457" s="38">
        <v>2</v>
      </c>
      <c r="B457" s="25">
        <v>2</v>
      </c>
      <c r="C457" s="25">
        <v>3</v>
      </c>
      <c r="D457" s="25">
        <v>5</v>
      </c>
      <c r="E457"/>
      <c r="F457"/>
      <c r="H457" s="38">
        <v>2</v>
      </c>
      <c r="I457" s="25">
        <v>3</v>
      </c>
      <c r="J457" s="25">
        <v>1</v>
      </c>
      <c r="K457" s="25">
        <v>1</v>
      </c>
      <c r="L457" s="25">
        <v>5</v>
      </c>
      <c r="M457"/>
      <c r="N457"/>
      <c r="R457" s="31"/>
    </row>
    <row r="458" spans="1:25">
      <c r="A458" s="38">
        <v>3</v>
      </c>
      <c r="B458" s="25">
        <v>1</v>
      </c>
      <c r="C458" s="25">
        <v>2</v>
      </c>
      <c r="D458" s="25">
        <v>3</v>
      </c>
      <c r="E458"/>
      <c r="F458"/>
      <c r="H458" s="38">
        <v>3</v>
      </c>
      <c r="I458" s="25">
        <v>2</v>
      </c>
      <c r="J458" s="25">
        <v>1</v>
      </c>
      <c r="K458" s="25"/>
      <c r="L458" s="25">
        <v>3</v>
      </c>
      <c r="M458"/>
      <c r="N458"/>
      <c r="R458" s="31"/>
    </row>
    <row r="459" spans="1:25">
      <c r="A459" s="38">
        <v>4</v>
      </c>
      <c r="B459" s="25">
        <v>1</v>
      </c>
      <c r="C459" s="25">
        <v>1</v>
      </c>
      <c r="D459" s="25">
        <v>2</v>
      </c>
      <c r="E459"/>
      <c r="F459"/>
      <c r="G459" s="31"/>
      <c r="H459" s="38">
        <v>4</v>
      </c>
      <c r="I459" s="25">
        <v>2</v>
      </c>
      <c r="J459" s="25"/>
      <c r="K459" s="25"/>
      <c r="L459" s="25">
        <v>2</v>
      </c>
      <c r="M459"/>
      <c r="N459"/>
      <c r="R459" s="31"/>
    </row>
    <row r="460" spans="1:25">
      <c r="A460" s="38">
        <v>8</v>
      </c>
      <c r="B460" s="25">
        <v>2</v>
      </c>
      <c r="C460" s="25"/>
      <c r="D460" s="25">
        <v>2</v>
      </c>
      <c r="E460"/>
      <c r="F460"/>
      <c r="G460" s="31"/>
      <c r="H460" s="38">
        <v>8</v>
      </c>
      <c r="I460" s="25">
        <v>1</v>
      </c>
      <c r="J460" s="25">
        <v>1</v>
      </c>
      <c r="K460" s="25"/>
      <c r="L460" s="25">
        <v>2</v>
      </c>
      <c r="M460"/>
      <c r="N460"/>
    </row>
    <row r="461" spans="1:25">
      <c r="A461" s="38" t="s">
        <v>161</v>
      </c>
      <c r="B461" s="25">
        <v>7</v>
      </c>
      <c r="C461" s="25">
        <v>8</v>
      </c>
      <c r="D461" s="25">
        <v>15</v>
      </c>
      <c r="E461"/>
      <c r="F461"/>
      <c r="G461" s="31"/>
      <c r="H461" s="38" t="s">
        <v>161</v>
      </c>
      <c r="I461" s="25">
        <v>9</v>
      </c>
      <c r="J461" s="25">
        <v>4</v>
      </c>
      <c r="K461" s="25">
        <v>2</v>
      </c>
      <c r="L461" s="25">
        <v>15</v>
      </c>
      <c r="M461"/>
      <c r="N461"/>
      <c r="R461" s="31"/>
    </row>
    <row r="462" spans="1:25">
      <c r="A462"/>
      <c r="B462"/>
      <c r="C462"/>
      <c r="D462"/>
      <c r="E462"/>
      <c r="F462"/>
      <c r="G462" s="31"/>
      <c r="H462"/>
      <c r="I462"/>
      <c r="J462"/>
      <c r="K462"/>
      <c r="L462"/>
      <c r="M462"/>
      <c r="N462"/>
    </row>
    <row r="463" spans="1:25">
      <c r="A463"/>
      <c r="B463"/>
      <c r="C463"/>
      <c r="D463"/>
      <c r="E463"/>
      <c r="F463"/>
      <c r="G463" s="31"/>
      <c r="H463"/>
      <c r="I463"/>
      <c r="J463"/>
      <c r="K463"/>
      <c r="L463"/>
      <c r="M463"/>
      <c r="N463"/>
      <c r="O463" s="31"/>
    </row>
    <row r="464" spans="1:25">
      <c r="A464" t="s">
        <v>503</v>
      </c>
      <c r="B464"/>
      <c r="C464"/>
      <c r="D464"/>
      <c r="E464"/>
      <c r="F464"/>
      <c r="G464" s="31"/>
      <c r="H464" s="39" t="s">
        <v>516</v>
      </c>
      <c r="I464"/>
      <c r="J464"/>
      <c r="K464"/>
      <c r="L464"/>
      <c r="M464"/>
      <c r="N464"/>
      <c r="O464" s="31"/>
    </row>
    <row r="465" spans="1:18">
      <c r="A465" s="37" t="s">
        <v>110</v>
      </c>
      <c r="B465" s="37" t="s">
        <v>282</v>
      </c>
      <c r="C465"/>
      <c r="D465"/>
      <c r="E465"/>
      <c r="F465"/>
      <c r="H465" s="37" t="s">
        <v>110</v>
      </c>
      <c r="I465" s="37" t="s">
        <v>282</v>
      </c>
      <c r="J465"/>
      <c r="K465"/>
      <c r="L465"/>
      <c r="M465"/>
      <c r="N465"/>
      <c r="O465" s="31"/>
    </row>
    <row r="466" spans="1:18">
      <c r="A466" s="37" t="s">
        <v>281</v>
      </c>
      <c r="B466">
        <v>1</v>
      </c>
      <c r="C466">
        <v>2</v>
      </c>
      <c r="D466" t="s">
        <v>161</v>
      </c>
      <c r="E466"/>
      <c r="F466"/>
      <c r="H466" s="37" t="s">
        <v>281</v>
      </c>
      <c r="I466">
        <v>1</v>
      </c>
      <c r="J466">
        <v>2</v>
      </c>
      <c r="K466">
        <v>3</v>
      </c>
      <c r="L466" t="s">
        <v>161</v>
      </c>
      <c r="M466"/>
      <c r="N466"/>
      <c r="O466" s="31"/>
    </row>
    <row r="467" spans="1:18">
      <c r="A467" s="38">
        <v>1</v>
      </c>
      <c r="B467" s="25">
        <v>4</v>
      </c>
      <c r="C467" s="25">
        <v>1</v>
      </c>
      <c r="D467" s="25">
        <v>5</v>
      </c>
      <c r="E467"/>
      <c r="F467"/>
      <c r="H467" s="38">
        <v>1</v>
      </c>
      <c r="I467" s="25">
        <v>2</v>
      </c>
      <c r="J467" s="25">
        <v>2</v>
      </c>
      <c r="K467" s="25">
        <v>1</v>
      </c>
      <c r="L467" s="25">
        <v>5</v>
      </c>
      <c r="M467"/>
      <c r="N467"/>
      <c r="O467" s="31"/>
    </row>
    <row r="468" spans="1:18">
      <c r="A468" s="38">
        <v>2</v>
      </c>
      <c r="B468" s="25">
        <v>1</v>
      </c>
      <c r="C468" s="25">
        <v>3</v>
      </c>
      <c r="D468" s="25">
        <v>4</v>
      </c>
      <c r="E468"/>
      <c r="F468"/>
      <c r="G468" s="31"/>
      <c r="H468" s="38">
        <v>2</v>
      </c>
      <c r="I468" s="25">
        <v>2</v>
      </c>
      <c r="J468" s="25">
        <v>2</v>
      </c>
      <c r="K468" s="25"/>
      <c r="L468" s="25">
        <v>4</v>
      </c>
      <c r="M468"/>
      <c r="N468"/>
    </row>
    <row r="469" spans="1:18">
      <c r="A469" s="38">
        <v>3</v>
      </c>
      <c r="B469" s="25">
        <v>2</v>
      </c>
      <c r="C469" s="25">
        <v>2</v>
      </c>
      <c r="D469" s="25">
        <v>4</v>
      </c>
      <c r="E469"/>
      <c r="F469"/>
      <c r="G469" s="31"/>
      <c r="H469" s="38">
        <v>3</v>
      </c>
      <c r="I469" s="25">
        <v>4</v>
      </c>
      <c r="J469" s="25"/>
      <c r="K469" s="25"/>
      <c r="L469" s="25">
        <v>4</v>
      </c>
      <c r="M469"/>
      <c r="N469"/>
      <c r="R469" s="31"/>
    </row>
    <row r="470" spans="1:18">
      <c r="A470" s="38">
        <v>4</v>
      </c>
      <c r="B470" s="25"/>
      <c r="C470" s="25">
        <v>2</v>
      </c>
      <c r="D470" s="25">
        <v>2</v>
      </c>
      <c r="E470"/>
      <c r="F470"/>
      <c r="G470" s="31"/>
      <c r="H470" s="38">
        <v>4</v>
      </c>
      <c r="I470" s="25">
        <v>1</v>
      </c>
      <c r="J470" s="25"/>
      <c r="K470" s="25">
        <v>1</v>
      </c>
      <c r="L470" s="25">
        <v>2</v>
      </c>
      <c r="M470"/>
      <c r="N470"/>
      <c r="R470" s="31"/>
    </row>
    <row r="471" spans="1:18">
      <c r="A471" s="38" t="s">
        <v>161</v>
      </c>
      <c r="B471" s="25">
        <v>7</v>
      </c>
      <c r="C471" s="25">
        <v>8</v>
      </c>
      <c r="D471" s="25">
        <v>15</v>
      </c>
      <c r="E471"/>
      <c r="F471"/>
      <c r="G471" s="31"/>
      <c r="H471" s="38" t="s">
        <v>161</v>
      </c>
      <c r="I471" s="25">
        <v>9</v>
      </c>
      <c r="J471" s="25">
        <v>4</v>
      </c>
      <c r="K471" s="25">
        <v>2</v>
      </c>
      <c r="L471" s="25">
        <v>15</v>
      </c>
      <c r="M471"/>
      <c r="N471"/>
      <c r="R471" s="31"/>
    </row>
    <row r="472" spans="1:18">
      <c r="A472"/>
      <c r="B472"/>
      <c r="C472"/>
      <c r="D472"/>
      <c r="E472"/>
      <c r="F472"/>
      <c r="G472" s="31"/>
      <c r="H472"/>
      <c r="I472"/>
      <c r="J472"/>
      <c r="K472"/>
      <c r="L472"/>
      <c r="M472"/>
      <c r="N472"/>
      <c r="R472" s="31"/>
    </row>
    <row r="473" spans="1:18">
      <c r="A473"/>
      <c r="B473"/>
      <c r="C473"/>
      <c r="D473"/>
      <c r="E473"/>
      <c r="F473"/>
      <c r="H473"/>
      <c r="I473"/>
      <c r="J473"/>
      <c r="K473"/>
      <c r="L473"/>
      <c r="M473"/>
      <c r="N473"/>
      <c r="R473" s="31"/>
    </row>
    <row r="474" spans="1:18">
      <c r="A474"/>
      <c r="B474"/>
      <c r="C474"/>
      <c r="D474"/>
      <c r="E474"/>
      <c r="F474"/>
      <c r="H474"/>
      <c r="I474"/>
      <c r="J474"/>
      <c r="K474"/>
      <c r="L474"/>
      <c r="M474"/>
      <c r="N474"/>
    </row>
    <row r="475" spans="1:18">
      <c r="A475"/>
      <c r="B475"/>
      <c r="C475"/>
      <c r="D475"/>
      <c r="E475"/>
      <c r="F475"/>
      <c r="G475" s="31"/>
      <c r="H475"/>
      <c r="I475"/>
      <c r="J475"/>
      <c r="K475"/>
      <c r="L475"/>
      <c r="M475"/>
      <c r="N475"/>
      <c r="R475" s="31"/>
    </row>
    <row r="476" spans="1:18">
      <c r="A476" s="39" t="s">
        <v>308</v>
      </c>
      <c r="B476"/>
      <c r="C476"/>
      <c r="D476"/>
      <c r="E476"/>
      <c r="F476"/>
      <c r="G476" s="31"/>
      <c r="H476" s="39" t="s">
        <v>339</v>
      </c>
      <c r="I476"/>
      <c r="J476"/>
      <c r="K476"/>
      <c r="L476"/>
      <c r="M476"/>
      <c r="N476"/>
    </row>
    <row r="477" spans="1:18">
      <c r="A477" s="37" t="s">
        <v>110</v>
      </c>
      <c r="B477" s="37" t="s">
        <v>282</v>
      </c>
      <c r="C477"/>
      <c r="D477"/>
      <c r="E477"/>
      <c r="F477"/>
      <c r="G477" s="31"/>
      <c r="H477" s="37" t="s">
        <v>110</v>
      </c>
      <c r="I477" s="37" t="s">
        <v>282</v>
      </c>
      <c r="J477"/>
      <c r="K477"/>
      <c r="L477"/>
      <c r="M477"/>
      <c r="N477"/>
    </row>
    <row r="478" spans="1:18">
      <c r="A478" s="37" t="s">
        <v>281</v>
      </c>
      <c r="B478">
        <v>1</v>
      </c>
      <c r="C478">
        <v>2</v>
      </c>
      <c r="D478" t="s">
        <v>161</v>
      </c>
      <c r="E478"/>
      <c r="F478"/>
      <c r="G478" s="31"/>
      <c r="H478" s="37" t="s">
        <v>281</v>
      </c>
      <c r="I478">
        <v>1</v>
      </c>
      <c r="J478">
        <v>2</v>
      </c>
      <c r="K478">
        <v>3</v>
      </c>
      <c r="L478" t="s">
        <v>161</v>
      </c>
      <c r="M478"/>
      <c r="N478"/>
    </row>
    <row r="479" spans="1:18">
      <c r="A479" s="38">
        <v>1</v>
      </c>
      <c r="B479" s="25">
        <v>1</v>
      </c>
      <c r="C479" s="25">
        <v>1</v>
      </c>
      <c r="D479" s="25">
        <v>2</v>
      </c>
      <c r="E479"/>
      <c r="F479"/>
      <c r="G479" s="31"/>
      <c r="H479" s="38">
        <v>1</v>
      </c>
      <c r="I479" s="25">
        <v>1</v>
      </c>
      <c r="J479" s="25">
        <v>1</v>
      </c>
      <c r="K479" s="25"/>
      <c r="L479" s="25">
        <v>2</v>
      </c>
      <c r="M479"/>
      <c r="N479"/>
    </row>
    <row r="480" spans="1:18">
      <c r="A480" s="38">
        <v>2</v>
      </c>
      <c r="B480" s="25">
        <v>1</v>
      </c>
      <c r="C480" s="25">
        <v>2</v>
      </c>
      <c r="D480" s="25">
        <v>3</v>
      </c>
      <c r="E480"/>
      <c r="F480"/>
      <c r="H480" s="38">
        <v>2</v>
      </c>
      <c r="I480" s="25">
        <v>3</v>
      </c>
      <c r="J480" s="25"/>
      <c r="K480" s="25"/>
      <c r="L480" s="25">
        <v>3</v>
      </c>
      <c r="M480"/>
      <c r="N480"/>
    </row>
    <row r="481" spans="1:25">
      <c r="A481" s="38">
        <v>3</v>
      </c>
      <c r="B481" s="25">
        <v>1</v>
      </c>
      <c r="C481" s="25">
        <v>2</v>
      </c>
      <c r="D481" s="25">
        <v>3</v>
      </c>
      <c r="E481"/>
      <c r="F481"/>
      <c r="H481" s="38">
        <v>3</v>
      </c>
      <c r="I481" s="25">
        <v>3</v>
      </c>
      <c r="J481" s="25"/>
      <c r="K481" s="25"/>
      <c r="L481" s="25">
        <v>3</v>
      </c>
      <c r="M481"/>
      <c r="N481"/>
    </row>
    <row r="482" spans="1:25">
      <c r="A482" s="38">
        <v>4</v>
      </c>
      <c r="B482" s="25"/>
      <c r="C482" s="25">
        <v>2</v>
      </c>
      <c r="D482" s="25">
        <v>2</v>
      </c>
      <c r="E482"/>
      <c r="F482"/>
      <c r="G482" s="31"/>
      <c r="H482" s="38">
        <v>4</v>
      </c>
      <c r="I482" s="25"/>
      <c r="J482" s="25">
        <v>1</v>
      </c>
      <c r="K482" s="25">
        <v>1</v>
      </c>
      <c r="L482" s="25">
        <v>2</v>
      </c>
      <c r="M482"/>
      <c r="N482"/>
    </row>
    <row r="483" spans="1:25">
      <c r="A483" s="38" t="s">
        <v>161</v>
      </c>
      <c r="B483" s="25">
        <v>3</v>
      </c>
      <c r="C483" s="25">
        <v>7</v>
      </c>
      <c r="D483" s="25">
        <v>10</v>
      </c>
      <c r="E483"/>
      <c r="F483"/>
      <c r="G483" s="31"/>
      <c r="H483" s="38" t="s">
        <v>161</v>
      </c>
      <c r="I483" s="25">
        <v>7</v>
      </c>
      <c r="J483" s="25">
        <v>2</v>
      </c>
      <c r="K483" s="25">
        <v>1</v>
      </c>
      <c r="L483" s="25">
        <v>10</v>
      </c>
      <c r="M483"/>
      <c r="N483"/>
      <c r="R483" s="31"/>
    </row>
    <row r="484" spans="1:25">
      <c r="A484"/>
      <c r="B484"/>
      <c r="C484"/>
      <c r="D484"/>
      <c r="E484"/>
      <c r="F484"/>
      <c r="G484" s="31"/>
      <c r="H484"/>
      <c r="I484"/>
      <c r="J484"/>
      <c r="K484"/>
      <c r="L484"/>
      <c r="M484"/>
      <c r="N484"/>
      <c r="R484" s="31"/>
    </row>
    <row r="485" spans="1:25">
      <c r="A485"/>
      <c r="B485"/>
      <c r="C485"/>
      <c r="D485"/>
      <c r="E485"/>
      <c r="F485"/>
      <c r="G485" s="31"/>
      <c r="H485"/>
      <c r="I485"/>
      <c r="J485"/>
      <c r="K485"/>
      <c r="L485"/>
      <c r="M485"/>
      <c r="N485"/>
      <c r="R485" s="31"/>
    </row>
    <row r="486" spans="1:25">
      <c r="A486"/>
      <c r="B486"/>
      <c r="C486"/>
      <c r="D486"/>
      <c r="E486"/>
      <c r="F486"/>
      <c r="G486" s="31"/>
      <c r="H486"/>
      <c r="I486"/>
      <c r="J486"/>
      <c r="K486"/>
      <c r="L486"/>
      <c r="M486"/>
      <c r="N486"/>
      <c r="R486" s="31"/>
    </row>
    <row r="487" spans="1:25">
      <c r="A487" s="39" t="s">
        <v>713</v>
      </c>
      <c r="B487"/>
      <c r="C487"/>
      <c r="D487"/>
      <c r="E487"/>
      <c r="F487"/>
      <c r="H487" s="39" t="s">
        <v>714</v>
      </c>
      <c r="I487"/>
      <c r="J487"/>
      <c r="K487"/>
      <c r="L487"/>
      <c r="M487"/>
      <c r="N487"/>
      <c r="R487" s="31"/>
    </row>
    <row r="488" spans="1:25">
      <c r="A488" s="37" t="s">
        <v>110</v>
      </c>
      <c r="B488" s="37" t="s">
        <v>282</v>
      </c>
      <c r="C488"/>
      <c r="D488"/>
      <c r="E488"/>
      <c r="F488"/>
      <c r="H488" s="37" t="s">
        <v>110</v>
      </c>
      <c r="I488" s="37" t="s">
        <v>282</v>
      </c>
      <c r="J488"/>
      <c r="K488"/>
      <c r="L488"/>
      <c r="M488"/>
      <c r="N488"/>
    </row>
    <row r="489" spans="1:25">
      <c r="A489" s="37" t="s">
        <v>281</v>
      </c>
      <c r="B489">
        <v>1</v>
      </c>
      <c r="C489">
        <v>2</v>
      </c>
      <c r="D489" t="s">
        <v>161</v>
      </c>
      <c r="E489"/>
      <c r="F489"/>
      <c r="G489" s="31"/>
      <c r="H489" s="37" t="s">
        <v>281</v>
      </c>
      <c r="I489">
        <v>1</v>
      </c>
      <c r="J489">
        <v>2</v>
      </c>
      <c r="K489">
        <v>3</v>
      </c>
      <c r="L489" t="s">
        <v>161</v>
      </c>
      <c r="M489"/>
      <c r="N489"/>
    </row>
    <row r="490" spans="1:25">
      <c r="A490" s="38">
        <v>1</v>
      </c>
      <c r="B490" s="25">
        <v>4</v>
      </c>
      <c r="C490" s="25">
        <v>4</v>
      </c>
      <c r="D490" s="25">
        <v>8</v>
      </c>
      <c r="E490"/>
      <c r="F490"/>
      <c r="H490" s="38">
        <v>1</v>
      </c>
      <c r="I490" s="25">
        <v>4</v>
      </c>
      <c r="J490" s="25">
        <v>2</v>
      </c>
      <c r="K490" s="25">
        <v>2</v>
      </c>
      <c r="L490" s="25">
        <v>8</v>
      </c>
      <c r="M490"/>
      <c r="N490"/>
      <c r="R490" s="31"/>
      <c r="S490" s="31"/>
      <c r="T490" s="31"/>
      <c r="U490" s="31"/>
      <c r="V490" s="31"/>
      <c r="W490" s="31"/>
      <c r="X490" s="31"/>
      <c r="Y490" s="31"/>
    </row>
    <row r="491" spans="1:25">
      <c r="A491" s="38">
        <v>2</v>
      </c>
      <c r="B491" s="25">
        <v>3</v>
      </c>
      <c r="C491" s="25">
        <v>4</v>
      </c>
      <c r="D491" s="25">
        <v>7</v>
      </c>
      <c r="E491"/>
      <c r="F491"/>
      <c r="H491" s="38">
        <v>2</v>
      </c>
      <c r="I491" s="25">
        <v>5</v>
      </c>
      <c r="J491" s="25">
        <v>2</v>
      </c>
      <c r="K491" s="25"/>
      <c r="L491" s="25">
        <v>7</v>
      </c>
      <c r="M491"/>
      <c r="N491"/>
    </row>
    <row r="492" spans="1:25">
      <c r="A492" s="38" t="s">
        <v>161</v>
      </c>
      <c r="B492" s="25">
        <v>7</v>
      </c>
      <c r="C492" s="25">
        <v>8</v>
      </c>
      <c r="D492" s="25">
        <v>15</v>
      </c>
      <c r="E492"/>
      <c r="F492"/>
      <c r="H492" s="38" t="s">
        <v>161</v>
      </c>
      <c r="I492" s="25">
        <v>9</v>
      </c>
      <c r="J492" s="25">
        <v>4</v>
      </c>
      <c r="K492" s="25">
        <v>2</v>
      </c>
      <c r="L492" s="25">
        <v>15</v>
      </c>
      <c r="M492"/>
      <c r="N492"/>
    </row>
    <row r="493" spans="1:25">
      <c r="A493"/>
      <c r="B493"/>
      <c r="C493"/>
      <c r="D493"/>
      <c r="E493"/>
      <c r="F493"/>
      <c r="H493"/>
      <c r="I493"/>
      <c r="J493"/>
      <c r="K493"/>
      <c r="L493"/>
      <c r="M493"/>
      <c r="N493"/>
    </row>
    <row r="494" spans="1:25">
      <c r="A494"/>
      <c r="B494"/>
      <c r="C494"/>
      <c r="D494"/>
      <c r="E494"/>
      <c r="F494"/>
      <c r="H494"/>
      <c r="I494"/>
      <c r="J494"/>
      <c r="K494"/>
      <c r="L494"/>
      <c r="M494"/>
      <c r="N494"/>
    </row>
    <row r="495" spans="1:25">
      <c r="A495"/>
      <c r="B495"/>
      <c r="C495"/>
      <c r="D495"/>
      <c r="E495"/>
      <c r="F495"/>
      <c r="H495"/>
      <c r="I495"/>
      <c r="J495"/>
      <c r="K495"/>
      <c r="L495"/>
      <c r="M495"/>
      <c r="N495"/>
    </row>
    <row r="496" spans="1:25">
      <c r="A496"/>
      <c r="B496"/>
      <c r="C496"/>
      <c r="D496"/>
      <c r="E496"/>
      <c r="F496"/>
      <c r="G496" s="31"/>
      <c r="H496"/>
      <c r="I496"/>
      <c r="J496"/>
      <c r="K496"/>
      <c r="L496"/>
      <c r="M496"/>
      <c r="N496"/>
    </row>
    <row r="497" spans="1:25">
      <c r="A497"/>
      <c r="B497"/>
      <c r="C497"/>
      <c r="D497"/>
      <c r="E497"/>
      <c r="F497"/>
      <c r="H497"/>
      <c r="I497"/>
      <c r="J497"/>
      <c r="K497"/>
      <c r="L497"/>
      <c r="M497"/>
      <c r="N497"/>
      <c r="R497" s="31"/>
      <c r="S497" s="31"/>
      <c r="T497" s="31"/>
      <c r="U497" s="31"/>
      <c r="V497" s="31"/>
      <c r="W497" s="31"/>
      <c r="X497" s="31"/>
      <c r="Y497" s="31"/>
    </row>
    <row r="498" spans="1:25">
      <c r="A498"/>
      <c r="B498"/>
      <c r="C498"/>
      <c r="D498"/>
      <c r="E498"/>
      <c r="F498"/>
      <c r="H498"/>
      <c r="I498"/>
      <c r="J498"/>
      <c r="K498"/>
      <c r="L498"/>
      <c r="M498"/>
      <c r="N498"/>
      <c r="R498" s="31"/>
      <c r="S498" s="31"/>
      <c r="T498" s="31"/>
      <c r="U498" s="31"/>
      <c r="V498" s="31"/>
      <c r="W498" s="31"/>
      <c r="X498" s="31"/>
      <c r="Y498" s="31"/>
    </row>
    <row r="499" spans="1:25">
      <c r="A499" s="39" t="s">
        <v>715</v>
      </c>
      <c r="B499"/>
      <c r="C499"/>
      <c r="D499"/>
      <c r="E499"/>
      <c r="F499"/>
      <c r="H499" s="39" t="s">
        <v>716</v>
      </c>
      <c r="I499"/>
      <c r="J499"/>
      <c r="K499"/>
      <c r="L499"/>
      <c r="M499"/>
      <c r="N499"/>
      <c r="R499" s="31"/>
      <c r="S499" s="31"/>
      <c r="T499" s="31"/>
      <c r="U499" s="31"/>
      <c r="V499" s="31"/>
      <c r="W499" s="31"/>
      <c r="X499" s="31"/>
      <c r="Y499" s="31"/>
    </row>
    <row r="500" spans="1:25">
      <c r="A500" s="37" t="s">
        <v>110</v>
      </c>
      <c r="B500" s="37" t="s">
        <v>282</v>
      </c>
      <c r="C500"/>
      <c r="D500"/>
      <c r="E500"/>
      <c r="F500"/>
      <c r="H500" s="37" t="s">
        <v>110</v>
      </c>
      <c r="I500" s="37" t="s">
        <v>282</v>
      </c>
      <c r="J500"/>
      <c r="K500"/>
      <c r="L500"/>
      <c r="M500"/>
      <c r="N500"/>
      <c r="R500" s="31"/>
      <c r="S500" s="31"/>
      <c r="T500" s="31"/>
      <c r="U500" s="31"/>
      <c r="V500" s="31"/>
      <c r="W500" s="31"/>
      <c r="X500" s="31"/>
      <c r="Y500" s="31"/>
    </row>
    <row r="501" spans="1:25">
      <c r="A501" s="37" t="s">
        <v>281</v>
      </c>
      <c r="B501">
        <v>1</v>
      </c>
      <c r="C501">
        <v>2</v>
      </c>
      <c r="D501" t="s">
        <v>161</v>
      </c>
      <c r="E501"/>
      <c r="F501"/>
      <c r="H501" s="37" t="s">
        <v>281</v>
      </c>
      <c r="I501">
        <v>1</v>
      </c>
      <c r="J501">
        <v>2</v>
      </c>
      <c r="K501">
        <v>3</v>
      </c>
      <c r="L501" t="s">
        <v>161</v>
      </c>
      <c r="M501"/>
      <c r="N501"/>
      <c r="R501" s="31"/>
      <c r="S501" s="31"/>
      <c r="T501" s="31"/>
      <c r="U501" s="31"/>
      <c r="V501" s="31"/>
      <c r="W501" s="31"/>
      <c r="X501" s="31"/>
      <c r="Y501" s="31"/>
    </row>
    <row r="502" spans="1:25">
      <c r="A502" s="38">
        <v>1</v>
      </c>
      <c r="B502" s="25">
        <v>2</v>
      </c>
      <c r="C502" s="25">
        <v>5</v>
      </c>
      <c r="D502" s="25">
        <v>7</v>
      </c>
      <c r="E502"/>
      <c r="F502"/>
      <c r="H502" s="38">
        <v>1</v>
      </c>
      <c r="I502" s="25">
        <v>5</v>
      </c>
      <c r="J502" s="25">
        <v>1</v>
      </c>
      <c r="K502" s="25">
        <v>1</v>
      </c>
      <c r="L502" s="25">
        <v>7</v>
      </c>
      <c r="M502"/>
      <c r="N502"/>
    </row>
    <row r="503" spans="1:25">
      <c r="A503" s="38">
        <v>2</v>
      </c>
      <c r="B503" s="25">
        <v>5</v>
      </c>
      <c r="C503" s="25">
        <v>3</v>
      </c>
      <c r="D503" s="25">
        <v>8</v>
      </c>
      <c r="E503"/>
      <c r="F503"/>
      <c r="G503" s="31"/>
      <c r="H503" s="38">
        <v>2</v>
      </c>
      <c r="I503" s="25">
        <v>4</v>
      </c>
      <c r="J503" s="25">
        <v>3</v>
      </c>
      <c r="K503" s="25">
        <v>1</v>
      </c>
      <c r="L503" s="25">
        <v>8</v>
      </c>
      <c r="M503"/>
      <c r="N503"/>
    </row>
    <row r="504" spans="1:25">
      <c r="A504" s="38" t="s">
        <v>161</v>
      </c>
      <c r="B504" s="25">
        <v>7</v>
      </c>
      <c r="C504" s="25">
        <v>8</v>
      </c>
      <c r="D504" s="25">
        <v>15</v>
      </c>
      <c r="E504"/>
      <c r="F504"/>
      <c r="H504" s="38" t="s">
        <v>161</v>
      </c>
      <c r="I504" s="25">
        <v>9</v>
      </c>
      <c r="J504" s="25">
        <v>4</v>
      </c>
      <c r="K504" s="25">
        <v>2</v>
      </c>
      <c r="L504" s="25">
        <v>15</v>
      </c>
      <c r="M504"/>
      <c r="N504"/>
      <c r="R504" s="31"/>
      <c r="S504" s="31"/>
      <c r="T504" s="31"/>
      <c r="U504" s="31"/>
      <c r="V504" s="31"/>
      <c r="W504" s="31"/>
      <c r="X504" s="31"/>
      <c r="Y504" s="31"/>
    </row>
    <row r="505" spans="1:25">
      <c r="A505"/>
      <c r="B505"/>
      <c r="C505"/>
      <c r="D505"/>
      <c r="E505"/>
      <c r="F505"/>
      <c r="H505"/>
      <c r="I505"/>
      <c r="J505"/>
      <c r="K505"/>
      <c r="L505"/>
      <c r="M505"/>
      <c r="N505"/>
    </row>
    <row r="506" spans="1:25">
      <c r="A506"/>
      <c r="B506"/>
      <c r="C506"/>
      <c r="D506"/>
      <c r="E506"/>
      <c r="F506"/>
      <c r="H506"/>
      <c r="I506"/>
      <c r="J506"/>
      <c r="K506"/>
      <c r="L506"/>
      <c r="M506"/>
      <c r="N506"/>
    </row>
    <row r="507" spans="1:25">
      <c r="A507"/>
      <c r="B507"/>
      <c r="C507"/>
      <c r="D507"/>
      <c r="E507"/>
      <c r="F507"/>
      <c r="H507"/>
      <c r="I507"/>
      <c r="J507"/>
      <c r="K507"/>
      <c r="L507"/>
      <c r="M507"/>
      <c r="N507"/>
    </row>
    <row r="508" spans="1:25">
      <c r="A508"/>
      <c r="B508"/>
      <c r="C508"/>
      <c r="D508"/>
      <c r="E508"/>
      <c r="F508"/>
      <c r="H508"/>
      <c r="I508"/>
      <c r="J508"/>
      <c r="K508"/>
      <c r="L508"/>
      <c r="M508"/>
      <c r="N508"/>
    </row>
    <row r="509" spans="1:25">
      <c r="A509" s="39" t="s">
        <v>717</v>
      </c>
      <c r="B509"/>
      <c r="C509"/>
      <c r="D509"/>
      <c r="E509"/>
      <c r="F509"/>
      <c r="H509" s="39" t="s">
        <v>718</v>
      </c>
      <c r="I509"/>
      <c r="J509"/>
      <c r="K509"/>
      <c r="L509"/>
      <c r="M509"/>
      <c r="N509"/>
    </row>
    <row r="510" spans="1:25">
      <c r="A510" s="37" t="s">
        <v>110</v>
      </c>
      <c r="B510" s="37" t="s">
        <v>282</v>
      </c>
      <c r="C510"/>
      <c r="D510"/>
      <c r="E510"/>
      <c r="F510"/>
      <c r="G510" s="31"/>
      <c r="H510" s="37" t="s">
        <v>110</v>
      </c>
      <c r="I510" s="37" t="s">
        <v>282</v>
      </c>
      <c r="J510"/>
      <c r="K510"/>
      <c r="L510"/>
      <c r="M510"/>
      <c r="N510"/>
    </row>
    <row r="511" spans="1:25">
      <c r="A511" s="37" t="s">
        <v>281</v>
      </c>
      <c r="B511">
        <v>1</v>
      </c>
      <c r="C511">
        <v>2</v>
      </c>
      <c r="D511" t="s">
        <v>161</v>
      </c>
      <c r="E511"/>
      <c r="F511"/>
      <c r="H511" s="37" t="s">
        <v>281</v>
      </c>
      <c r="I511">
        <v>1</v>
      </c>
      <c r="J511">
        <v>2</v>
      </c>
      <c r="K511">
        <v>3</v>
      </c>
      <c r="L511" t="s">
        <v>161</v>
      </c>
      <c r="M511"/>
      <c r="N511"/>
      <c r="R511" s="31"/>
      <c r="S511" s="31"/>
      <c r="T511" s="31"/>
      <c r="U511" s="31"/>
      <c r="V511" s="31"/>
      <c r="W511" s="31"/>
      <c r="X511" s="31"/>
      <c r="Y511" s="31"/>
    </row>
    <row r="512" spans="1:25">
      <c r="A512" s="38">
        <v>1</v>
      </c>
      <c r="B512" s="25">
        <v>3</v>
      </c>
      <c r="C512" s="25">
        <v>5</v>
      </c>
      <c r="D512" s="25">
        <v>8</v>
      </c>
      <c r="E512"/>
      <c r="F512"/>
      <c r="H512" s="38">
        <v>1</v>
      </c>
      <c r="I512" s="25">
        <v>4</v>
      </c>
      <c r="J512" s="25">
        <v>2</v>
      </c>
      <c r="K512" s="25">
        <v>2</v>
      </c>
      <c r="L512" s="25">
        <v>8</v>
      </c>
      <c r="M512"/>
      <c r="N512"/>
    </row>
    <row r="513" spans="1:25">
      <c r="A513" s="38">
        <v>2</v>
      </c>
      <c r="B513" s="25">
        <v>4</v>
      </c>
      <c r="C513" s="25">
        <v>3</v>
      </c>
      <c r="D513" s="25">
        <v>7</v>
      </c>
      <c r="E513"/>
      <c r="F513"/>
      <c r="H513" s="38">
        <v>2</v>
      </c>
      <c r="I513" s="25">
        <v>5</v>
      </c>
      <c r="J513" s="25">
        <v>2</v>
      </c>
      <c r="K513" s="25"/>
      <c r="L513" s="25">
        <v>7</v>
      </c>
      <c r="M513"/>
      <c r="N513"/>
    </row>
    <row r="514" spans="1:25">
      <c r="A514" s="38" t="s">
        <v>161</v>
      </c>
      <c r="B514" s="25">
        <v>7</v>
      </c>
      <c r="C514" s="25">
        <v>8</v>
      </c>
      <c r="D514" s="25">
        <v>15</v>
      </c>
      <c r="E514"/>
      <c r="F514"/>
      <c r="H514" s="38" t="s">
        <v>161</v>
      </c>
      <c r="I514" s="25">
        <v>9</v>
      </c>
      <c r="J514" s="25">
        <v>4</v>
      </c>
      <c r="K514" s="25">
        <v>2</v>
      </c>
      <c r="L514" s="25">
        <v>15</v>
      </c>
      <c r="M514"/>
      <c r="N514"/>
    </row>
    <row r="515" spans="1:25">
      <c r="A515"/>
      <c r="B515"/>
      <c r="C515"/>
      <c r="D515"/>
      <c r="E515"/>
      <c r="F515"/>
      <c r="H515"/>
      <c r="I515"/>
      <c r="J515"/>
      <c r="K515"/>
      <c r="L515"/>
      <c r="M515"/>
      <c r="N515"/>
    </row>
    <row r="516" spans="1:25">
      <c r="A516"/>
      <c r="B516"/>
      <c r="C516"/>
      <c r="D516"/>
      <c r="E516"/>
      <c r="F516"/>
      <c r="H516"/>
      <c r="I516"/>
      <c r="J516"/>
      <c r="K516"/>
      <c r="L516"/>
      <c r="M516"/>
      <c r="N516"/>
    </row>
    <row r="517" spans="1:25">
      <c r="A517"/>
      <c r="B517"/>
      <c r="C517"/>
      <c r="D517"/>
      <c r="E517"/>
      <c r="F517"/>
      <c r="G517" s="31"/>
      <c r="H517"/>
      <c r="I517"/>
      <c r="J517"/>
      <c r="K517"/>
      <c r="L517"/>
      <c r="M517"/>
      <c r="N517"/>
    </row>
    <row r="518" spans="1:25">
      <c r="A518"/>
      <c r="B518"/>
      <c r="C518"/>
      <c r="D518"/>
      <c r="E518"/>
      <c r="F518"/>
      <c r="H518"/>
      <c r="I518"/>
      <c r="J518"/>
      <c r="K518"/>
      <c r="L518"/>
      <c r="M518"/>
      <c r="N518"/>
      <c r="R518" s="31"/>
      <c r="S518" s="31"/>
      <c r="T518" s="31"/>
      <c r="U518" s="31"/>
      <c r="V518" s="31"/>
      <c r="W518" s="31"/>
      <c r="X518" s="31"/>
      <c r="Y518" s="31"/>
    </row>
    <row r="519" spans="1:25">
      <c r="A519"/>
      <c r="B519"/>
      <c r="C519"/>
      <c r="D519"/>
      <c r="E519"/>
      <c r="F519"/>
      <c r="H519"/>
      <c r="I519"/>
      <c r="J519"/>
      <c r="K519"/>
      <c r="L519"/>
      <c r="M519"/>
      <c r="N519"/>
    </row>
    <row r="520" spans="1:25">
      <c r="A520" s="39" t="s">
        <v>721</v>
      </c>
      <c r="B520"/>
      <c r="C520"/>
      <c r="D520"/>
      <c r="E520"/>
      <c r="F520"/>
      <c r="H520" s="39" t="s">
        <v>722</v>
      </c>
      <c r="I520"/>
      <c r="J520"/>
      <c r="K520"/>
      <c r="L520"/>
      <c r="M520"/>
      <c r="N520"/>
    </row>
    <row r="521" spans="1:25">
      <c r="A521" s="37" t="s">
        <v>110</v>
      </c>
      <c r="B521" s="37" t="s">
        <v>282</v>
      </c>
      <c r="C521"/>
      <c r="D521"/>
      <c r="E521"/>
      <c r="F521"/>
      <c r="H521" s="37" t="s">
        <v>110</v>
      </c>
      <c r="I521" s="37" t="s">
        <v>282</v>
      </c>
      <c r="J521"/>
      <c r="K521"/>
      <c r="L521"/>
      <c r="M521"/>
      <c r="N521"/>
    </row>
    <row r="522" spans="1:25">
      <c r="A522" s="37" t="s">
        <v>281</v>
      </c>
      <c r="B522">
        <v>1</v>
      </c>
      <c r="C522">
        <v>2</v>
      </c>
      <c r="D522" t="s">
        <v>161</v>
      </c>
      <c r="E522"/>
      <c r="F522"/>
      <c r="H522" s="37" t="s">
        <v>281</v>
      </c>
      <c r="I522">
        <v>1</v>
      </c>
      <c r="J522">
        <v>2</v>
      </c>
      <c r="K522">
        <v>3</v>
      </c>
      <c r="L522" t="s">
        <v>161</v>
      </c>
      <c r="M522"/>
      <c r="N522"/>
    </row>
    <row r="523" spans="1:25">
      <c r="A523" s="38">
        <v>1</v>
      </c>
      <c r="B523" s="25">
        <v>3</v>
      </c>
      <c r="C523" s="25">
        <v>3</v>
      </c>
      <c r="D523" s="25">
        <v>6</v>
      </c>
      <c r="E523"/>
      <c r="F523"/>
      <c r="H523" s="38">
        <v>1</v>
      </c>
      <c r="I523" s="25">
        <v>4</v>
      </c>
      <c r="J523" s="25">
        <v>1</v>
      </c>
      <c r="K523" s="25">
        <v>1</v>
      </c>
      <c r="L523" s="25">
        <v>6</v>
      </c>
      <c r="M523"/>
      <c r="N523"/>
    </row>
    <row r="524" spans="1:25">
      <c r="A524" s="38">
        <v>2</v>
      </c>
      <c r="B524" s="25">
        <v>4</v>
      </c>
      <c r="C524" s="25">
        <v>5</v>
      </c>
      <c r="D524" s="25">
        <v>9</v>
      </c>
      <c r="E524"/>
      <c r="F524"/>
      <c r="H524" s="38">
        <v>2</v>
      </c>
      <c r="I524" s="25">
        <v>5</v>
      </c>
      <c r="J524" s="25">
        <v>3</v>
      </c>
      <c r="K524" s="25">
        <v>1</v>
      </c>
      <c r="L524" s="25">
        <v>9</v>
      </c>
      <c r="M524"/>
      <c r="N524"/>
    </row>
    <row r="525" spans="1:25">
      <c r="A525" s="38" t="s">
        <v>161</v>
      </c>
      <c r="B525" s="25">
        <v>7</v>
      </c>
      <c r="C525" s="25">
        <v>8</v>
      </c>
      <c r="D525" s="25">
        <v>15</v>
      </c>
      <c r="E525"/>
      <c r="F525"/>
      <c r="H525" s="38" t="s">
        <v>161</v>
      </c>
      <c r="I525" s="25">
        <v>9</v>
      </c>
      <c r="J525" s="25">
        <v>4</v>
      </c>
      <c r="K525" s="25">
        <v>2</v>
      </c>
      <c r="L525" s="25">
        <v>15</v>
      </c>
      <c r="M525"/>
      <c r="N525"/>
      <c r="R525" s="31"/>
      <c r="S525" s="31"/>
      <c r="T525" s="31"/>
      <c r="U525" s="31"/>
      <c r="V525" s="31"/>
      <c r="W525" s="31"/>
      <c r="X525" s="31"/>
      <c r="Y525" s="31"/>
    </row>
    <row r="526" spans="1:25">
      <c r="A526"/>
      <c r="B526"/>
      <c r="C526"/>
      <c r="D526"/>
      <c r="E526"/>
      <c r="F526"/>
      <c r="H526"/>
      <c r="I526"/>
      <c r="J526"/>
      <c r="K526"/>
      <c r="L526"/>
      <c r="M526"/>
      <c r="N526"/>
      <c r="R526" s="31"/>
      <c r="S526" s="31"/>
      <c r="T526" s="31"/>
      <c r="U526" s="31"/>
      <c r="V526" s="31"/>
      <c r="W526" s="31"/>
      <c r="X526" s="31"/>
      <c r="Y526" s="31"/>
    </row>
    <row r="527" spans="1:25">
      <c r="A527"/>
      <c r="B527"/>
      <c r="C527"/>
      <c r="D527"/>
      <c r="E527"/>
      <c r="F527"/>
      <c r="H527"/>
      <c r="I527"/>
      <c r="J527"/>
      <c r="K527"/>
      <c r="L527"/>
      <c r="M527"/>
      <c r="N527"/>
      <c r="R527" s="31"/>
      <c r="S527" s="31"/>
      <c r="T527" s="31"/>
      <c r="U527" s="31"/>
      <c r="V527" s="31"/>
      <c r="W527" s="31"/>
      <c r="X527" s="31"/>
      <c r="Y527" s="31"/>
    </row>
    <row r="528" spans="1:25">
      <c r="A528"/>
      <c r="B528"/>
      <c r="C528"/>
      <c r="D528"/>
      <c r="E528"/>
      <c r="F528"/>
      <c r="H528"/>
      <c r="I528"/>
      <c r="J528"/>
      <c r="K528"/>
      <c r="L528"/>
      <c r="M528"/>
      <c r="N528"/>
      <c r="R528" s="31"/>
      <c r="S528" s="31"/>
      <c r="T528" s="31"/>
      <c r="U528" s="31"/>
      <c r="V528" s="31"/>
      <c r="W528" s="31"/>
      <c r="X528" s="31"/>
      <c r="Y528" s="31"/>
    </row>
    <row r="529" spans="1:25">
      <c r="A529"/>
      <c r="B529"/>
      <c r="C529"/>
      <c r="D529"/>
      <c r="E529"/>
      <c r="F529"/>
      <c r="H529"/>
      <c r="I529"/>
      <c r="J529"/>
      <c r="K529"/>
      <c r="L529"/>
      <c r="M529"/>
      <c r="N529"/>
      <c r="R529" s="31"/>
      <c r="S529" s="31"/>
      <c r="T529" s="31"/>
      <c r="U529" s="31"/>
      <c r="V529" s="31"/>
      <c r="W529" s="31"/>
      <c r="X529" s="31"/>
      <c r="Y529" s="31"/>
    </row>
    <row r="530" spans="1:25">
      <c r="A530" s="39" t="s">
        <v>723</v>
      </c>
      <c r="B530"/>
      <c r="C530"/>
      <c r="D530"/>
      <c r="E530"/>
      <c r="F530"/>
      <c r="H530" s="39" t="s">
        <v>724</v>
      </c>
      <c r="I530"/>
      <c r="J530"/>
      <c r="K530"/>
      <c r="L530"/>
      <c r="M530"/>
      <c r="N530"/>
    </row>
    <row r="531" spans="1:25">
      <c r="A531" s="37" t="s">
        <v>110</v>
      </c>
      <c r="B531" s="37" t="s">
        <v>282</v>
      </c>
      <c r="C531"/>
      <c r="D531"/>
      <c r="E531"/>
      <c r="F531"/>
      <c r="H531" s="37" t="s">
        <v>110</v>
      </c>
      <c r="I531" s="37" t="s">
        <v>282</v>
      </c>
      <c r="J531"/>
      <c r="K531"/>
      <c r="L531"/>
      <c r="M531"/>
      <c r="N531"/>
    </row>
    <row r="532" spans="1:25">
      <c r="A532" s="37" t="s">
        <v>281</v>
      </c>
      <c r="B532">
        <v>1</v>
      </c>
      <c r="C532">
        <v>2</v>
      </c>
      <c r="D532" t="s">
        <v>161</v>
      </c>
      <c r="E532"/>
      <c r="F532"/>
      <c r="H532" s="37" t="s">
        <v>281</v>
      </c>
      <c r="I532">
        <v>1</v>
      </c>
      <c r="J532">
        <v>2</v>
      </c>
      <c r="K532">
        <v>3</v>
      </c>
      <c r="L532" t="s">
        <v>161</v>
      </c>
      <c r="M532"/>
      <c r="N532"/>
      <c r="R532" s="31"/>
      <c r="S532" s="31"/>
      <c r="T532" s="31"/>
      <c r="U532" s="31"/>
      <c r="V532" s="31"/>
      <c r="W532" s="31"/>
      <c r="X532" s="31"/>
      <c r="Y532" s="31"/>
    </row>
    <row r="533" spans="1:25">
      <c r="A533" s="38">
        <v>1</v>
      </c>
      <c r="B533" s="25">
        <v>3</v>
      </c>
      <c r="C533" s="25">
        <v>4</v>
      </c>
      <c r="D533" s="25">
        <v>7</v>
      </c>
      <c r="E533"/>
      <c r="F533"/>
      <c r="H533" s="38">
        <v>1</v>
      </c>
      <c r="I533" s="25">
        <v>3</v>
      </c>
      <c r="J533" s="25">
        <v>2</v>
      </c>
      <c r="K533" s="25">
        <v>2</v>
      </c>
      <c r="L533" s="25">
        <v>7</v>
      </c>
      <c r="M533"/>
      <c r="N533"/>
    </row>
    <row r="534" spans="1:25">
      <c r="A534" s="38">
        <v>2</v>
      </c>
      <c r="B534" s="25">
        <v>4</v>
      </c>
      <c r="C534" s="25">
        <v>4</v>
      </c>
      <c r="D534" s="25">
        <v>8</v>
      </c>
      <c r="E534"/>
      <c r="F534"/>
      <c r="H534" s="38">
        <v>2</v>
      </c>
      <c r="I534" s="25">
        <v>6</v>
      </c>
      <c r="J534" s="25">
        <v>2</v>
      </c>
      <c r="K534" s="25"/>
      <c r="L534" s="25">
        <v>8</v>
      </c>
      <c r="M534"/>
      <c r="N534"/>
    </row>
    <row r="535" spans="1:25">
      <c r="A535" s="38" t="s">
        <v>161</v>
      </c>
      <c r="B535" s="25">
        <v>7</v>
      </c>
      <c r="C535" s="25">
        <v>8</v>
      </c>
      <c r="D535" s="25">
        <v>15</v>
      </c>
      <c r="E535"/>
      <c r="F535"/>
      <c r="H535" s="38" t="s">
        <v>161</v>
      </c>
      <c r="I535" s="25">
        <v>9</v>
      </c>
      <c r="J535" s="25">
        <v>4</v>
      </c>
      <c r="K535" s="25">
        <v>2</v>
      </c>
      <c r="L535" s="25">
        <v>15</v>
      </c>
      <c r="M535"/>
      <c r="N535"/>
    </row>
    <row r="536" spans="1:25">
      <c r="A536"/>
      <c r="B536"/>
      <c r="C536"/>
      <c r="D536"/>
      <c r="E536"/>
      <c r="F536"/>
      <c r="H536"/>
      <c r="I536"/>
      <c r="J536"/>
      <c r="K536"/>
      <c r="L536"/>
      <c r="M536"/>
      <c r="N536"/>
    </row>
    <row r="537" spans="1:25">
      <c r="A537"/>
      <c r="B537"/>
      <c r="C537"/>
      <c r="D537"/>
      <c r="E537"/>
      <c r="F537"/>
      <c r="H537"/>
      <c r="I537"/>
      <c r="J537"/>
      <c r="K537"/>
      <c r="L537"/>
      <c r="M537"/>
      <c r="N537"/>
    </row>
    <row r="538" spans="1:25">
      <c r="A538"/>
      <c r="B538"/>
      <c r="C538"/>
      <c r="D538"/>
      <c r="E538"/>
      <c r="F538"/>
      <c r="H538"/>
      <c r="I538"/>
      <c r="J538"/>
      <c r="K538"/>
      <c r="L538"/>
      <c r="M538"/>
      <c r="N538"/>
    </row>
    <row r="539" spans="1:25">
      <c r="A539" s="39" t="s">
        <v>309</v>
      </c>
      <c r="B539"/>
      <c r="C539"/>
      <c r="D539"/>
      <c r="E539"/>
      <c r="F539"/>
      <c r="H539" s="39" t="s">
        <v>340</v>
      </c>
      <c r="I539"/>
      <c r="J539"/>
      <c r="K539"/>
      <c r="L539"/>
      <c r="M539"/>
      <c r="N539"/>
      <c r="R539" s="31"/>
      <c r="S539" s="31"/>
      <c r="T539" s="31"/>
      <c r="U539" s="31"/>
      <c r="V539" s="31"/>
      <c r="W539" s="31"/>
      <c r="X539" s="31"/>
      <c r="Y539" s="31"/>
    </row>
    <row r="540" spans="1:25">
      <c r="A540" s="37" t="s">
        <v>110</v>
      </c>
      <c r="B540" s="37" t="s">
        <v>282</v>
      </c>
      <c r="C540"/>
      <c r="D540"/>
      <c r="E540"/>
      <c r="F540"/>
      <c r="H540" s="37" t="s">
        <v>110</v>
      </c>
      <c r="I540" s="37" t="s">
        <v>282</v>
      </c>
      <c r="J540"/>
      <c r="K540"/>
      <c r="L540"/>
      <c r="M540"/>
      <c r="N540"/>
      <c r="O540" s="31"/>
    </row>
    <row r="541" spans="1:25">
      <c r="A541" s="37" t="s">
        <v>281</v>
      </c>
      <c r="B541">
        <v>1</v>
      </c>
      <c r="C541">
        <v>2</v>
      </c>
      <c r="D541" t="s">
        <v>161</v>
      </c>
      <c r="E541"/>
      <c r="F541"/>
      <c r="H541" s="37" t="s">
        <v>281</v>
      </c>
      <c r="I541">
        <v>1</v>
      </c>
      <c r="J541">
        <v>2</v>
      </c>
      <c r="K541">
        <v>3</v>
      </c>
      <c r="L541" t="s">
        <v>161</v>
      </c>
      <c r="M541"/>
      <c r="N541"/>
    </row>
    <row r="542" spans="1:25">
      <c r="A542" s="38">
        <v>1</v>
      </c>
      <c r="B542" s="25">
        <v>6</v>
      </c>
      <c r="C542" s="25">
        <v>2</v>
      </c>
      <c r="D542" s="25">
        <v>8</v>
      </c>
      <c r="E542"/>
      <c r="F542"/>
      <c r="H542" s="38">
        <v>1</v>
      </c>
      <c r="I542" s="25">
        <v>6</v>
      </c>
      <c r="J542" s="25">
        <v>1</v>
      </c>
      <c r="K542" s="25">
        <v>1</v>
      </c>
      <c r="L542" s="25">
        <v>8</v>
      </c>
      <c r="M542"/>
      <c r="N542"/>
    </row>
    <row r="543" spans="1:25">
      <c r="A543" s="38">
        <v>2</v>
      </c>
      <c r="B543" s="25">
        <v>1</v>
      </c>
      <c r="C543" s="25">
        <v>6</v>
      </c>
      <c r="D543" s="25">
        <v>7</v>
      </c>
      <c r="E543"/>
      <c r="F543"/>
      <c r="H543" s="38">
        <v>2</v>
      </c>
      <c r="I543" s="25">
        <v>3</v>
      </c>
      <c r="J543" s="25">
        <v>3</v>
      </c>
      <c r="K543" s="25">
        <v>1</v>
      </c>
      <c r="L543" s="25">
        <v>7</v>
      </c>
      <c r="M543"/>
      <c r="N543"/>
    </row>
    <row r="544" spans="1:25">
      <c r="A544" s="38" t="s">
        <v>161</v>
      </c>
      <c r="B544" s="25">
        <v>7</v>
      </c>
      <c r="C544" s="25">
        <v>8</v>
      </c>
      <c r="D544" s="25">
        <v>15</v>
      </c>
      <c r="E544"/>
      <c r="F544"/>
      <c r="H544" s="38" t="s">
        <v>161</v>
      </c>
      <c r="I544" s="25">
        <v>9</v>
      </c>
      <c r="J544" s="25">
        <v>4</v>
      </c>
      <c r="K544" s="25">
        <v>2</v>
      </c>
      <c r="L544" s="25">
        <v>15</v>
      </c>
      <c r="M544"/>
      <c r="N544"/>
    </row>
    <row r="545" spans="1:25">
      <c r="A545"/>
      <c r="B545"/>
      <c r="C545"/>
      <c r="D545"/>
      <c r="E545"/>
      <c r="F545"/>
      <c r="H545"/>
      <c r="I545"/>
      <c r="J545"/>
      <c r="K545"/>
      <c r="L545"/>
      <c r="M545"/>
      <c r="N545"/>
    </row>
    <row r="546" spans="1:25">
      <c r="A546"/>
      <c r="B546"/>
      <c r="C546"/>
      <c r="D546"/>
      <c r="E546"/>
      <c r="F546"/>
      <c r="H546"/>
      <c r="I546"/>
      <c r="J546"/>
      <c r="K546"/>
      <c r="L546"/>
      <c r="M546"/>
      <c r="N546"/>
      <c r="R546" s="31"/>
      <c r="S546" s="31"/>
      <c r="T546" s="31"/>
      <c r="U546" s="31"/>
      <c r="V546" s="31"/>
      <c r="W546" s="31"/>
      <c r="X546" s="31"/>
      <c r="Y546" s="31"/>
    </row>
    <row r="547" spans="1:25">
      <c r="A547"/>
      <c r="B547"/>
      <c r="C547"/>
      <c r="D547"/>
      <c r="E547"/>
      <c r="F547"/>
      <c r="H547"/>
      <c r="I547"/>
      <c r="J547"/>
      <c r="K547"/>
      <c r="L547"/>
      <c r="M547"/>
      <c r="N547"/>
      <c r="O547" s="31"/>
    </row>
    <row r="548" spans="1:25">
      <c r="A548"/>
      <c r="B548"/>
      <c r="C548"/>
      <c r="D548"/>
      <c r="E548"/>
      <c r="F548"/>
      <c r="H548"/>
      <c r="I548"/>
      <c r="J548"/>
      <c r="K548"/>
      <c r="L548"/>
      <c r="M548"/>
      <c r="N548"/>
      <c r="O548" s="31"/>
    </row>
    <row r="549" spans="1:25">
      <c r="A549" t="s">
        <v>310</v>
      </c>
      <c r="B549"/>
      <c r="C549"/>
      <c r="D549"/>
      <c r="E549"/>
      <c r="F549"/>
      <c r="H549" s="39" t="s">
        <v>341</v>
      </c>
      <c r="I549"/>
      <c r="J549"/>
      <c r="K549"/>
      <c r="L549"/>
      <c r="M549"/>
      <c r="N549"/>
      <c r="O549" s="31"/>
    </row>
    <row r="550" spans="1:25">
      <c r="A550" s="37" t="s">
        <v>110</v>
      </c>
      <c r="B550" s="37" t="s">
        <v>282</v>
      </c>
      <c r="C550"/>
      <c r="D550"/>
      <c r="E550"/>
      <c r="F550"/>
      <c r="H550" s="37" t="s">
        <v>110</v>
      </c>
      <c r="I550" s="37" t="s">
        <v>282</v>
      </c>
      <c r="J550"/>
      <c r="K550"/>
      <c r="L550"/>
      <c r="M550"/>
      <c r="N550"/>
      <c r="O550" s="31"/>
    </row>
    <row r="551" spans="1:25">
      <c r="A551" s="37" t="s">
        <v>281</v>
      </c>
      <c r="B551">
        <v>1</v>
      </c>
      <c r="C551">
        <v>2</v>
      </c>
      <c r="D551" t="s">
        <v>161</v>
      </c>
      <c r="E551"/>
      <c r="F551"/>
      <c r="H551" s="37" t="s">
        <v>281</v>
      </c>
      <c r="I551">
        <v>1</v>
      </c>
      <c r="J551">
        <v>2</v>
      </c>
      <c r="K551">
        <v>3</v>
      </c>
      <c r="L551" t="s">
        <v>161</v>
      </c>
      <c r="M551"/>
      <c r="N551"/>
      <c r="O551" s="31"/>
    </row>
    <row r="552" spans="1:25">
      <c r="A552" s="38">
        <v>1</v>
      </c>
      <c r="B552" s="25">
        <v>4</v>
      </c>
      <c r="C552" s="25">
        <v>4</v>
      </c>
      <c r="D552" s="25">
        <v>8</v>
      </c>
      <c r="E552"/>
      <c r="F552"/>
      <c r="H552" s="38">
        <v>1</v>
      </c>
      <c r="I552" s="25">
        <v>5</v>
      </c>
      <c r="J552" s="25">
        <v>2</v>
      </c>
      <c r="K552" s="25">
        <v>1</v>
      </c>
      <c r="L552" s="25">
        <v>8</v>
      </c>
      <c r="M552"/>
      <c r="N552"/>
      <c r="R552" s="31"/>
    </row>
    <row r="553" spans="1:25">
      <c r="A553" s="38">
        <v>2</v>
      </c>
      <c r="B553" s="25">
        <v>3</v>
      </c>
      <c r="C553" s="25">
        <v>4</v>
      </c>
      <c r="D553" s="25">
        <v>7</v>
      </c>
      <c r="E553"/>
      <c r="F553"/>
      <c r="H553" s="38">
        <v>2</v>
      </c>
      <c r="I553" s="25">
        <v>4</v>
      </c>
      <c r="J553" s="25">
        <v>2</v>
      </c>
      <c r="K553" s="25">
        <v>1</v>
      </c>
      <c r="L553" s="25">
        <v>7</v>
      </c>
      <c r="M553"/>
      <c r="N553"/>
    </row>
    <row r="554" spans="1:25">
      <c r="A554" s="38" t="s">
        <v>161</v>
      </c>
      <c r="B554" s="25">
        <v>7</v>
      </c>
      <c r="C554" s="25">
        <v>8</v>
      </c>
      <c r="D554" s="25">
        <v>15</v>
      </c>
      <c r="E554"/>
      <c r="F554"/>
      <c r="H554" s="38" t="s">
        <v>161</v>
      </c>
      <c r="I554" s="25">
        <v>9</v>
      </c>
      <c r="J554" s="25">
        <v>4</v>
      </c>
      <c r="K554" s="25">
        <v>2</v>
      </c>
      <c r="L554" s="25">
        <v>15</v>
      </c>
      <c r="M554"/>
      <c r="N554"/>
      <c r="O554" s="31"/>
    </row>
    <row r="555" spans="1:25">
      <c r="A555"/>
      <c r="B555"/>
      <c r="C555"/>
      <c r="D555"/>
      <c r="E555"/>
      <c r="F555"/>
      <c r="H555"/>
      <c r="I555"/>
      <c r="J555"/>
      <c r="K555"/>
      <c r="L555"/>
      <c r="M555"/>
      <c r="N555"/>
    </row>
    <row r="556" spans="1:25">
      <c r="A556"/>
      <c r="B556"/>
      <c r="C556"/>
      <c r="D556"/>
      <c r="E556"/>
      <c r="F556"/>
      <c r="H556"/>
      <c r="I556"/>
      <c r="J556"/>
      <c r="K556"/>
      <c r="L556"/>
      <c r="M556"/>
      <c r="N556"/>
    </row>
    <row r="557" spans="1:25">
      <c r="A557"/>
      <c r="B557"/>
      <c r="C557"/>
      <c r="D557"/>
      <c r="E557"/>
      <c r="F557"/>
      <c r="H557"/>
      <c r="I557"/>
      <c r="J557"/>
      <c r="K557"/>
      <c r="L557"/>
      <c r="M557"/>
      <c r="N557"/>
    </row>
    <row r="558" spans="1:25">
      <c r="A558" t="s">
        <v>313</v>
      </c>
      <c r="B558"/>
      <c r="C558"/>
      <c r="D558"/>
      <c r="E558"/>
      <c r="F558"/>
      <c r="H558" s="39" t="s">
        <v>342</v>
      </c>
      <c r="I558"/>
      <c r="J558"/>
      <c r="K558"/>
      <c r="L558"/>
      <c r="M558"/>
      <c r="N558"/>
    </row>
    <row r="559" spans="1:25">
      <c r="A559" s="37" t="s">
        <v>110</v>
      </c>
      <c r="B559" s="37" t="s">
        <v>282</v>
      </c>
      <c r="C559"/>
      <c r="D559"/>
      <c r="E559"/>
      <c r="F559"/>
      <c r="H559" s="37" t="s">
        <v>110</v>
      </c>
      <c r="I559" s="37" t="s">
        <v>282</v>
      </c>
      <c r="J559"/>
      <c r="K559"/>
      <c r="L559"/>
      <c r="M559"/>
      <c r="N559"/>
    </row>
    <row r="560" spans="1:25">
      <c r="A560" s="37" t="s">
        <v>281</v>
      </c>
      <c r="B560">
        <v>1</v>
      </c>
      <c r="C560">
        <v>2</v>
      </c>
      <c r="D560" t="s">
        <v>161</v>
      </c>
      <c r="E560"/>
      <c r="F560"/>
      <c r="H560" s="37" t="s">
        <v>281</v>
      </c>
      <c r="I560">
        <v>1</v>
      </c>
      <c r="J560">
        <v>2</v>
      </c>
      <c r="K560">
        <v>3</v>
      </c>
      <c r="L560" t="s">
        <v>161</v>
      </c>
      <c r="M560"/>
      <c r="N560"/>
      <c r="R560" s="31"/>
    </row>
    <row r="561" spans="1:18">
      <c r="A561" s="38">
        <v>1</v>
      </c>
      <c r="B561" s="25">
        <v>2</v>
      </c>
      <c r="C561" s="25">
        <v>2</v>
      </c>
      <c r="D561" s="25">
        <v>4</v>
      </c>
      <c r="E561"/>
      <c r="F561"/>
      <c r="H561" s="38">
        <v>1</v>
      </c>
      <c r="I561" s="25">
        <v>3</v>
      </c>
      <c r="J561" s="25">
        <v>1</v>
      </c>
      <c r="K561" s="25"/>
      <c r="L561" s="25">
        <v>4</v>
      </c>
      <c r="M561"/>
      <c r="N561"/>
      <c r="O561" s="31"/>
      <c r="R561" s="31"/>
    </row>
    <row r="562" spans="1:18">
      <c r="A562" s="38">
        <v>2</v>
      </c>
      <c r="B562" s="25">
        <v>3</v>
      </c>
      <c r="C562" s="25">
        <v>1</v>
      </c>
      <c r="D562" s="25">
        <v>4</v>
      </c>
      <c r="E562"/>
      <c r="F562"/>
      <c r="H562" s="38">
        <v>2</v>
      </c>
      <c r="I562" s="25">
        <v>2</v>
      </c>
      <c r="J562" s="25">
        <v>1</v>
      </c>
      <c r="K562" s="25">
        <v>1</v>
      </c>
      <c r="L562" s="25">
        <v>4</v>
      </c>
      <c r="M562"/>
      <c r="N562"/>
      <c r="R562" s="31"/>
    </row>
    <row r="563" spans="1:18">
      <c r="A563" s="38">
        <v>3</v>
      </c>
      <c r="B563" s="25">
        <v>2</v>
      </c>
      <c r="C563" s="25">
        <v>2</v>
      </c>
      <c r="D563" s="25">
        <v>4</v>
      </c>
      <c r="E563"/>
      <c r="F563"/>
      <c r="H563" s="38">
        <v>3</v>
      </c>
      <c r="I563" s="25">
        <v>2</v>
      </c>
      <c r="J563" s="25">
        <v>1</v>
      </c>
      <c r="K563" s="25">
        <v>1</v>
      </c>
      <c r="L563" s="25">
        <v>4</v>
      </c>
      <c r="M563"/>
      <c r="N563"/>
      <c r="R563" s="31"/>
    </row>
    <row r="564" spans="1:18">
      <c r="A564" s="38">
        <v>4</v>
      </c>
      <c r="B564" s="25"/>
      <c r="C564" s="25">
        <v>3</v>
      </c>
      <c r="D564" s="25">
        <v>3</v>
      </c>
      <c r="E564"/>
      <c r="F564"/>
      <c r="H564" s="38">
        <v>4</v>
      </c>
      <c r="I564" s="25">
        <v>2</v>
      </c>
      <c r="J564" s="25">
        <v>1</v>
      </c>
      <c r="K564" s="25"/>
      <c r="L564" s="25">
        <v>3</v>
      </c>
      <c r="M564"/>
      <c r="N564"/>
      <c r="R564" s="31"/>
    </row>
    <row r="565" spans="1:18">
      <c r="A565" s="38" t="s">
        <v>161</v>
      </c>
      <c r="B565" s="25">
        <v>7</v>
      </c>
      <c r="C565" s="25">
        <v>8</v>
      </c>
      <c r="D565" s="25">
        <v>15</v>
      </c>
      <c r="E565"/>
      <c r="F565"/>
      <c r="H565" s="38" t="s">
        <v>161</v>
      </c>
      <c r="I565" s="25">
        <v>9</v>
      </c>
      <c r="J565" s="25">
        <v>4</v>
      </c>
      <c r="K565" s="25">
        <v>2</v>
      </c>
      <c r="L565" s="25">
        <v>15</v>
      </c>
      <c r="M565"/>
      <c r="N565"/>
    </row>
    <row r="566" spans="1:18">
      <c r="A566"/>
      <c r="B566"/>
      <c r="C566"/>
      <c r="D566"/>
      <c r="E566"/>
      <c r="F566"/>
      <c r="H566"/>
      <c r="I566"/>
      <c r="J566"/>
      <c r="K566"/>
      <c r="L566"/>
      <c r="M566"/>
      <c r="N566"/>
      <c r="R566" s="31"/>
    </row>
    <row r="567" spans="1:18">
      <c r="A567"/>
      <c r="B567"/>
      <c r="C567"/>
      <c r="D567"/>
      <c r="E567"/>
      <c r="F567"/>
      <c r="H567"/>
      <c r="I567"/>
      <c r="J567"/>
      <c r="K567"/>
      <c r="L567"/>
      <c r="M567"/>
      <c r="N567"/>
      <c r="R567" s="31"/>
    </row>
    <row r="568" spans="1:18">
      <c r="A568"/>
      <c r="B568"/>
      <c r="C568"/>
      <c r="D568"/>
      <c r="E568"/>
      <c r="F568"/>
      <c r="H568"/>
      <c r="I568"/>
      <c r="J568"/>
      <c r="K568"/>
      <c r="L568"/>
      <c r="M568"/>
      <c r="N568"/>
    </row>
    <row r="569" spans="1:18">
      <c r="A569"/>
      <c r="B569"/>
      <c r="C569"/>
      <c r="D569"/>
      <c r="E569"/>
      <c r="F569"/>
      <c r="H569"/>
      <c r="I569"/>
      <c r="J569"/>
      <c r="K569"/>
      <c r="L569"/>
      <c r="M569"/>
      <c r="N569"/>
    </row>
    <row r="570" spans="1:18">
      <c r="A570" t="s">
        <v>314</v>
      </c>
      <c r="B570"/>
      <c r="C570"/>
      <c r="D570"/>
      <c r="E570"/>
      <c r="F570"/>
      <c r="H570" s="39" t="s">
        <v>343</v>
      </c>
      <c r="I570"/>
      <c r="J570"/>
      <c r="K570"/>
      <c r="L570"/>
      <c r="M570"/>
      <c r="N570"/>
    </row>
    <row r="571" spans="1:18">
      <c r="A571" s="37" t="s">
        <v>110</v>
      </c>
      <c r="B571" s="37" t="s">
        <v>282</v>
      </c>
      <c r="C571"/>
      <c r="D571"/>
      <c r="E571"/>
      <c r="F571"/>
      <c r="H571" s="37" t="s">
        <v>110</v>
      </c>
      <c r="I571" s="37" t="s">
        <v>282</v>
      </c>
      <c r="J571"/>
      <c r="K571"/>
      <c r="L571"/>
      <c r="M571"/>
      <c r="N571"/>
    </row>
    <row r="572" spans="1:18">
      <c r="A572" s="37" t="s">
        <v>281</v>
      </c>
      <c r="B572">
        <v>1</v>
      </c>
      <c r="C572">
        <v>2</v>
      </c>
      <c r="D572" t="s">
        <v>161</v>
      </c>
      <c r="E572"/>
      <c r="F572"/>
      <c r="H572" s="37" t="s">
        <v>281</v>
      </c>
      <c r="I572">
        <v>1</v>
      </c>
      <c r="J572">
        <v>2</v>
      </c>
      <c r="K572">
        <v>3</v>
      </c>
      <c r="L572" t="s">
        <v>161</v>
      </c>
      <c r="M572"/>
      <c r="N572"/>
    </row>
    <row r="573" spans="1:18">
      <c r="A573" s="38">
        <v>1</v>
      </c>
      <c r="B573" s="25">
        <v>4</v>
      </c>
      <c r="C573" s="25">
        <v>4</v>
      </c>
      <c r="D573" s="25">
        <v>8</v>
      </c>
      <c r="E573"/>
      <c r="F573"/>
      <c r="H573" s="38">
        <v>1</v>
      </c>
      <c r="I573" s="25">
        <v>6</v>
      </c>
      <c r="J573" s="25"/>
      <c r="K573" s="25">
        <v>2</v>
      </c>
      <c r="L573" s="25">
        <v>8</v>
      </c>
      <c r="M573"/>
      <c r="N573"/>
    </row>
    <row r="574" spans="1:18">
      <c r="A574" s="38">
        <v>2</v>
      </c>
      <c r="B574" s="25">
        <v>3</v>
      </c>
      <c r="C574" s="25">
        <v>4</v>
      </c>
      <c r="D574" s="25">
        <v>7</v>
      </c>
      <c r="E574"/>
      <c r="F574"/>
      <c r="H574" s="38">
        <v>2</v>
      </c>
      <c r="I574" s="25">
        <v>3</v>
      </c>
      <c r="J574" s="25">
        <v>4</v>
      </c>
      <c r="K574" s="25"/>
      <c r="L574" s="25">
        <v>7</v>
      </c>
      <c r="M574"/>
      <c r="N574"/>
      <c r="R574" s="31"/>
    </row>
    <row r="575" spans="1:18">
      <c r="A575" s="38" t="s">
        <v>161</v>
      </c>
      <c r="B575" s="25">
        <v>7</v>
      </c>
      <c r="C575" s="25">
        <v>8</v>
      </c>
      <c r="D575" s="25">
        <v>15</v>
      </c>
      <c r="E575"/>
      <c r="F575"/>
      <c r="H575" s="38" t="s">
        <v>161</v>
      </c>
      <c r="I575" s="25">
        <v>9</v>
      </c>
      <c r="J575" s="25">
        <v>4</v>
      </c>
      <c r="K575" s="25">
        <v>2</v>
      </c>
      <c r="L575" s="25">
        <v>15</v>
      </c>
      <c r="M575"/>
      <c r="N575"/>
    </row>
    <row r="576" spans="1:18">
      <c r="A576"/>
      <c r="B576"/>
      <c r="C576"/>
      <c r="D576"/>
      <c r="E576"/>
      <c r="F576"/>
      <c r="H576"/>
      <c r="I576"/>
      <c r="J576"/>
      <c r="K576"/>
      <c r="L576"/>
      <c r="M576"/>
      <c r="N576"/>
    </row>
    <row r="577" spans="1:25">
      <c r="A577"/>
      <c r="B577"/>
      <c r="C577"/>
      <c r="D577"/>
      <c r="E577"/>
      <c r="F577"/>
      <c r="H577"/>
      <c r="I577"/>
      <c r="J577"/>
      <c r="K577"/>
      <c r="L577"/>
      <c r="M577"/>
      <c r="N577"/>
    </row>
    <row r="578" spans="1:25">
      <c r="A578"/>
      <c r="B578"/>
      <c r="C578"/>
      <c r="D578"/>
      <c r="E578"/>
      <c r="F578"/>
      <c r="H578"/>
      <c r="I578"/>
      <c r="J578"/>
      <c r="K578"/>
      <c r="L578"/>
      <c r="M578"/>
      <c r="N578"/>
    </row>
    <row r="579" spans="1:25">
      <c r="A579"/>
      <c r="B579"/>
      <c r="C579"/>
      <c r="D579"/>
      <c r="E579"/>
      <c r="F579"/>
      <c r="H579" s="38"/>
      <c r="I579" s="25"/>
      <c r="J579" s="25"/>
      <c r="K579" s="25"/>
      <c r="L579" s="25"/>
      <c r="M579"/>
      <c r="N579"/>
    </row>
    <row r="580" spans="1:25">
      <c r="A580"/>
      <c r="B580"/>
      <c r="C580"/>
      <c r="D580"/>
      <c r="E580"/>
      <c r="F580"/>
      <c r="H580" s="38"/>
      <c r="I580" s="25"/>
      <c r="J580" s="25"/>
      <c r="K580" s="25"/>
      <c r="L580" s="25"/>
      <c r="M580"/>
      <c r="N580"/>
    </row>
    <row r="581" spans="1:25">
      <c r="A581" s="39" t="s">
        <v>315</v>
      </c>
      <c r="B581"/>
      <c r="C581"/>
      <c r="D581"/>
      <c r="E581"/>
      <c r="F581"/>
      <c r="H581" s="39" t="s">
        <v>344</v>
      </c>
      <c r="I581"/>
      <c r="J581"/>
      <c r="K581"/>
      <c r="L581"/>
      <c r="M581"/>
      <c r="N581"/>
    </row>
    <row r="582" spans="1:25">
      <c r="A582" s="37" t="s">
        <v>110</v>
      </c>
      <c r="B582" s="37" t="s">
        <v>282</v>
      </c>
      <c r="C582"/>
      <c r="D582"/>
      <c r="E582"/>
      <c r="F582"/>
      <c r="H582" s="37" t="s">
        <v>110</v>
      </c>
      <c r="I582" s="37" t="s">
        <v>282</v>
      </c>
      <c r="J582"/>
      <c r="K582"/>
      <c r="L582"/>
      <c r="M582"/>
      <c r="N582"/>
    </row>
    <row r="583" spans="1:25">
      <c r="A583" s="37" t="s">
        <v>281</v>
      </c>
      <c r="B583">
        <v>1</v>
      </c>
      <c r="C583">
        <v>2</v>
      </c>
      <c r="D583" t="s">
        <v>161</v>
      </c>
      <c r="E583"/>
      <c r="F583"/>
      <c r="H583" s="37" t="s">
        <v>281</v>
      </c>
      <c r="I583">
        <v>1</v>
      </c>
      <c r="J583">
        <v>2</v>
      </c>
      <c r="K583">
        <v>3</v>
      </c>
      <c r="L583" t="s">
        <v>161</v>
      </c>
      <c r="M583"/>
      <c r="N583"/>
    </row>
    <row r="584" spans="1:25">
      <c r="A584" s="38">
        <v>1</v>
      </c>
      <c r="B584" s="25">
        <v>1</v>
      </c>
      <c r="C584" s="25">
        <v>2</v>
      </c>
      <c r="D584" s="25">
        <v>3</v>
      </c>
      <c r="E584"/>
      <c r="F584"/>
      <c r="H584" s="38">
        <v>1</v>
      </c>
      <c r="I584" s="25">
        <v>2</v>
      </c>
      <c r="J584" s="25">
        <v>1</v>
      </c>
      <c r="K584" s="25"/>
      <c r="L584" s="25">
        <v>3</v>
      </c>
      <c r="M584"/>
      <c r="N584"/>
      <c r="R584" s="31"/>
      <c r="S584" s="31"/>
      <c r="T584" s="31"/>
      <c r="U584" s="31"/>
      <c r="V584" s="31"/>
      <c r="W584" s="31"/>
      <c r="X584" s="31"/>
      <c r="Y584" s="31"/>
    </row>
    <row r="585" spans="1:25">
      <c r="A585" s="38">
        <v>2</v>
      </c>
      <c r="B585" s="25">
        <v>2</v>
      </c>
      <c r="C585" s="25">
        <v>2</v>
      </c>
      <c r="D585" s="25">
        <v>4</v>
      </c>
      <c r="E585"/>
      <c r="F585"/>
      <c r="H585" s="38">
        <v>2</v>
      </c>
      <c r="I585" s="25">
        <v>2</v>
      </c>
      <c r="J585" s="25">
        <v>1</v>
      </c>
      <c r="K585" s="25">
        <v>1</v>
      </c>
      <c r="L585" s="25">
        <v>4</v>
      </c>
      <c r="M585"/>
      <c r="N585"/>
    </row>
    <row r="586" spans="1:25">
      <c r="A586" s="38">
        <v>3</v>
      </c>
      <c r="B586" s="25">
        <v>3</v>
      </c>
      <c r="C586" s="25">
        <v>1</v>
      </c>
      <c r="D586" s="25">
        <v>4</v>
      </c>
      <c r="E586"/>
      <c r="F586"/>
      <c r="H586" s="38">
        <v>3</v>
      </c>
      <c r="I586" s="25">
        <v>2</v>
      </c>
      <c r="J586" s="25">
        <v>1</v>
      </c>
      <c r="K586" s="25">
        <v>1</v>
      </c>
      <c r="L586" s="25">
        <v>4</v>
      </c>
      <c r="M586"/>
      <c r="N586"/>
    </row>
    <row r="587" spans="1:25">
      <c r="A587" s="38">
        <v>4</v>
      </c>
      <c r="B587" s="25"/>
      <c r="C587" s="25">
        <v>1</v>
      </c>
      <c r="D587" s="25">
        <v>1</v>
      </c>
      <c r="E587"/>
      <c r="F587"/>
      <c r="H587" s="38">
        <v>4</v>
      </c>
      <c r="I587" s="25"/>
      <c r="J587" s="25">
        <v>1</v>
      </c>
      <c r="K587" s="25"/>
      <c r="L587" s="25">
        <v>1</v>
      </c>
      <c r="M587"/>
      <c r="N587"/>
    </row>
    <row r="588" spans="1:25">
      <c r="A588" s="38">
        <v>5</v>
      </c>
      <c r="B588" s="25"/>
      <c r="C588" s="25">
        <v>2</v>
      </c>
      <c r="D588" s="25">
        <v>2</v>
      </c>
      <c r="E588"/>
      <c r="F588"/>
      <c r="H588" s="38">
        <v>5</v>
      </c>
      <c r="I588" s="25">
        <v>2</v>
      </c>
      <c r="J588" s="25"/>
      <c r="K588" s="25"/>
      <c r="L588" s="25">
        <v>2</v>
      </c>
      <c r="M588"/>
      <c r="N588"/>
    </row>
    <row r="589" spans="1:25">
      <c r="A589" s="38">
        <v>8</v>
      </c>
      <c r="B589" s="25">
        <v>1</v>
      </c>
      <c r="C589" s="25"/>
      <c r="D589" s="25">
        <v>1</v>
      </c>
      <c r="E589"/>
      <c r="F589"/>
      <c r="H589" s="38">
        <v>8</v>
      </c>
      <c r="I589" s="25">
        <v>1</v>
      </c>
      <c r="J589" s="25"/>
      <c r="K589" s="25"/>
      <c r="L589" s="25">
        <v>1</v>
      </c>
      <c r="M589"/>
      <c r="N589"/>
    </row>
    <row r="590" spans="1:25">
      <c r="A590" s="38" t="s">
        <v>161</v>
      </c>
      <c r="B590" s="25">
        <v>7</v>
      </c>
      <c r="C590" s="25">
        <v>8</v>
      </c>
      <c r="D590" s="25">
        <v>15</v>
      </c>
      <c r="E590"/>
      <c r="F590"/>
      <c r="H590" s="38" t="s">
        <v>161</v>
      </c>
      <c r="I590" s="25">
        <v>9</v>
      </c>
      <c r="J590" s="25">
        <v>4</v>
      </c>
      <c r="K590" s="25">
        <v>2</v>
      </c>
      <c r="L590" s="25">
        <v>15</v>
      </c>
      <c r="M590"/>
      <c r="N590"/>
    </row>
    <row r="591" spans="1:25">
      <c r="A591"/>
      <c r="B591"/>
      <c r="C591"/>
      <c r="D591"/>
      <c r="E591"/>
      <c r="F591"/>
      <c r="H591"/>
      <c r="I591"/>
      <c r="J591"/>
      <c r="K591"/>
      <c r="L591"/>
      <c r="M591"/>
      <c r="N591"/>
    </row>
    <row r="592" spans="1:25">
      <c r="A592"/>
      <c r="B592"/>
      <c r="C592"/>
      <c r="D592"/>
      <c r="E592"/>
      <c r="F592"/>
      <c r="H592"/>
      <c r="I592"/>
      <c r="J592"/>
      <c r="K592"/>
      <c r="L592"/>
      <c r="M592"/>
      <c r="N592"/>
    </row>
    <row r="593" spans="1:25">
      <c r="A593"/>
      <c r="B593"/>
      <c r="C593"/>
      <c r="D593"/>
      <c r="E593"/>
      <c r="F593"/>
      <c r="H593"/>
      <c r="I593" s="25"/>
      <c r="J593" s="25"/>
      <c r="K593" s="25"/>
      <c r="L593" s="25"/>
      <c r="M593"/>
      <c r="N593"/>
      <c r="R593" s="31"/>
      <c r="S593" s="31"/>
      <c r="T593" s="31"/>
      <c r="U593" s="31"/>
      <c r="V593" s="31"/>
      <c r="W593" s="31"/>
      <c r="X593" s="31"/>
      <c r="Y593" s="31"/>
    </row>
    <row r="594" spans="1:25">
      <c r="A594"/>
      <c r="B594"/>
      <c r="C594"/>
      <c r="D594"/>
      <c r="E594"/>
      <c r="F594"/>
      <c r="H594"/>
      <c r="I594"/>
      <c r="J594"/>
      <c r="K594"/>
      <c r="L594"/>
      <c r="M594"/>
      <c r="N594"/>
    </row>
    <row r="595" spans="1:25">
      <c r="A595"/>
      <c r="B595"/>
      <c r="C595"/>
      <c r="D595"/>
      <c r="E595"/>
      <c r="F595"/>
      <c r="H595"/>
      <c r="I595"/>
      <c r="J595"/>
      <c r="K595"/>
      <c r="L595"/>
      <c r="M595"/>
      <c r="N595"/>
    </row>
    <row r="596" spans="1:25">
      <c r="A596"/>
      <c r="B596"/>
      <c r="C596"/>
      <c r="D596"/>
      <c r="E596"/>
      <c r="F596"/>
      <c r="H596"/>
      <c r="I596"/>
      <c r="J596"/>
      <c r="K596"/>
      <c r="L596"/>
      <c r="M596"/>
      <c r="N596"/>
    </row>
    <row r="597" spans="1:25">
      <c r="A597"/>
      <c r="B597"/>
      <c r="C597"/>
      <c r="D597"/>
      <c r="E597"/>
      <c r="F597"/>
      <c r="H597"/>
      <c r="I597"/>
      <c r="J597"/>
      <c r="K597"/>
      <c r="L597"/>
      <c r="M597"/>
      <c r="N597"/>
    </row>
    <row r="598" spans="1:25">
      <c r="A598"/>
      <c r="B598"/>
      <c r="C598"/>
      <c r="D598"/>
      <c r="E598"/>
      <c r="F598"/>
      <c r="H598"/>
      <c r="I598"/>
      <c r="J598"/>
      <c r="K598"/>
      <c r="L598"/>
      <c r="M598"/>
      <c r="N598"/>
    </row>
    <row r="599" spans="1:25">
      <c r="A599" s="39"/>
      <c r="B599"/>
      <c r="C599"/>
      <c r="D599"/>
      <c r="E599"/>
      <c r="F599"/>
      <c r="H599" s="39"/>
      <c r="I599"/>
      <c r="J599"/>
      <c r="K599"/>
      <c r="L599"/>
      <c r="M599"/>
      <c r="N599"/>
    </row>
    <row r="600" spans="1:25">
      <c r="A600"/>
      <c r="B600"/>
      <c r="C600"/>
      <c r="D600"/>
      <c r="E600"/>
      <c r="F600"/>
      <c r="H600"/>
      <c r="I600"/>
      <c r="J600"/>
      <c r="K600"/>
      <c r="L600"/>
      <c r="M600"/>
      <c r="N600"/>
    </row>
    <row r="601" spans="1:25">
      <c r="A601" s="25"/>
      <c r="B601"/>
      <c r="C601"/>
      <c r="D601"/>
      <c r="E601"/>
      <c r="F601"/>
      <c r="H601"/>
      <c r="I601"/>
      <c r="J601"/>
      <c r="K601"/>
      <c r="L601"/>
      <c r="M601"/>
      <c r="N601"/>
    </row>
    <row r="602" spans="1:25">
      <c r="A602"/>
      <c r="B602"/>
      <c r="C602"/>
      <c r="D602"/>
      <c r="E602"/>
      <c r="F602"/>
      <c r="H602"/>
      <c r="I602" s="25"/>
      <c r="J602" s="25"/>
      <c r="K602" s="25"/>
      <c r="L602" s="25"/>
      <c r="M602"/>
      <c r="N602"/>
      <c r="R602" s="31"/>
      <c r="S602" s="31"/>
      <c r="T602" s="31"/>
      <c r="U602" s="31"/>
      <c r="V602" s="31"/>
      <c r="W602" s="31"/>
      <c r="X602" s="31"/>
      <c r="Y602" s="31"/>
    </row>
    <row r="603" spans="1:25">
      <c r="A603"/>
      <c r="B603"/>
      <c r="C603"/>
      <c r="D603"/>
      <c r="E603"/>
      <c r="F603"/>
      <c r="H603"/>
      <c r="I603"/>
      <c r="J603"/>
      <c r="K603"/>
      <c r="L603"/>
      <c r="M603"/>
      <c r="N603"/>
      <c r="R603" s="31"/>
      <c r="S603" s="31"/>
      <c r="T603" s="31"/>
      <c r="U603" s="31"/>
      <c r="V603" s="31"/>
      <c r="W603" s="31"/>
      <c r="X603" s="31"/>
      <c r="Y603" s="31"/>
    </row>
    <row r="604" spans="1:25">
      <c r="A604"/>
      <c r="B604"/>
      <c r="C604"/>
      <c r="D604"/>
      <c r="E604"/>
      <c r="F604"/>
      <c r="H604"/>
      <c r="I604"/>
      <c r="J604"/>
      <c r="K604"/>
      <c r="L604"/>
      <c r="M604"/>
      <c r="N604"/>
      <c r="R604" s="31"/>
      <c r="S604" s="31"/>
      <c r="T604" s="31"/>
      <c r="U604" s="31"/>
      <c r="V604" s="31"/>
      <c r="W604" s="31"/>
      <c r="X604" s="31"/>
      <c r="Y604" s="31"/>
    </row>
    <row r="605" spans="1:25">
      <c r="A605"/>
      <c r="B605"/>
      <c r="C605"/>
      <c r="D605"/>
      <c r="E605"/>
      <c r="F605"/>
      <c r="H605"/>
      <c r="I605"/>
      <c r="J605"/>
      <c r="K605"/>
      <c r="L605"/>
      <c r="M605"/>
      <c r="N605"/>
      <c r="R605" s="31"/>
      <c r="S605" s="31"/>
      <c r="T605" s="31"/>
      <c r="U605" s="31"/>
      <c r="V605" s="31"/>
      <c r="W605" s="31"/>
      <c r="X605" s="31"/>
      <c r="Y605" s="31"/>
    </row>
    <row r="606" spans="1:25">
      <c r="A606"/>
      <c r="B606"/>
      <c r="C606"/>
      <c r="D606"/>
      <c r="E606"/>
      <c r="F606"/>
      <c r="H606"/>
      <c r="I606"/>
      <c r="J606"/>
      <c r="K606"/>
      <c r="L606"/>
      <c r="M606"/>
      <c r="N606"/>
      <c r="R606" s="31"/>
      <c r="S606" s="31"/>
      <c r="T606" s="31"/>
      <c r="U606" s="31"/>
      <c r="V606" s="31"/>
      <c r="W606" s="31"/>
      <c r="X606" s="31"/>
      <c r="Y606" s="31"/>
    </row>
    <row r="607" spans="1:25">
      <c r="A607"/>
      <c r="B607"/>
      <c r="C607"/>
      <c r="D607"/>
      <c r="E607"/>
      <c r="F607"/>
      <c r="H607"/>
      <c r="I607"/>
      <c r="J607"/>
      <c r="K607"/>
      <c r="L607"/>
      <c r="M607"/>
      <c r="N607"/>
      <c r="R607" s="31"/>
      <c r="S607" s="31"/>
      <c r="T607" s="31"/>
      <c r="U607" s="31"/>
      <c r="V607" s="31"/>
      <c r="W607" s="31"/>
      <c r="X607" s="31"/>
      <c r="Y607" s="31"/>
    </row>
    <row r="608" spans="1:25">
      <c r="A608" s="39"/>
      <c r="B608"/>
      <c r="C608"/>
      <c r="D608"/>
      <c r="E608"/>
      <c r="F608"/>
      <c r="H608" s="39"/>
      <c r="I608"/>
      <c r="J608"/>
      <c r="K608"/>
      <c r="L608"/>
      <c r="M608"/>
      <c r="N608"/>
    </row>
    <row r="609" spans="1:25">
      <c r="A609"/>
      <c r="B609"/>
      <c r="C609"/>
      <c r="D609"/>
      <c r="E609"/>
      <c r="F609"/>
      <c r="H609"/>
      <c r="I609"/>
      <c r="J609"/>
      <c r="K609"/>
      <c r="L609"/>
      <c r="M609"/>
      <c r="N609"/>
    </row>
    <row r="610" spans="1:25">
      <c r="A610" s="25"/>
      <c r="B610"/>
      <c r="C610"/>
      <c r="D610"/>
      <c r="E610"/>
      <c r="F610"/>
      <c r="H610"/>
      <c r="I610"/>
      <c r="J610"/>
      <c r="K610"/>
      <c r="L610"/>
      <c r="M610"/>
      <c r="N610"/>
    </row>
    <row r="611" spans="1:25">
      <c r="A611"/>
      <c r="B611"/>
      <c r="C611"/>
      <c r="D611"/>
      <c r="E611"/>
      <c r="F611"/>
      <c r="H611"/>
      <c r="I611" s="25"/>
      <c r="J611" s="25"/>
      <c r="K611" s="25"/>
      <c r="L611" s="25"/>
      <c r="M611"/>
      <c r="N611"/>
      <c r="R611" s="31"/>
      <c r="S611" s="31"/>
      <c r="T611" s="31"/>
      <c r="U611" s="31"/>
      <c r="V611" s="31"/>
      <c r="W611" s="31"/>
      <c r="X611" s="31"/>
      <c r="Y611" s="31"/>
    </row>
    <row r="612" spans="1:25">
      <c r="A612"/>
      <c r="B612"/>
      <c r="C612"/>
      <c r="D612"/>
      <c r="E612"/>
      <c r="F612"/>
      <c r="H612"/>
      <c r="I612"/>
      <c r="J612"/>
      <c r="K612"/>
      <c r="L612"/>
      <c r="M612"/>
      <c r="N612"/>
    </row>
    <row r="613" spans="1:25">
      <c r="A613"/>
      <c r="B613"/>
      <c r="C613"/>
      <c r="D613"/>
      <c r="E613"/>
      <c r="F613"/>
      <c r="H613"/>
      <c r="I613"/>
      <c r="J613"/>
      <c r="K613"/>
      <c r="L613"/>
      <c r="M613"/>
      <c r="N613"/>
    </row>
    <row r="614" spans="1:25">
      <c r="A614"/>
      <c r="B614"/>
      <c r="C614"/>
      <c r="D614"/>
      <c r="E614"/>
      <c r="F614"/>
      <c r="H614"/>
      <c r="I614"/>
      <c r="J614"/>
      <c r="K614"/>
      <c r="L614"/>
      <c r="M614"/>
      <c r="N614"/>
    </row>
    <row r="615" spans="1:25">
      <c r="A615"/>
      <c r="B615"/>
      <c r="C615"/>
      <c r="D615"/>
      <c r="E615"/>
      <c r="F615"/>
      <c r="H615"/>
      <c r="I615"/>
      <c r="J615"/>
      <c r="K615"/>
      <c r="L615"/>
      <c r="M615"/>
      <c r="N615"/>
    </row>
    <row r="616" spans="1:25">
      <c r="A616"/>
      <c r="B616"/>
      <c r="C616"/>
      <c r="D616"/>
      <c r="E616"/>
      <c r="F616"/>
      <c r="H616"/>
      <c r="I616"/>
      <c r="J616"/>
      <c r="K616"/>
      <c r="L616"/>
      <c r="M616"/>
      <c r="N616"/>
    </row>
    <row r="617" spans="1:25">
      <c r="A617" s="39"/>
      <c r="B617"/>
      <c r="C617"/>
      <c r="D617"/>
      <c r="E617"/>
      <c r="F617"/>
      <c r="H617" s="39"/>
      <c r="I617"/>
      <c r="J617"/>
      <c r="K617"/>
      <c r="L617"/>
      <c r="M617"/>
      <c r="N617"/>
    </row>
    <row r="618" spans="1:25">
      <c r="A618"/>
      <c r="B618"/>
      <c r="C618"/>
      <c r="D618"/>
      <c r="E618"/>
      <c r="F618"/>
      <c r="H618"/>
      <c r="I618"/>
      <c r="J618"/>
      <c r="K618"/>
      <c r="L618"/>
      <c r="M618"/>
      <c r="N618"/>
    </row>
    <row r="619" spans="1:25">
      <c r="A619" s="25"/>
      <c r="B619"/>
      <c r="C619"/>
      <c r="D619"/>
      <c r="E619"/>
      <c r="F619"/>
      <c r="H619"/>
      <c r="I619"/>
      <c r="J619"/>
      <c r="K619"/>
      <c r="L619"/>
      <c r="M619"/>
      <c r="N619"/>
    </row>
    <row r="620" spans="1:25">
      <c r="A620"/>
      <c r="B620"/>
      <c r="C620"/>
      <c r="D620"/>
      <c r="E620"/>
      <c r="F620"/>
      <c r="H620"/>
      <c r="I620" s="25"/>
      <c r="J620" s="25"/>
      <c r="K620" s="25"/>
      <c r="L620" s="25"/>
      <c r="M620"/>
      <c r="N620"/>
      <c r="R620" s="31"/>
      <c r="S620" s="31"/>
      <c r="T620" s="31"/>
      <c r="U620" s="31"/>
      <c r="V620" s="31"/>
      <c r="W620" s="31"/>
      <c r="X620" s="31"/>
      <c r="Y620" s="31"/>
    </row>
    <row r="621" spans="1:25">
      <c r="A621"/>
      <c r="B621"/>
      <c r="C621"/>
      <c r="D621"/>
      <c r="E621"/>
      <c r="F621"/>
      <c r="H621"/>
      <c r="I621"/>
      <c r="J621"/>
      <c r="K621"/>
      <c r="L621"/>
      <c r="M621"/>
      <c r="N621"/>
    </row>
    <row r="622" spans="1:25">
      <c r="A622"/>
      <c r="B622"/>
      <c r="C622"/>
      <c r="D622"/>
      <c r="E622"/>
      <c r="F622"/>
      <c r="H622"/>
      <c r="I622"/>
      <c r="J622"/>
      <c r="K622"/>
      <c r="L622"/>
      <c r="M622"/>
      <c r="N622"/>
    </row>
    <row r="623" spans="1:25">
      <c r="A623"/>
      <c r="B623"/>
      <c r="C623"/>
      <c r="D623"/>
      <c r="E623"/>
      <c r="F623"/>
      <c r="H623"/>
      <c r="I623"/>
      <c r="J623"/>
      <c r="K623"/>
      <c r="L623"/>
      <c r="M623"/>
      <c r="N623"/>
    </row>
    <row r="624" spans="1:25">
      <c r="A624"/>
      <c r="B624"/>
      <c r="C624"/>
      <c r="D624"/>
      <c r="E624"/>
      <c r="F624"/>
      <c r="H624"/>
      <c r="I624"/>
      <c r="J624"/>
      <c r="K624"/>
      <c r="L624"/>
      <c r="M624"/>
      <c r="N624"/>
    </row>
    <row r="625" spans="1:21">
      <c r="A625"/>
      <c r="B625"/>
      <c r="C625"/>
      <c r="D625"/>
      <c r="E625"/>
      <c r="F625"/>
      <c r="H625"/>
      <c r="I625"/>
      <c r="J625"/>
      <c r="K625"/>
      <c r="L625"/>
      <c r="M625"/>
      <c r="N625"/>
    </row>
    <row r="626" spans="1:21">
      <c r="A626"/>
      <c r="B626"/>
      <c r="C626"/>
      <c r="D626"/>
      <c r="E626"/>
      <c r="F626"/>
      <c r="H626"/>
      <c r="I626"/>
      <c r="J626"/>
      <c r="K626"/>
      <c r="L626"/>
      <c r="M626"/>
      <c r="N626"/>
      <c r="R626" s="31"/>
      <c r="S626" s="31"/>
      <c r="T626" s="31"/>
      <c r="U626" s="31"/>
    </row>
    <row r="627" spans="1:21">
      <c r="A627"/>
      <c r="B627"/>
      <c r="C627"/>
      <c r="D627"/>
      <c r="E627"/>
      <c r="F627"/>
      <c r="H627"/>
      <c r="I627"/>
      <c r="J627"/>
      <c r="K627"/>
      <c r="L627"/>
      <c r="M627"/>
      <c r="N627"/>
      <c r="R627" s="31"/>
      <c r="S627" s="31"/>
      <c r="T627" s="31"/>
      <c r="U627" s="31"/>
    </row>
    <row r="628" spans="1:21">
      <c r="A628"/>
      <c r="B628"/>
      <c r="C628"/>
      <c r="D628"/>
      <c r="E628"/>
      <c r="F628"/>
      <c r="H628"/>
      <c r="I628"/>
      <c r="J628"/>
      <c r="K628"/>
      <c r="L628"/>
      <c r="M628"/>
      <c r="N628"/>
      <c r="R628" s="31"/>
      <c r="S628" s="31"/>
      <c r="T628" s="31"/>
      <c r="U628" s="31"/>
    </row>
    <row r="629" spans="1:21">
      <c r="A629"/>
      <c r="B629"/>
      <c r="C629"/>
      <c r="D629"/>
      <c r="E629"/>
      <c r="F629"/>
      <c r="H629"/>
      <c r="I629"/>
      <c r="J629"/>
      <c r="K629"/>
      <c r="L629"/>
      <c r="M629"/>
      <c r="N629"/>
      <c r="R629" s="31"/>
      <c r="S629" s="31"/>
      <c r="T629" s="31"/>
      <c r="U629" s="31"/>
    </row>
    <row r="630" spans="1:21">
      <c r="A630"/>
      <c r="B630"/>
      <c r="C630"/>
      <c r="D630"/>
      <c r="E630"/>
      <c r="F630"/>
      <c r="H630"/>
      <c r="I630"/>
      <c r="J630"/>
      <c r="K630"/>
      <c r="L630"/>
      <c r="M630"/>
      <c r="N630"/>
    </row>
    <row r="631" spans="1:21">
      <c r="A631"/>
      <c r="B631"/>
      <c r="C631"/>
      <c r="D631" s="31"/>
      <c r="E631" s="31"/>
      <c r="H631"/>
      <c r="I631"/>
      <c r="J631"/>
    </row>
    <row r="632" spans="1:21">
      <c r="A632"/>
      <c r="B632"/>
      <c r="C632"/>
      <c r="H632"/>
      <c r="I632"/>
      <c r="J632"/>
    </row>
    <row r="633" spans="1:21">
      <c r="A633"/>
      <c r="B633"/>
      <c r="C633"/>
      <c r="H633"/>
      <c r="I633"/>
      <c r="J633"/>
    </row>
    <row r="634" spans="1:21">
      <c r="A634"/>
      <c r="B634"/>
      <c r="C634"/>
      <c r="H634"/>
      <c r="I634"/>
      <c r="J634"/>
      <c r="R634" s="31"/>
      <c r="S634" s="31"/>
      <c r="T634" s="31"/>
      <c r="U634" s="31"/>
    </row>
    <row r="635" spans="1:21">
      <c r="A635"/>
      <c r="B635"/>
      <c r="C635"/>
      <c r="H635"/>
      <c r="I635"/>
      <c r="J635"/>
      <c r="R635" s="31"/>
      <c r="S635" s="31"/>
      <c r="T635" s="31"/>
      <c r="U635" s="31"/>
    </row>
    <row r="636" spans="1:21">
      <c r="A636"/>
      <c r="B636"/>
      <c r="C636"/>
      <c r="H636"/>
      <c r="I636"/>
      <c r="J636"/>
      <c r="R636" s="31"/>
      <c r="S636" s="31"/>
      <c r="T636" s="31"/>
      <c r="U636" s="31"/>
    </row>
    <row r="637" spans="1:21">
      <c r="A637"/>
      <c r="B637"/>
      <c r="C637"/>
      <c r="H637"/>
      <c r="I637"/>
      <c r="J637"/>
      <c r="R637" s="31"/>
      <c r="S637" s="31"/>
      <c r="T637" s="31"/>
      <c r="U637" s="31"/>
    </row>
    <row r="638" spans="1:21">
      <c r="A638"/>
      <c r="B638"/>
      <c r="C638"/>
      <c r="D638" s="31"/>
      <c r="E638" s="31"/>
      <c r="H638"/>
      <c r="I638"/>
      <c r="J638"/>
      <c r="R638" s="31"/>
      <c r="S638" s="31"/>
      <c r="T638" s="31"/>
      <c r="U638" s="31"/>
    </row>
    <row r="639" spans="1:21">
      <c r="I639" s="31"/>
    </row>
    <row r="640" spans="1:21">
      <c r="I640" s="31"/>
    </row>
    <row r="641" spans="2:25">
      <c r="I641" s="31"/>
    </row>
    <row r="642" spans="2:25">
      <c r="I642" s="31"/>
    </row>
    <row r="643" spans="2:25">
      <c r="I643" s="31"/>
      <c r="R643" s="31"/>
      <c r="S643" s="31"/>
      <c r="T643" s="31"/>
      <c r="U643" s="31"/>
      <c r="V643" s="31"/>
      <c r="W643" s="31"/>
      <c r="X643" s="31"/>
      <c r="Y643" s="31"/>
    </row>
    <row r="644" spans="2:25">
      <c r="R644" s="31"/>
      <c r="S644" s="31"/>
      <c r="T644" s="31"/>
      <c r="U644" s="31"/>
      <c r="V644" s="31"/>
      <c r="W644" s="31"/>
      <c r="X644" s="31"/>
      <c r="Y644" s="31"/>
    </row>
    <row r="645" spans="2:25">
      <c r="B645" s="31"/>
      <c r="C645" s="31"/>
      <c r="D645" s="31"/>
      <c r="E645" s="31"/>
      <c r="R645" s="31"/>
      <c r="S645" s="31"/>
      <c r="T645" s="31"/>
      <c r="U645" s="31"/>
      <c r="V645" s="31"/>
      <c r="W645" s="31"/>
      <c r="X645" s="31"/>
      <c r="Y645" s="31"/>
    </row>
    <row r="646" spans="2:25">
      <c r="R646" s="31"/>
      <c r="S646" s="31"/>
      <c r="T646" s="31"/>
      <c r="U646" s="31"/>
      <c r="V646" s="31"/>
      <c r="W646" s="31"/>
      <c r="X646" s="31"/>
      <c r="Y646" s="31"/>
    </row>
    <row r="647" spans="2:25">
      <c r="I647" s="31"/>
      <c r="R647" s="31"/>
      <c r="S647" s="31"/>
      <c r="T647" s="31"/>
      <c r="U647" s="31"/>
      <c r="V647" s="31"/>
      <c r="W647" s="31"/>
      <c r="X647" s="31"/>
      <c r="Y647" s="31"/>
    </row>
    <row r="648" spans="2:25">
      <c r="I648" s="31"/>
      <c r="R648" s="31"/>
      <c r="S648" s="31"/>
      <c r="T648" s="31"/>
      <c r="U648" s="31"/>
      <c r="V648" s="31"/>
      <c r="W648" s="31"/>
      <c r="X648" s="31"/>
      <c r="Y648" s="31"/>
    </row>
    <row r="649" spans="2:25">
      <c r="I649" s="31"/>
    </row>
    <row r="650" spans="2:25">
      <c r="I650" s="31"/>
    </row>
    <row r="651" spans="2:25">
      <c r="I651" s="31"/>
    </row>
    <row r="652" spans="2:25">
      <c r="B652" s="31"/>
      <c r="C652" s="31"/>
      <c r="D652" s="31"/>
      <c r="E652" s="31"/>
      <c r="I652" s="31"/>
      <c r="R652" s="31"/>
      <c r="S652" s="31"/>
      <c r="T652" s="31"/>
      <c r="U652" s="31"/>
      <c r="V652" s="31"/>
      <c r="W652" s="31"/>
    </row>
    <row r="653" spans="2:25">
      <c r="I653" s="31"/>
      <c r="R653" s="31"/>
      <c r="S653" s="31"/>
      <c r="T653" s="31"/>
      <c r="U653" s="31"/>
      <c r="V653" s="31"/>
      <c r="W653" s="31"/>
    </row>
    <row r="654" spans="2:25">
      <c r="I654" s="31"/>
      <c r="R654" s="31"/>
      <c r="S654" s="31"/>
      <c r="T654" s="31"/>
      <c r="U654" s="31"/>
      <c r="V654" s="31"/>
      <c r="W654" s="31"/>
    </row>
    <row r="655" spans="2:25">
      <c r="R655" s="31"/>
      <c r="S655" s="31"/>
      <c r="T655" s="31"/>
      <c r="U655" s="31"/>
      <c r="V655" s="31"/>
      <c r="W655" s="31"/>
    </row>
    <row r="656" spans="2:25">
      <c r="R656" s="31"/>
      <c r="S656" s="31"/>
      <c r="T656" s="31"/>
      <c r="U656" s="31"/>
      <c r="V656" s="31"/>
      <c r="W656" s="31"/>
    </row>
    <row r="657" spans="2:25">
      <c r="I657" s="31"/>
      <c r="R657" s="31"/>
      <c r="S657" s="31"/>
      <c r="T657" s="31"/>
      <c r="U657" s="31"/>
      <c r="V657" s="31"/>
      <c r="W657" s="31"/>
    </row>
    <row r="658" spans="2:25">
      <c r="I658" s="31"/>
    </row>
    <row r="659" spans="2:25">
      <c r="B659" s="31"/>
      <c r="C659" s="31"/>
      <c r="D659" s="31"/>
      <c r="E659" s="31"/>
      <c r="I659" s="31"/>
    </row>
    <row r="660" spans="2:25">
      <c r="I660" s="31"/>
    </row>
    <row r="661" spans="2:25">
      <c r="I661" s="31"/>
      <c r="R661" s="31"/>
      <c r="S661" s="31"/>
      <c r="T661" s="31"/>
      <c r="U661" s="31"/>
      <c r="V661" s="31"/>
      <c r="W661" s="31"/>
      <c r="X661" s="31"/>
      <c r="Y661" s="31"/>
    </row>
    <row r="662" spans="2:25">
      <c r="I662" s="31"/>
      <c r="R662" s="31"/>
      <c r="S662" s="31"/>
      <c r="T662" s="31"/>
      <c r="U662" s="31"/>
      <c r="V662" s="31"/>
      <c r="W662" s="31"/>
      <c r="X662" s="31"/>
      <c r="Y662" s="31"/>
    </row>
    <row r="663" spans="2:25">
      <c r="I663" s="31"/>
      <c r="R663" s="31"/>
      <c r="S663" s="31"/>
      <c r="T663" s="31"/>
      <c r="U663" s="31"/>
      <c r="V663" s="31"/>
      <c r="W663" s="31"/>
      <c r="X663" s="31"/>
      <c r="Y663" s="31"/>
    </row>
    <row r="664" spans="2:25">
      <c r="I664" s="31"/>
      <c r="R664" s="31"/>
      <c r="S664" s="31"/>
      <c r="T664" s="31"/>
      <c r="U664" s="31"/>
      <c r="V664" s="31"/>
      <c r="W664" s="31"/>
      <c r="X664" s="31"/>
      <c r="Y664" s="31"/>
    </row>
    <row r="665" spans="2:25">
      <c r="R665" s="31"/>
      <c r="S665" s="31"/>
      <c r="T665" s="31"/>
      <c r="U665" s="31"/>
      <c r="V665" s="31"/>
      <c r="W665" s="31"/>
      <c r="X665" s="31"/>
      <c r="Y665" s="31"/>
    </row>
    <row r="666" spans="2:25">
      <c r="B666" s="31"/>
      <c r="C666" s="31"/>
      <c r="D666" s="31"/>
      <c r="E666" s="31"/>
      <c r="R666" s="31"/>
      <c r="S666" s="31"/>
      <c r="T666" s="31"/>
      <c r="U666" s="31"/>
      <c r="V666" s="31"/>
      <c r="W666" s="31"/>
      <c r="X666" s="31"/>
      <c r="Y666" s="31"/>
    </row>
    <row r="667" spans="2:25">
      <c r="I667" s="31"/>
    </row>
    <row r="668" spans="2:25">
      <c r="I668" s="31"/>
    </row>
    <row r="669" spans="2:25">
      <c r="I669" s="31"/>
    </row>
    <row r="670" spans="2:25">
      <c r="I670" s="31"/>
      <c r="R670" s="31"/>
      <c r="S670" s="31"/>
      <c r="T670" s="31"/>
      <c r="U670" s="31"/>
      <c r="V670" s="31"/>
      <c r="W670" s="31"/>
      <c r="X670" s="31"/>
      <c r="Y670" s="31"/>
    </row>
    <row r="671" spans="2:25">
      <c r="I671" s="31"/>
      <c r="R671" s="31"/>
      <c r="S671" s="31"/>
      <c r="T671" s="31"/>
      <c r="U671" s="31"/>
      <c r="V671" s="31"/>
      <c r="W671" s="31"/>
      <c r="X671" s="31"/>
      <c r="Y671" s="31"/>
    </row>
    <row r="672" spans="2:25">
      <c r="I672" s="31"/>
      <c r="R672" s="31"/>
      <c r="S672" s="31"/>
      <c r="T672" s="31"/>
      <c r="U672" s="31"/>
      <c r="V672" s="31"/>
      <c r="W672" s="31"/>
      <c r="X672" s="31"/>
      <c r="Y672" s="31"/>
    </row>
    <row r="673" spans="2:25">
      <c r="B673" s="31"/>
      <c r="C673" s="31"/>
      <c r="D673" s="31"/>
      <c r="E673" s="31"/>
      <c r="I673" s="31"/>
      <c r="R673" s="31"/>
      <c r="S673" s="31"/>
      <c r="T673" s="31"/>
      <c r="U673" s="31"/>
      <c r="V673" s="31"/>
      <c r="W673" s="31"/>
      <c r="X673" s="31"/>
      <c r="Y673" s="31"/>
    </row>
    <row r="674" spans="2:25">
      <c r="I674" s="31"/>
      <c r="R674" s="31"/>
      <c r="S674" s="31"/>
      <c r="T674" s="31"/>
      <c r="U674" s="31"/>
      <c r="V674" s="31"/>
      <c r="W674" s="31"/>
      <c r="X674" s="31"/>
      <c r="Y674" s="31"/>
    </row>
    <row r="675" spans="2:25">
      <c r="R675" s="31"/>
      <c r="S675" s="31"/>
      <c r="T675" s="31"/>
      <c r="U675" s="31"/>
      <c r="V675" s="31"/>
      <c r="W675" s="31"/>
      <c r="X675" s="31"/>
      <c r="Y675" s="31"/>
    </row>
    <row r="677" spans="2:25">
      <c r="I677" s="31"/>
    </row>
    <row r="678" spans="2:25">
      <c r="I678" s="31"/>
    </row>
    <row r="679" spans="2:25">
      <c r="I679" s="31"/>
      <c r="R679" s="31"/>
      <c r="S679" s="31"/>
      <c r="T679" s="31"/>
      <c r="U679" s="31"/>
      <c r="V679" s="31"/>
      <c r="W679" s="31"/>
    </row>
    <row r="680" spans="2:25">
      <c r="B680" s="31"/>
      <c r="C680" s="31"/>
      <c r="D680" s="31"/>
      <c r="E680" s="31"/>
      <c r="I680" s="31"/>
      <c r="R680" s="31"/>
      <c r="S680" s="31"/>
      <c r="T680" s="31"/>
      <c r="U680" s="31"/>
      <c r="V680" s="31"/>
      <c r="W680" s="31"/>
    </row>
    <row r="681" spans="2:25">
      <c r="I681" s="31"/>
      <c r="R681" s="31"/>
      <c r="S681" s="31"/>
      <c r="T681" s="31"/>
      <c r="U681" s="31"/>
      <c r="V681" s="31"/>
      <c r="W681" s="31"/>
    </row>
    <row r="682" spans="2:25">
      <c r="I682" s="31"/>
      <c r="R682" s="31"/>
      <c r="S682" s="31"/>
      <c r="T682" s="31"/>
      <c r="U682" s="31"/>
      <c r="V682" s="31"/>
      <c r="W682" s="31"/>
    </row>
    <row r="683" spans="2:25">
      <c r="R683" s="31"/>
      <c r="S683" s="31"/>
      <c r="T683" s="31"/>
      <c r="U683" s="31"/>
      <c r="V683" s="31"/>
      <c r="W683" s="31"/>
    </row>
    <row r="684" spans="2:25">
      <c r="R684" s="31"/>
      <c r="S684" s="31"/>
      <c r="T684" s="31"/>
      <c r="U684" s="31"/>
      <c r="V684" s="31"/>
      <c r="W684" s="31"/>
    </row>
    <row r="686" spans="2:25">
      <c r="I686" s="31"/>
    </row>
    <row r="687" spans="2:25">
      <c r="B687" s="31"/>
      <c r="C687" s="31"/>
      <c r="D687" s="31"/>
      <c r="E687" s="31"/>
      <c r="I687" s="31"/>
    </row>
    <row r="688" spans="2:25">
      <c r="I688" s="31"/>
      <c r="R688" s="31"/>
      <c r="S688" s="31"/>
      <c r="T688" s="31"/>
      <c r="U688" s="31"/>
      <c r="V688" s="31"/>
      <c r="W688" s="31"/>
    </row>
    <row r="689" spans="2:23">
      <c r="I689" s="31"/>
      <c r="R689" s="31"/>
      <c r="S689" s="31"/>
      <c r="T689" s="31"/>
      <c r="U689" s="31"/>
      <c r="V689" s="31"/>
      <c r="W689" s="31"/>
    </row>
    <row r="690" spans="2:23">
      <c r="I690" s="31"/>
      <c r="R690" s="31"/>
      <c r="S690" s="31"/>
      <c r="T690" s="31"/>
      <c r="U690" s="31"/>
      <c r="V690" s="31"/>
      <c r="W690" s="31"/>
    </row>
    <row r="691" spans="2:23">
      <c r="I691" s="31"/>
      <c r="R691" s="31"/>
      <c r="S691" s="31"/>
      <c r="T691" s="31"/>
      <c r="U691" s="31"/>
      <c r="V691" s="31"/>
      <c r="W691" s="31"/>
    </row>
    <row r="692" spans="2:23">
      <c r="I692" s="31"/>
      <c r="R692" s="31"/>
      <c r="S692" s="31"/>
      <c r="T692" s="31"/>
      <c r="U692" s="31"/>
      <c r="V692" s="31"/>
      <c r="W692" s="31"/>
    </row>
    <row r="693" spans="2:23">
      <c r="I693" s="31"/>
      <c r="R693" s="31"/>
      <c r="S693" s="31"/>
      <c r="T693" s="31"/>
      <c r="U693" s="31"/>
      <c r="V693" s="31"/>
      <c r="W693" s="31"/>
    </row>
    <row r="694" spans="2:23">
      <c r="B694" s="31"/>
      <c r="C694" s="31"/>
      <c r="D694" s="31"/>
      <c r="E694" s="31"/>
    </row>
    <row r="696" spans="2:23">
      <c r="I696" s="31"/>
      <c r="J696" s="31"/>
      <c r="K696" s="31"/>
      <c r="L696" s="31"/>
      <c r="M696" s="31"/>
      <c r="N696" s="31"/>
      <c r="O696" s="31"/>
    </row>
    <row r="697" spans="2:23">
      <c r="I697" s="31"/>
      <c r="J697" s="31"/>
      <c r="K697" s="31"/>
      <c r="L697" s="31"/>
      <c r="M697" s="31"/>
      <c r="N697" s="31"/>
      <c r="O697" s="31"/>
      <c r="R697" s="31"/>
      <c r="S697" s="31"/>
      <c r="T697" s="31"/>
      <c r="U697" s="31"/>
      <c r="V697" s="31"/>
      <c r="W697" s="31"/>
    </row>
    <row r="698" spans="2:23">
      <c r="I698" s="31"/>
      <c r="J698" s="31"/>
      <c r="K698" s="31"/>
      <c r="L698" s="31"/>
      <c r="M698" s="31"/>
      <c r="N698" s="31"/>
      <c r="O698" s="31"/>
      <c r="R698" s="31"/>
      <c r="S698" s="31"/>
      <c r="T698" s="31"/>
      <c r="U698" s="31"/>
      <c r="V698" s="31"/>
      <c r="W698" s="31"/>
    </row>
    <row r="699" spans="2:23">
      <c r="I699" s="31"/>
      <c r="J699" s="31"/>
      <c r="K699" s="31"/>
      <c r="L699" s="31"/>
      <c r="M699" s="31"/>
      <c r="N699" s="31"/>
      <c r="O699" s="31"/>
      <c r="R699" s="31"/>
      <c r="S699" s="31"/>
      <c r="T699" s="31"/>
      <c r="U699" s="31"/>
      <c r="V699" s="31"/>
      <c r="W699" s="31"/>
    </row>
    <row r="700" spans="2:23">
      <c r="I700" s="31"/>
      <c r="J700" s="31"/>
      <c r="K700" s="31"/>
      <c r="L700" s="31"/>
      <c r="M700" s="31"/>
      <c r="N700" s="31"/>
      <c r="O700" s="31"/>
      <c r="R700" s="31"/>
      <c r="S700" s="31"/>
      <c r="T700" s="31"/>
      <c r="U700" s="31"/>
      <c r="V700" s="31"/>
      <c r="W700" s="31"/>
    </row>
    <row r="701" spans="2:23">
      <c r="B701" s="31"/>
      <c r="C701" s="31"/>
      <c r="D701" s="31"/>
      <c r="E701" s="31"/>
      <c r="I701" s="31"/>
      <c r="J701" s="31"/>
      <c r="K701" s="31"/>
      <c r="L701" s="31"/>
      <c r="M701" s="31"/>
      <c r="N701" s="31"/>
      <c r="O701" s="31"/>
      <c r="R701" s="31"/>
      <c r="S701" s="31"/>
      <c r="T701" s="31"/>
      <c r="U701" s="31"/>
      <c r="V701" s="31"/>
      <c r="W701" s="31"/>
    </row>
    <row r="702" spans="2:23">
      <c r="B702" s="31"/>
      <c r="C702" s="31"/>
      <c r="D702" s="31"/>
      <c r="E702" s="31"/>
      <c r="R702" s="31"/>
      <c r="S702" s="31"/>
      <c r="T702" s="31"/>
      <c r="U702" s="31"/>
      <c r="V702" s="31"/>
      <c r="W702" s="31"/>
    </row>
    <row r="703" spans="2:23">
      <c r="B703" s="31"/>
      <c r="C703" s="31"/>
      <c r="D703" s="31"/>
      <c r="E703" s="31"/>
    </row>
    <row r="704" spans="2:23">
      <c r="B704" s="31"/>
      <c r="C704" s="31"/>
      <c r="D704" s="31"/>
      <c r="E704" s="31"/>
    </row>
    <row r="705" spans="2:25">
      <c r="B705" s="31"/>
      <c r="C705" s="31"/>
      <c r="D705" s="31"/>
      <c r="E705" s="31"/>
      <c r="I705" s="31"/>
      <c r="J705" s="31"/>
      <c r="K705" s="31"/>
      <c r="L705" s="31"/>
      <c r="M705" s="31"/>
      <c r="N705" s="31"/>
      <c r="O705" s="31"/>
    </row>
    <row r="706" spans="2:25">
      <c r="I706" s="31"/>
      <c r="J706" s="31"/>
      <c r="K706" s="31"/>
      <c r="L706" s="31"/>
      <c r="M706" s="31"/>
      <c r="N706" s="31"/>
      <c r="O706" s="31"/>
      <c r="R706" s="31"/>
      <c r="S706" s="31"/>
      <c r="T706" s="31"/>
      <c r="U706" s="31"/>
      <c r="V706" s="31"/>
      <c r="W706" s="31"/>
      <c r="X706" s="31"/>
      <c r="Y706" s="31"/>
    </row>
    <row r="707" spans="2:25">
      <c r="I707" s="31"/>
      <c r="J707" s="31"/>
      <c r="K707" s="31"/>
      <c r="L707" s="31"/>
      <c r="M707" s="31"/>
      <c r="N707" s="31"/>
      <c r="O707" s="31"/>
      <c r="R707" s="31"/>
      <c r="S707" s="31"/>
      <c r="T707" s="31"/>
      <c r="U707" s="31"/>
      <c r="V707" s="31"/>
      <c r="W707" s="31"/>
      <c r="X707" s="31"/>
      <c r="Y707" s="31"/>
    </row>
    <row r="708" spans="2:25">
      <c r="B708" s="31"/>
      <c r="C708" s="31"/>
      <c r="D708" s="31"/>
      <c r="E708" s="31"/>
      <c r="I708" s="31"/>
      <c r="J708" s="31"/>
      <c r="K708" s="31"/>
      <c r="L708" s="31"/>
      <c r="M708" s="31"/>
      <c r="N708" s="31"/>
      <c r="O708" s="31"/>
      <c r="R708" s="31"/>
      <c r="S708" s="31"/>
      <c r="T708" s="31"/>
      <c r="U708" s="31"/>
      <c r="V708" s="31"/>
      <c r="W708" s="31"/>
      <c r="X708" s="31"/>
      <c r="Y708" s="31"/>
    </row>
    <row r="709" spans="2:25">
      <c r="I709" s="31"/>
      <c r="J709" s="31"/>
      <c r="K709" s="31"/>
      <c r="L709" s="31"/>
      <c r="M709" s="31"/>
      <c r="N709" s="31"/>
      <c r="O709" s="31"/>
      <c r="R709" s="31"/>
      <c r="S709" s="31"/>
      <c r="T709" s="31"/>
      <c r="U709" s="31"/>
      <c r="V709" s="31"/>
      <c r="W709" s="31"/>
      <c r="X709" s="31"/>
      <c r="Y709" s="31"/>
    </row>
    <row r="710" spans="2:25">
      <c r="I710" s="31"/>
      <c r="J710" s="31"/>
      <c r="K710" s="31"/>
      <c r="L710" s="31"/>
      <c r="M710" s="31"/>
      <c r="N710" s="31"/>
      <c r="O710" s="31"/>
      <c r="R710" s="31"/>
      <c r="S710" s="31"/>
      <c r="T710" s="31"/>
      <c r="U710" s="31"/>
      <c r="V710" s="31"/>
      <c r="W710" s="31"/>
      <c r="X710" s="31"/>
      <c r="Y710" s="31"/>
    </row>
    <row r="711" spans="2:25">
      <c r="R711" s="31"/>
      <c r="S711" s="31"/>
      <c r="T711" s="31"/>
      <c r="U711" s="31"/>
      <c r="V711" s="31"/>
      <c r="W711" s="31"/>
      <c r="X711" s="31"/>
      <c r="Y711" s="31"/>
    </row>
    <row r="714" spans="2:25">
      <c r="I714" s="31"/>
      <c r="J714" s="31"/>
      <c r="K714" s="31"/>
      <c r="L714" s="31"/>
      <c r="M714" s="31"/>
    </row>
    <row r="715" spans="2:25">
      <c r="I715" s="31"/>
      <c r="J715" s="31"/>
      <c r="K715" s="31"/>
      <c r="L715" s="31"/>
      <c r="M715" s="31"/>
      <c r="R715" s="31"/>
      <c r="S715" s="31"/>
      <c r="T715" s="31"/>
      <c r="U715" s="31"/>
      <c r="V715" s="31"/>
      <c r="W715" s="31"/>
    </row>
    <row r="716" spans="2:25">
      <c r="I716" s="31"/>
      <c r="J716" s="31"/>
      <c r="K716" s="31"/>
      <c r="L716" s="31"/>
      <c r="M716" s="31"/>
      <c r="R716" s="31"/>
      <c r="S716" s="31"/>
      <c r="T716" s="31"/>
      <c r="U716" s="31"/>
      <c r="V716" s="31"/>
      <c r="W716" s="31"/>
    </row>
    <row r="717" spans="2:25">
      <c r="B717" s="31"/>
      <c r="C717" s="31"/>
      <c r="D717" s="31"/>
      <c r="E717" s="31"/>
      <c r="I717" s="31"/>
      <c r="J717" s="31"/>
      <c r="K717" s="31"/>
      <c r="L717" s="31"/>
      <c r="M717" s="31"/>
      <c r="R717" s="31"/>
      <c r="S717" s="31"/>
      <c r="T717" s="31"/>
      <c r="U717" s="31"/>
      <c r="V717" s="31"/>
      <c r="W717" s="31"/>
    </row>
    <row r="718" spans="2:25">
      <c r="I718" s="31"/>
      <c r="J718" s="31"/>
      <c r="K718" s="31"/>
      <c r="L718" s="31"/>
      <c r="M718" s="31"/>
      <c r="R718" s="31"/>
      <c r="S718" s="31"/>
      <c r="T718" s="31"/>
      <c r="U718" s="31"/>
      <c r="V718" s="31"/>
      <c r="W718" s="31"/>
    </row>
    <row r="719" spans="2:25">
      <c r="R719" s="31"/>
      <c r="S719" s="31"/>
      <c r="T719" s="31"/>
      <c r="U719" s="31"/>
      <c r="V719" s="31"/>
      <c r="W719" s="31"/>
    </row>
    <row r="720" spans="2:25">
      <c r="R720" s="31"/>
      <c r="S720" s="31"/>
      <c r="T720" s="31"/>
      <c r="U720" s="31"/>
      <c r="V720" s="31"/>
      <c r="W720" s="31"/>
    </row>
    <row r="721" spans="2:23">
      <c r="R721" s="31"/>
      <c r="S721" s="31"/>
      <c r="T721" s="31"/>
      <c r="U721" s="31"/>
      <c r="V721" s="31"/>
      <c r="W721" s="31"/>
    </row>
    <row r="724" spans="2:23">
      <c r="I724" s="31"/>
      <c r="J724" s="31"/>
      <c r="K724" s="31"/>
      <c r="L724" s="31"/>
      <c r="M724" s="31"/>
      <c r="R724" s="31"/>
    </row>
    <row r="725" spans="2:23">
      <c r="I725" s="31"/>
      <c r="J725" s="31"/>
      <c r="K725" s="31"/>
      <c r="L725" s="31"/>
      <c r="M725" s="31"/>
      <c r="R725" s="31"/>
    </row>
    <row r="726" spans="2:23">
      <c r="B726" s="31"/>
      <c r="C726" s="31"/>
      <c r="D726" s="31"/>
      <c r="E726" s="31"/>
      <c r="I726" s="31"/>
      <c r="J726" s="31"/>
      <c r="K726" s="31"/>
      <c r="L726" s="31"/>
      <c r="M726" s="31"/>
      <c r="R726" s="31"/>
    </row>
    <row r="727" spans="2:23">
      <c r="I727" s="31"/>
      <c r="J727" s="31"/>
      <c r="K727" s="31"/>
      <c r="L727" s="31"/>
      <c r="M727" s="31"/>
      <c r="R727" s="31"/>
    </row>
    <row r="728" spans="2:23">
      <c r="I728" s="31"/>
      <c r="J728" s="31"/>
      <c r="K728" s="31"/>
      <c r="L728" s="31"/>
      <c r="M728" s="31"/>
      <c r="R728" s="31"/>
    </row>
    <row r="729" spans="2:23">
      <c r="R729" s="31"/>
    </row>
    <row r="733" spans="2:23">
      <c r="R733" s="31"/>
    </row>
    <row r="734" spans="2:23">
      <c r="I734" s="31"/>
      <c r="J734" s="31"/>
      <c r="K734" s="31"/>
      <c r="L734" s="31"/>
      <c r="M734" s="31"/>
      <c r="R734" s="31"/>
    </row>
    <row r="735" spans="2:23">
      <c r="B735" s="31"/>
      <c r="C735" s="31"/>
      <c r="D735" s="31"/>
      <c r="E735" s="31"/>
      <c r="I735" s="31"/>
      <c r="J735" s="31"/>
      <c r="K735" s="31"/>
      <c r="L735" s="31"/>
      <c r="M735" s="31"/>
      <c r="R735" s="31"/>
    </row>
    <row r="736" spans="2:23">
      <c r="I736" s="31"/>
      <c r="J736" s="31"/>
      <c r="K736" s="31"/>
      <c r="L736" s="31"/>
      <c r="M736" s="31"/>
      <c r="R736" s="31"/>
    </row>
    <row r="737" spans="2:18">
      <c r="I737" s="31"/>
      <c r="J737" s="31"/>
      <c r="K737" s="31"/>
      <c r="L737" s="31"/>
      <c r="M737" s="31"/>
      <c r="R737" s="31"/>
    </row>
    <row r="738" spans="2:18">
      <c r="I738" s="31"/>
      <c r="J738" s="31"/>
      <c r="K738" s="31"/>
      <c r="L738" s="31"/>
      <c r="M738" s="31"/>
      <c r="R738" s="31"/>
    </row>
    <row r="742" spans="2:18">
      <c r="B742" s="31"/>
      <c r="C742" s="31"/>
      <c r="D742" s="31"/>
      <c r="E742" s="31"/>
      <c r="R742" s="31"/>
    </row>
    <row r="743" spans="2:18">
      <c r="R743" s="31"/>
    </row>
    <row r="744" spans="2:18">
      <c r="I744" s="31"/>
      <c r="J744" s="31"/>
      <c r="K744" s="31"/>
      <c r="L744" s="31"/>
      <c r="M744" s="31"/>
      <c r="N744" s="31"/>
      <c r="O744" s="31"/>
      <c r="R744" s="31"/>
    </row>
    <row r="745" spans="2:18">
      <c r="I745" s="31"/>
      <c r="J745" s="31"/>
      <c r="K745" s="31"/>
      <c r="L745" s="31"/>
      <c r="M745" s="31"/>
      <c r="N745" s="31"/>
      <c r="O745" s="31"/>
      <c r="R745" s="31"/>
    </row>
    <row r="746" spans="2:18">
      <c r="I746" s="31"/>
      <c r="J746" s="31"/>
      <c r="K746" s="31"/>
      <c r="L746" s="31"/>
      <c r="M746" s="31"/>
      <c r="N746" s="31"/>
      <c r="O746" s="31"/>
      <c r="R746" s="31"/>
    </row>
    <row r="747" spans="2:18">
      <c r="I747" s="31"/>
      <c r="J747" s="31"/>
      <c r="K747" s="31"/>
      <c r="L747" s="31"/>
      <c r="M747" s="31"/>
      <c r="N747" s="31"/>
      <c r="O747" s="31"/>
      <c r="R747" s="31"/>
    </row>
    <row r="748" spans="2:18">
      <c r="I748" s="31"/>
      <c r="J748" s="31"/>
      <c r="K748" s="31"/>
      <c r="L748" s="31"/>
      <c r="M748" s="31"/>
      <c r="N748" s="31"/>
      <c r="O748" s="31"/>
      <c r="R748" s="31"/>
    </row>
    <row r="749" spans="2:18">
      <c r="B749" s="31"/>
      <c r="C749" s="31"/>
      <c r="D749" s="31"/>
      <c r="E749" s="31"/>
      <c r="I749" s="31"/>
      <c r="J749" s="31"/>
      <c r="K749" s="31"/>
      <c r="L749" s="31"/>
      <c r="M749" s="31"/>
      <c r="N749" s="31"/>
      <c r="O749" s="31"/>
    </row>
    <row r="751" spans="2:18">
      <c r="R751" s="31"/>
    </row>
    <row r="752" spans="2:18">
      <c r="R752" s="31"/>
    </row>
    <row r="753" spans="2:18">
      <c r="I753" s="31"/>
      <c r="J753" s="31"/>
      <c r="K753" s="31"/>
      <c r="L753" s="31"/>
      <c r="R753" s="31"/>
    </row>
    <row r="754" spans="2:18">
      <c r="I754" s="31"/>
      <c r="J754" s="31"/>
      <c r="K754" s="31"/>
      <c r="L754" s="31"/>
      <c r="R754" s="31"/>
    </row>
    <row r="755" spans="2:18">
      <c r="I755" s="31"/>
      <c r="J755" s="31"/>
      <c r="K755" s="31"/>
      <c r="L755" s="31"/>
      <c r="R755" s="31"/>
    </row>
    <row r="756" spans="2:18">
      <c r="B756" s="31"/>
      <c r="C756" s="31"/>
      <c r="D756" s="31"/>
      <c r="E756" s="31"/>
      <c r="I756" s="31"/>
      <c r="J756" s="31"/>
      <c r="K756" s="31"/>
      <c r="L756" s="31"/>
      <c r="R756" s="31"/>
    </row>
    <row r="757" spans="2:18">
      <c r="I757" s="31"/>
      <c r="J757" s="31"/>
      <c r="K757" s="31"/>
      <c r="L757" s="31"/>
      <c r="R757" s="31"/>
    </row>
    <row r="758" spans="2:18">
      <c r="I758" s="31"/>
      <c r="J758" s="31"/>
      <c r="K758" s="31"/>
      <c r="L758" s="31"/>
    </row>
    <row r="760" spans="2:18">
      <c r="R760" s="31"/>
    </row>
    <row r="761" spans="2:18">
      <c r="R761" s="31"/>
    </row>
    <row r="762" spans="2:18">
      <c r="R762" s="31"/>
    </row>
    <row r="763" spans="2:18">
      <c r="B763" s="31"/>
      <c r="C763" s="31"/>
      <c r="D763" s="31"/>
      <c r="E763" s="31"/>
      <c r="I763" s="31"/>
      <c r="J763" s="31"/>
      <c r="K763" s="31"/>
      <c r="L763" s="31"/>
      <c r="M763" s="31"/>
      <c r="R763" s="31"/>
    </row>
    <row r="764" spans="2:18">
      <c r="B764" s="31"/>
      <c r="C764" s="31"/>
      <c r="D764" s="31"/>
      <c r="E764" s="31"/>
      <c r="I764" s="31"/>
      <c r="J764" s="31"/>
      <c r="K764" s="31"/>
      <c r="L764" s="31"/>
      <c r="M764" s="31"/>
      <c r="R764" s="31"/>
    </row>
    <row r="765" spans="2:18">
      <c r="B765" s="31"/>
      <c r="C765" s="31"/>
      <c r="D765" s="31"/>
      <c r="E765" s="31"/>
      <c r="I765" s="31"/>
      <c r="J765" s="31"/>
      <c r="K765" s="31"/>
      <c r="L765" s="31"/>
      <c r="M765" s="31"/>
      <c r="R765" s="31"/>
    </row>
    <row r="766" spans="2:18">
      <c r="B766" s="31"/>
      <c r="C766" s="31"/>
      <c r="D766" s="31"/>
      <c r="E766" s="31"/>
      <c r="I766" s="31"/>
      <c r="J766" s="31"/>
      <c r="K766" s="31"/>
      <c r="L766" s="31"/>
      <c r="M766" s="31"/>
      <c r="R766" s="31"/>
    </row>
    <row r="767" spans="2:18">
      <c r="B767" s="31"/>
      <c r="C767" s="31"/>
      <c r="D767" s="31"/>
      <c r="E767" s="31"/>
    </row>
    <row r="769" spans="2:18">
      <c r="R769" s="31"/>
    </row>
    <row r="770" spans="2:18">
      <c r="B770" s="31"/>
      <c r="C770" s="31"/>
      <c r="D770" s="31"/>
      <c r="E770" s="31"/>
      <c r="R770" s="31"/>
    </row>
    <row r="771" spans="2:18">
      <c r="R771" s="31"/>
    </row>
    <row r="772" spans="2:18">
      <c r="I772" s="31"/>
      <c r="J772" s="31"/>
      <c r="K772" s="31"/>
      <c r="L772" s="31"/>
      <c r="M772" s="31"/>
      <c r="R772" s="31"/>
    </row>
    <row r="773" spans="2:18">
      <c r="I773" s="31"/>
      <c r="J773" s="31"/>
      <c r="K773" s="31"/>
      <c r="L773" s="31"/>
      <c r="M773" s="31"/>
      <c r="R773" s="31"/>
    </row>
    <row r="774" spans="2:18">
      <c r="I774" s="31"/>
      <c r="J774" s="31"/>
      <c r="K774" s="31"/>
      <c r="L774" s="31"/>
      <c r="M774" s="31"/>
      <c r="R774" s="31"/>
    </row>
    <row r="775" spans="2:18">
      <c r="I775" s="31"/>
      <c r="J775" s="31"/>
      <c r="K775" s="31"/>
      <c r="L775" s="31"/>
      <c r="M775" s="31"/>
    </row>
    <row r="777" spans="2:18">
      <c r="B777" s="31"/>
      <c r="C777" s="31"/>
      <c r="D777" s="31"/>
      <c r="E777" s="31"/>
    </row>
    <row r="778" spans="2:18">
      <c r="B778" s="31"/>
      <c r="C778" s="31"/>
      <c r="D778" s="31"/>
      <c r="E778" s="31"/>
      <c r="R778" s="31"/>
    </row>
    <row r="779" spans="2:18">
      <c r="B779" s="31"/>
      <c r="C779" s="31"/>
      <c r="D779" s="31"/>
      <c r="E779" s="31"/>
      <c r="R779" s="31"/>
    </row>
    <row r="780" spans="2:18">
      <c r="B780" s="31"/>
      <c r="C780" s="31"/>
      <c r="D780" s="31"/>
      <c r="E780" s="31"/>
      <c r="R780" s="31"/>
    </row>
    <row r="781" spans="2:18">
      <c r="B781" s="31"/>
      <c r="C781" s="31"/>
      <c r="D781" s="31"/>
      <c r="E781" s="31"/>
      <c r="I781" s="31"/>
      <c r="J781" s="31"/>
      <c r="R781" s="31"/>
    </row>
    <row r="782" spans="2:18">
      <c r="I782" s="31"/>
      <c r="J782" s="31"/>
      <c r="R782" s="31"/>
    </row>
    <row r="783" spans="2:18">
      <c r="R783" s="31"/>
    </row>
    <row r="784" spans="2:18">
      <c r="B784" s="31"/>
      <c r="C784" s="31"/>
      <c r="D784" s="31"/>
      <c r="E784" s="31"/>
      <c r="R784" s="31"/>
    </row>
    <row r="787" spans="2:25">
      <c r="R787" s="31"/>
      <c r="S787" s="31"/>
      <c r="T787" s="31"/>
      <c r="U787" s="31"/>
      <c r="V787" s="31"/>
      <c r="W787" s="31"/>
      <c r="X787" s="31"/>
      <c r="Y787" s="31"/>
    </row>
    <row r="791" spans="2:25">
      <c r="B791" s="31"/>
      <c r="C791" s="31"/>
      <c r="D791" s="31"/>
      <c r="E791" s="31"/>
      <c r="I791" s="31"/>
      <c r="J791" s="31"/>
    </row>
    <row r="792" spans="2:25">
      <c r="I792" s="31"/>
      <c r="J792" s="31"/>
    </row>
    <row r="794" spans="2:25">
      <c r="R794" s="31"/>
      <c r="S794" s="31"/>
      <c r="T794" s="31"/>
      <c r="U794" s="31"/>
      <c r="V794" s="31"/>
      <c r="W794" s="31"/>
      <c r="X794" s="31"/>
      <c r="Y794" s="31"/>
    </row>
    <row r="798" spans="2:25">
      <c r="B798" s="31"/>
      <c r="C798" s="31"/>
      <c r="D798" s="31"/>
      <c r="E798" s="31"/>
    </row>
    <row r="799" spans="2:25">
      <c r="B799" s="31"/>
      <c r="C799" s="31"/>
      <c r="D799" s="31"/>
      <c r="E799" s="31"/>
    </row>
    <row r="800" spans="2:25">
      <c r="B800" s="31"/>
      <c r="C800" s="31"/>
      <c r="D800" s="31"/>
      <c r="E800" s="31"/>
    </row>
    <row r="801" spans="2:25">
      <c r="B801" s="31"/>
      <c r="C801" s="31"/>
      <c r="D801" s="31"/>
      <c r="E801" s="31"/>
      <c r="I801" s="31"/>
      <c r="J801" s="31"/>
      <c r="R801" s="31"/>
      <c r="S801" s="31"/>
      <c r="T801" s="31"/>
      <c r="U801" s="31"/>
      <c r="V801" s="31"/>
      <c r="W801" s="31"/>
      <c r="X801" s="31"/>
      <c r="Y801" s="31"/>
    </row>
    <row r="802" spans="2:25">
      <c r="B802" s="31"/>
      <c r="C802" s="31"/>
      <c r="D802" s="31"/>
      <c r="E802" s="31"/>
      <c r="I802" s="31"/>
      <c r="J802" s="31"/>
    </row>
    <row r="807" spans="2:25">
      <c r="B807" s="31"/>
      <c r="C807" s="31"/>
      <c r="D807" s="31"/>
      <c r="E807" s="31"/>
    </row>
    <row r="808" spans="2:25">
      <c r="B808" s="31"/>
      <c r="C808" s="31"/>
      <c r="D808" s="31"/>
      <c r="E808" s="31"/>
      <c r="R808" s="31"/>
      <c r="S808" s="31"/>
      <c r="T808" s="31"/>
      <c r="U808" s="31"/>
      <c r="V808" s="31"/>
      <c r="W808" s="31"/>
      <c r="X808" s="31"/>
      <c r="Y808" s="31"/>
    </row>
    <row r="809" spans="2:25">
      <c r="B809" s="31"/>
      <c r="C809" s="31"/>
      <c r="D809" s="31"/>
      <c r="E809" s="31"/>
    </row>
    <row r="810" spans="2:25">
      <c r="B810" s="31"/>
      <c r="C810" s="31"/>
      <c r="D810" s="31"/>
      <c r="E810" s="31"/>
    </row>
    <row r="811" spans="2:25">
      <c r="B811" s="31"/>
      <c r="C811" s="31"/>
      <c r="D811" s="31"/>
      <c r="E811" s="31"/>
      <c r="I811" s="31"/>
      <c r="J811" s="31"/>
      <c r="K811" s="31"/>
      <c r="L811" s="31"/>
      <c r="M811" s="31"/>
    </row>
    <row r="812" spans="2:25">
      <c r="I812" s="31"/>
      <c r="J812" s="31"/>
      <c r="K812" s="31"/>
      <c r="L812" s="31"/>
      <c r="M812" s="31"/>
    </row>
    <row r="813" spans="2:25">
      <c r="I813" s="31"/>
      <c r="J813" s="31"/>
      <c r="K813" s="31"/>
      <c r="L813" s="31"/>
      <c r="M813" s="31"/>
    </row>
    <row r="814" spans="2:25">
      <c r="I814" s="31"/>
      <c r="J814" s="31"/>
      <c r="K814" s="31"/>
      <c r="L814" s="31"/>
      <c r="M814" s="31"/>
    </row>
    <row r="815" spans="2:25">
      <c r="R815" s="31"/>
      <c r="S815" s="31"/>
      <c r="T815" s="31"/>
      <c r="U815" s="31"/>
      <c r="V815" s="31"/>
      <c r="W815" s="31"/>
      <c r="X815" s="31"/>
      <c r="Y815" s="31"/>
    </row>
    <row r="816" spans="2:25">
      <c r="B816" s="31"/>
      <c r="C816" s="31"/>
      <c r="D816" s="31"/>
      <c r="E816" s="31"/>
    </row>
    <row r="817" spans="2:25">
      <c r="B817" s="31"/>
      <c r="C817" s="31"/>
      <c r="D817" s="31"/>
      <c r="E817" s="31"/>
    </row>
    <row r="818" spans="2:25">
      <c r="B818" s="31"/>
      <c r="C818" s="31"/>
      <c r="D818" s="31"/>
      <c r="E818" s="31"/>
    </row>
    <row r="819" spans="2:25">
      <c r="B819" s="31"/>
      <c r="C819" s="31"/>
      <c r="D819" s="31"/>
      <c r="E819" s="31"/>
    </row>
    <row r="820" spans="2:25">
      <c r="B820" s="31"/>
      <c r="C820" s="31"/>
      <c r="D820" s="31"/>
      <c r="E820" s="31"/>
      <c r="I820" s="31"/>
      <c r="J820" s="31"/>
      <c r="K820" s="31"/>
    </row>
    <row r="821" spans="2:25">
      <c r="I821" s="31"/>
      <c r="J821" s="31"/>
      <c r="K821" s="31"/>
    </row>
    <row r="822" spans="2:25">
      <c r="I822" s="31"/>
      <c r="J822" s="31"/>
      <c r="K822" s="31"/>
      <c r="R822" s="31"/>
      <c r="S822" s="31"/>
      <c r="T822" s="31"/>
      <c r="U822" s="31"/>
      <c r="V822" s="31"/>
      <c r="W822" s="31"/>
      <c r="X822" s="31"/>
      <c r="Y822" s="31"/>
    </row>
    <row r="825" spans="2:25">
      <c r="B825" s="31"/>
      <c r="C825" s="31"/>
      <c r="D825" s="31"/>
      <c r="E825" s="31"/>
    </row>
    <row r="826" spans="2:25">
      <c r="B826" s="31"/>
      <c r="C826" s="31"/>
      <c r="D826" s="31"/>
      <c r="E826" s="31"/>
    </row>
    <row r="827" spans="2:25">
      <c r="B827" s="31"/>
      <c r="C827" s="31"/>
      <c r="D827" s="31"/>
      <c r="E827" s="31"/>
    </row>
    <row r="828" spans="2:25">
      <c r="B828" s="31"/>
      <c r="C828" s="31"/>
      <c r="D828" s="31"/>
      <c r="E828" s="31"/>
    </row>
    <row r="829" spans="2:25">
      <c r="B829" s="31"/>
      <c r="C829" s="31"/>
      <c r="D829" s="31"/>
      <c r="E829" s="31"/>
      <c r="I829" s="31"/>
      <c r="R829" s="31"/>
      <c r="S829" s="31"/>
      <c r="T829" s="31"/>
      <c r="U829" s="31"/>
      <c r="V829" s="31"/>
      <c r="W829" s="31"/>
      <c r="X829" s="31"/>
      <c r="Y829" s="31"/>
    </row>
    <row r="830" spans="2:25">
      <c r="B830" s="31"/>
      <c r="C830" s="31"/>
      <c r="D830" s="31"/>
      <c r="E830" s="31"/>
    </row>
    <row r="831" spans="2:25">
      <c r="B831" s="31"/>
      <c r="C831" s="31"/>
      <c r="D831" s="31"/>
      <c r="E831" s="31"/>
    </row>
    <row r="835" spans="2:25">
      <c r="B835" s="31"/>
      <c r="C835" s="31"/>
      <c r="D835" s="31"/>
      <c r="E835" s="31"/>
    </row>
    <row r="836" spans="2:25">
      <c r="B836" s="31"/>
      <c r="C836" s="31"/>
      <c r="D836" s="31"/>
      <c r="E836" s="31"/>
      <c r="I836" s="31"/>
      <c r="R836" s="31"/>
      <c r="S836" s="31"/>
      <c r="T836" s="31"/>
      <c r="U836" s="31"/>
      <c r="V836" s="31"/>
      <c r="W836" s="31"/>
      <c r="X836" s="31"/>
      <c r="Y836" s="31"/>
    </row>
    <row r="837" spans="2:25">
      <c r="B837" s="31"/>
      <c r="C837" s="31"/>
      <c r="D837" s="31"/>
      <c r="E837" s="31"/>
    </row>
    <row r="838" spans="2:25">
      <c r="B838" s="31"/>
      <c r="C838" s="31"/>
      <c r="D838" s="31"/>
      <c r="E838" s="31"/>
    </row>
    <row r="839" spans="2:25">
      <c r="B839" s="31"/>
      <c r="C839" s="31"/>
      <c r="D839" s="31"/>
      <c r="E839" s="31"/>
    </row>
    <row r="840" spans="2:25">
      <c r="B840" s="31"/>
      <c r="C840" s="31"/>
      <c r="D840" s="31"/>
      <c r="E840" s="31"/>
    </row>
    <row r="841" spans="2:25">
      <c r="B841" s="31"/>
      <c r="C841" s="31"/>
      <c r="D841" s="31"/>
      <c r="E841" s="31"/>
    </row>
    <row r="842" spans="2:25">
      <c r="B842" s="31"/>
      <c r="C842" s="31"/>
      <c r="D842" s="31"/>
      <c r="E842" s="31"/>
    </row>
    <row r="843" spans="2:25">
      <c r="I843" s="31"/>
      <c r="R843" s="31"/>
      <c r="S843" s="31"/>
      <c r="T843" s="31"/>
      <c r="U843" s="31"/>
      <c r="V843" s="31"/>
      <c r="W843" s="31"/>
      <c r="X843" s="31"/>
      <c r="Y843" s="31"/>
    </row>
    <row r="845" spans="2:25">
      <c r="B845" s="31"/>
      <c r="C845" s="31"/>
      <c r="D845" s="31"/>
      <c r="E845" s="31"/>
    </row>
    <row r="846" spans="2:25">
      <c r="B846" s="31"/>
      <c r="C846" s="31"/>
      <c r="D846" s="31"/>
      <c r="E846" s="31"/>
    </row>
    <row r="847" spans="2:25">
      <c r="B847" s="31"/>
      <c r="C847" s="31"/>
      <c r="D847" s="31"/>
      <c r="E847" s="31"/>
    </row>
    <row r="848" spans="2:25">
      <c r="B848" s="31"/>
      <c r="C848" s="31"/>
      <c r="D848" s="31"/>
      <c r="E848" s="31"/>
    </row>
    <row r="849" spans="2:25">
      <c r="B849" s="31"/>
      <c r="C849" s="31"/>
      <c r="D849" s="31"/>
      <c r="E849" s="31"/>
    </row>
    <row r="850" spans="2:25">
      <c r="B850" s="31"/>
      <c r="C850" s="31"/>
      <c r="D850" s="31"/>
      <c r="E850" s="31"/>
      <c r="I850" s="31"/>
      <c r="R850" s="31"/>
      <c r="S850" s="31"/>
      <c r="T850" s="31"/>
      <c r="U850" s="31"/>
      <c r="V850" s="31"/>
      <c r="W850" s="31"/>
      <c r="X850" s="31"/>
      <c r="Y850" s="31"/>
    </row>
    <row r="851" spans="2:25">
      <c r="B851" s="31"/>
      <c r="C851" s="31"/>
      <c r="D851" s="31"/>
      <c r="E851" s="31"/>
    </row>
    <row r="855" spans="2:25">
      <c r="B855" s="31"/>
      <c r="C855" s="31"/>
      <c r="D855" s="31"/>
      <c r="E855" s="31"/>
    </row>
    <row r="856" spans="2:25">
      <c r="B856" s="31"/>
      <c r="C856" s="31"/>
      <c r="D856" s="31"/>
      <c r="E856" s="31"/>
    </row>
    <row r="857" spans="2:25">
      <c r="B857" s="31"/>
      <c r="C857" s="31"/>
      <c r="D857" s="31"/>
      <c r="E857" s="31"/>
      <c r="I857" s="31"/>
      <c r="R857" s="31"/>
      <c r="S857" s="31"/>
      <c r="T857" s="31"/>
      <c r="U857" s="31"/>
      <c r="V857" s="31"/>
      <c r="W857" s="31"/>
      <c r="X857" s="31"/>
      <c r="Y857" s="31"/>
    </row>
    <row r="858" spans="2:25">
      <c r="B858" s="31"/>
      <c r="C858" s="31"/>
      <c r="D858" s="31"/>
      <c r="E858" s="31"/>
      <c r="R858" s="31"/>
      <c r="S858" s="31"/>
      <c r="T858" s="31"/>
      <c r="U858" s="31"/>
      <c r="V858" s="31"/>
      <c r="W858" s="31"/>
      <c r="X858" s="31"/>
      <c r="Y858" s="31"/>
    </row>
    <row r="859" spans="2:25">
      <c r="B859" s="31"/>
      <c r="C859" s="31"/>
      <c r="D859" s="31"/>
      <c r="E859" s="31"/>
      <c r="R859" s="31"/>
      <c r="S859" s="31"/>
      <c r="T859" s="31"/>
      <c r="U859" s="31"/>
      <c r="V859" s="31"/>
      <c r="W859" s="31"/>
      <c r="X859" s="31"/>
      <c r="Y859" s="31"/>
    </row>
    <row r="860" spans="2:25">
      <c r="R860" s="31"/>
      <c r="S860" s="31"/>
      <c r="T860" s="31"/>
      <c r="U860" s="31"/>
      <c r="V860" s="31"/>
      <c r="W860" s="31"/>
      <c r="X860" s="31"/>
      <c r="Y860" s="31"/>
    </row>
    <row r="861" spans="2:25">
      <c r="R861" s="31"/>
      <c r="S861" s="31"/>
      <c r="T861" s="31"/>
      <c r="U861" s="31"/>
      <c r="V861" s="31"/>
      <c r="W861" s="31"/>
      <c r="X861" s="31"/>
      <c r="Y861" s="31"/>
    </row>
    <row r="864" spans="2:25">
      <c r="B864" s="31"/>
      <c r="C864" s="31"/>
      <c r="D864" s="31"/>
      <c r="E864" s="31"/>
      <c r="I864" s="31"/>
      <c r="R864" s="31"/>
      <c r="S864" s="31"/>
      <c r="T864" s="31"/>
      <c r="U864" s="31"/>
      <c r="V864" s="31"/>
      <c r="W864" s="31"/>
      <c r="X864" s="31"/>
      <c r="Y864" s="31"/>
    </row>
    <row r="865" spans="2:25">
      <c r="B865" s="31"/>
      <c r="C865" s="31"/>
      <c r="D865" s="31"/>
      <c r="E865" s="31"/>
    </row>
    <row r="866" spans="2:25">
      <c r="B866" s="31"/>
      <c r="C866" s="31"/>
      <c r="D866" s="31"/>
      <c r="E866" s="31"/>
    </row>
    <row r="867" spans="2:25">
      <c r="B867" s="31"/>
      <c r="C867" s="31"/>
      <c r="D867" s="31"/>
      <c r="E867" s="31"/>
    </row>
    <row r="868" spans="2:25">
      <c r="B868" s="31"/>
      <c r="C868" s="31"/>
      <c r="D868" s="31"/>
      <c r="E868" s="31"/>
    </row>
    <row r="871" spans="2:25">
      <c r="B871" s="31"/>
      <c r="C871" s="31"/>
      <c r="D871" s="31"/>
      <c r="E871" s="31"/>
      <c r="I871" s="31"/>
      <c r="R871" s="31"/>
      <c r="S871" s="31"/>
      <c r="T871" s="31"/>
      <c r="U871" s="31"/>
      <c r="V871" s="31"/>
      <c r="W871" s="31"/>
      <c r="X871" s="31"/>
      <c r="Y871" s="31"/>
    </row>
    <row r="872" spans="2:25">
      <c r="B872" s="31"/>
      <c r="C872" s="31"/>
      <c r="D872" s="31"/>
      <c r="E872" s="31"/>
    </row>
    <row r="873" spans="2:25">
      <c r="B873" s="31"/>
      <c r="C873" s="31"/>
      <c r="D873" s="31"/>
      <c r="E873" s="31"/>
    </row>
    <row r="874" spans="2:25">
      <c r="B874" s="31"/>
      <c r="C874" s="31"/>
      <c r="D874" s="31"/>
      <c r="E874" s="31"/>
    </row>
    <row r="875" spans="2:25">
      <c r="B875" s="31"/>
      <c r="C875" s="31"/>
      <c r="D875" s="31"/>
      <c r="E875" s="31"/>
    </row>
    <row r="878" spans="2:25">
      <c r="B878" s="31"/>
      <c r="C878" s="31"/>
      <c r="D878" s="31"/>
      <c r="I878" s="31"/>
      <c r="R878" s="31"/>
      <c r="S878" s="31"/>
      <c r="T878" s="31"/>
      <c r="U878" s="31"/>
      <c r="V878" s="31"/>
      <c r="W878" s="31"/>
      <c r="X878" s="31"/>
      <c r="Y878" s="31"/>
    </row>
    <row r="879" spans="2:25">
      <c r="B879" s="31"/>
      <c r="C879" s="31"/>
      <c r="D879" s="31"/>
    </row>
    <row r="880" spans="2:25">
      <c r="B880" s="31"/>
      <c r="C880" s="31"/>
      <c r="D880" s="31"/>
    </row>
    <row r="881" spans="2:25">
      <c r="B881" s="31"/>
      <c r="C881" s="31"/>
      <c r="D881" s="31"/>
    </row>
    <row r="882" spans="2:25">
      <c r="B882" s="31"/>
      <c r="C882" s="31"/>
      <c r="D882" s="31"/>
    </row>
    <row r="885" spans="2:25">
      <c r="B885" s="31"/>
      <c r="C885" s="31"/>
      <c r="D885" s="31"/>
      <c r="E885" s="31"/>
      <c r="I885" s="31"/>
      <c r="R885" s="31"/>
      <c r="S885" s="31"/>
      <c r="T885" s="31"/>
      <c r="U885" s="31"/>
      <c r="V885" s="31"/>
      <c r="W885" s="31"/>
      <c r="X885" s="31"/>
      <c r="Y885" s="31"/>
    </row>
    <row r="892" spans="2:25">
      <c r="B892" s="31"/>
      <c r="C892" s="31"/>
      <c r="D892" s="31"/>
      <c r="E892" s="31"/>
      <c r="I892" s="31"/>
      <c r="R892" s="31"/>
      <c r="S892" s="31"/>
      <c r="T892" s="31"/>
      <c r="U892" s="31"/>
      <c r="V892" s="31"/>
      <c r="W892" s="31"/>
      <c r="X892" s="31"/>
      <c r="Y892" s="31"/>
    </row>
    <row r="899" spans="2:25">
      <c r="B899" s="31"/>
      <c r="C899" s="31"/>
      <c r="D899" s="31"/>
      <c r="E899" s="31"/>
      <c r="R899" s="31"/>
      <c r="S899" s="31"/>
      <c r="T899" s="31"/>
      <c r="U899" s="31"/>
      <c r="V899" s="31"/>
      <c r="W899" s="31"/>
      <c r="X899" s="31"/>
      <c r="Y899" s="31"/>
    </row>
    <row r="900" spans="2:25">
      <c r="I900" s="31"/>
    </row>
    <row r="901" spans="2:25">
      <c r="I901" s="31"/>
    </row>
    <row r="902" spans="2:25">
      <c r="I902" s="31"/>
    </row>
    <row r="903" spans="2:25">
      <c r="I903" s="31"/>
    </row>
    <row r="904" spans="2:25">
      <c r="I904" s="31"/>
    </row>
    <row r="906" spans="2:25">
      <c r="B906" s="31"/>
      <c r="C906" s="31"/>
      <c r="D906" s="31"/>
      <c r="E906" s="31"/>
      <c r="R906" s="31"/>
      <c r="S906" s="31"/>
      <c r="T906" s="31"/>
      <c r="U906" s="31"/>
      <c r="V906" s="31"/>
      <c r="W906" s="31"/>
      <c r="X906" s="31"/>
      <c r="Y906" s="31"/>
    </row>
    <row r="907" spans="2:25">
      <c r="I907" s="31"/>
      <c r="J907" s="31"/>
      <c r="K907" s="31"/>
      <c r="L907" s="31"/>
      <c r="M907" s="31"/>
      <c r="N907" s="31"/>
      <c r="O907" s="31"/>
    </row>
    <row r="913" spans="2:25">
      <c r="B913" s="31"/>
      <c r="C913" s="31"/>
      <c r="D913" s="31"/>
      <c r="E913" s="31"/>
      <c r="R913" s="31"/>
      <c r="S913" s="31"/>
      <c r="T913" s="31"/>
      <c r="U913" s="31"/>
      <c r="V913" s="31"/>
      <c r="W913" s="31"/>
      <c r="X913" s="31"/>
      <c r="Y913" s="31"/>
    </row>
    <row r="914" spans="2:25">
      <c r="I914" s="31"/>
      <c r="J914" s="31"/>
      <c r="K914" s="31"/>
      <c r="L914" s="31"/>
      <c r="M914" s="31"/>
      <c r="N914" s="31"/>
      <c r="O914" s="31"/>
    </row>
    <row r="920" spans="2:25">
      <c r="R920" s="31"/>
      <c r="S920" s="31"/>
      <c r="T920" s="31"/>
      <c r="U920" s="31"/>
      <c r="V920" s="31"/>
      <c r="W920" s="31"/>
      <c r="X920" s="31"/>
      <c r="Y920" s="31"/>
    </row>
    <row r="921" spans="2:25">
      <c r="I921" s="31"/>
      <c r="J921" s="31"/>
      <c r="K921" s="31"/>
      <c r="L921" s="31"/>
      <c r="M921" s="31"/>
      <c r="N921" s="31"/>
      <c r="O921" s="31"/>
    </row>
    <row r="927" spans="2:25">
      <c r="R927" s="31"/>
      <c r="S927" s="31"/>
      <c r="T927" s="31"/>
      <c r="U927" s="31"/>
      <c r="V927" s="31"/>
      <c r="W927" s="31"/>
      <c r="X927" s="31"/>
      <c r="Y927" s="31"/>
    </row>
    <row r="928" spans="2:25">
      <c r="I928" s="31"/>
      <c r="J928" s="31"/>
      <c r="K928" s="31"/>
      <c r="L928" s="31"/>
      <c r="M928" s="31"/>
      <c r="N928" s="31"/>
      <c r="O928" s="31"/>
    </row>
    <row r="934" spans="9:25">
      <c r="R934" s="31"/>
      <c r="S934" s="31"/>
      <c r="T934" s="31"/>
      <c r="U934" s="31"/>
      <c r="V934" s="31"/>
      <c r="W934" s="31"/>
      <c r="X934" s="31"/>
      <c r="Y934" s="31"/>
    </row>
    <row r="935" spans="9:25">
      <c r="I935" s="31"/>
      <c r="J935" s="31"/>
      <c r="K935" s="31"/>
      <c r="L935" s="31"/>
      <c r="M935" s="31"/>
      <c r="N935" s="31"/>
      <c r="O935" s="31"/>
      <c r="R935" s="31"/>
      <c r="S935" s="31"/>
      <c r="T935" s="31"/>
      <c r="U935" s="31"/>
      <c r="V935" s="31"/>
      <c r="W935" s="31"/>
      <c r="X935" s="31"/>
      <c r="Y935" s="31"/>
    </row>
    <row r="936" spans="9:25">
      <c r="R936" s="31"/>
      <c r="S936" s="31"/>
      <c r="T936" s="31"/>
      <c r="U936" s="31"/>
      <c r="V936" s="31"/>
      <c r="W936" s="31"/>
      <c r="X936" s="31"/>
      <c r="Y936" s="31"/>
    </row>
    <row r="937" spans="9:25">
      <c r="R937" s="31"/>
      <c r="S937" s="31"/>
      <c r="T937" s="31"/>
      <c r="U937" s="31"/>
      <c r="V937" s="31"/>
      <c r="W937" s="31"/>
      <c r="X937" s="31"/>
      <c r="Y937" s="31"/>
    </row>
    <row r="938" spans="9:25">
      <c r="R938" s="31"/>
      <c r="S938" s="31"/>
      <c r="T938" s="31"/>
      <c r="U938" s="31"/>
      <c r="V938" s="31"/>
      <c r="W938" s="31"/>
      <c r="X938" s="31"/>
      <c r="Y938" s="31"/>
    </row>
    <row r="940" spans="9:25">
      <c r="R940" s="31"/>
    </row>
    <row r="942" spans="9:25">
      <c r="I942" s="31"/>
      <c r="J942" s="31"/>
      <c r="K942" s="31"/>
      <c r="L942" s="31"/>
      <c r="M942" s="31"/>
      <c r="N942" s="31"/>
      <c r="O942" s="31"/>
    </row>
    <row r="947" spans="9:18">
      <c r="R947" s="31"/>
    </row>
    <row r="949" spans="9:18">
      <c r="I949" s="31"/>
      <c r="J949" s="31"/>
      <c r="K949" s="31"/>
      <c r="L949" s="31"/>
      <c r="M949" s="31"/>
      <c r="N949" s="31"/>
      <c r="O949" s="31"/>
    </row>
    <row r="954" spans="9:18">
      <c r="R954" s="31"/>
    </row>
    <row r="956" spans="9:18">
      <c r="I956" s="31"/>
      <c r="J956" s="31"/>
      <c r="K956" s="31"/>
      <c r="L956" s="31"/>
      <c r="M956" s="31"/>
      <c r="N956" s="31"/>
      <c r="O956" s="31"/>
    </row>
    <row r="961" spans="9:18">
      <c r="R961" s="31"/>
    </row>
    <row r="963" spans="9:18">
      <c r="I963" s="31"/>
      <c r="J963" s="31"/>
      <c r="K963" s="31"/>
      <c r="L963" s="31"/>
      <c r="M963" s="31"/>
      <c r="N963" s="31"/>
      <c r="O963" s="31"/>
    </row>
    <row r="968" spans="9:18">
      <c r="R968" s="31"/>
    </row>
    <row r="970" spans="9:18">
      <c r="I970" s="31"/>
      <c r="J970" s="31"/>
      <c r="K970" s="31"/>
      <c r="L970" s="31"/>
      <c r="M970" s="31"/>
      <c r="N970" s="31"/>
      <c r="O970" s="31"/>
    </row>
    <row r="971" spans="9:18">
      <c r="I971" s="31"/>
      <c r="J971" s="31"/>
      <c r="K971" s="31"/>
      <c r="L971" s="31"/>
      <c r="M971" s="31"/>
      <c r="N971" s="31"/>
      <c r="O971" s="31"/>
    </row>
    <row r="972" spans="9:18">
      <c r="I972" s="31"/>
      <c r="J972" s="31"/>
      <c r="K972" s="31"/>
      <c r="L972" s="31"/>
      <c r="M972" s="31"/>
      <c r="N972" s="31"/>
      <c r="O972" s="31"/>
    </row>
    <row r="973" spans="9:18">
      <c r="I973" s="31"/>
      <c r="J973" s="31"/>
      <c r="K973" s="31"/>
      <c r="L973" s="31"/>
      <c r="M973" s="31"/>
      <c r="N973" s="31"/>
      <c r="O973" s="31"/>
    </row>
    <row r="974" spans="9:18">
      <c r="I974" s="31"/>
      <c r="J974" s="31"/>
      <c r="K974" s="31"/>
      <c r="L974" s="31"/>
      <c r="M974" s="31"/>
      <c r="N974" s="31"/>
      <c r="O974" s="31"/>
    </row>
    <row r="975" spans="9:18">
      <c r="R975" s="31"/>
    </row>
    <row r="977" spans="9:18">
      <c r="I977" s="31"/>
      <c r="J977" s="31"/>
      <c r="K977" s="31"/>
      <c r="L977" s="31"/>
      <c r="M977" s="31"/>
      <c r="N977" s="31"/>
      <c r="O977" s="31"/>
    </row>
    <row r="982" spans="9:18">
      <c r="R982" s="31"/>
    </row>
    <row r="984" spans="9:18">
      <c r="I984" s="31"/>
      <c r="J984" s="31"/>
      <c r="K984" s="31"/>
      <c r="L984" s="31"/>
      <c r="M984" s="31"/>
    </row>
    <row r="989" spans="9:18">
      <c r="R989" s="31"/>
    </row>
    <row r="991" spans="9:18">
      <c r="I991" s="31"/>
      <c r="J991" s="31"/>
      <c r="K991" s="31"/>
      <c r="L991" s="31"/>
      <c r="M991" s="31"/>
    </row>
    <row r="996" spans="9:18">
      <c r="R996" s="31"/>
    </row>
    <row r="998" spans="9:18">
      <c r="I998" s="31"/>
      <c r="J998" s="31"/>
      <c r="K998" s="31"/>
      <c r="L998" s="31"/>
      <c r="M998" s="31"/>
    </row>
    <row r="1003" spans="9:18">
      <c r="R1003" s="31"/>
    </row>
    <row r="1005" spans="9:18">
      <c r="I1005" s="31"/>
      <c r="J1005" s="31"/>
      <c r="K1005" s="31"/>
      <c r="L1005" s="31"/>
      <c r="M1005" s="31"/>
    </row>
    <row r="1011" spans="9:18">
      <c r="R1011" s="31"/>
    </row>
    <row r="1012" spans="9:18">
      <c r="I1012" s="31"/>
      <c r="J1012" s="31"/>
      <c r="K1012" s="31"/>
      <c r="L1012" s="31"/>
      <c r="M1012" s="31"/>
      <c r="R1012" s="31"/>
    </row>
    <row r="1013" spans="9:18">
      <c r="R1013" s="31"/>
    </row>
    <row r="1014" spans="9:18">
      <c r="R1014" s="31"/>
    </row>
    <row r="1015" spans="9:18">
      <c r="R1015" s="31"/>
    </row>
    <row r="1016" spans="9:18">
      <c r="R1016" s="31"/>
    </row>
    <row r="1017" spans="9:18">
      <c r="R1017" s="31"/>
    </row>
    <row r="1018" spans="9:18">
      <c r="R1018" s="31"/>
    </row>
    <row r="1019" spans="9:18">
      <c r="I1019" s="31"/>
      <c r="J1019" s="31"/>
      <c r="K1019" s="31"/>
      <c r="L1019" s="31"/>
      <c r="M1019" s="31"/>
      <c r="R1019" s="31"/>
    </row>
    <row r="1020" spans="9:18">
      <c r="R1020" s="31"/>
    </row>
    <row r="1026" spans="9:13">
      <c r="I1026" s="31"/>
      <c r="J1026" s="31"/>
      <c r="K1026" s="31"/>
      <c r="L1026" s="31"/>
      <c r="M1026" s="31"/>
    </row>
    <row r="1033" spans="9:13">
      <c r="I1033" s="31"/>
      <c r="J1033" s="31"/>
      <c r="K1033" s="31"/>
      <c r="L1033" s="31"/>
      <c r="M1033" s="31"/>
    </row>
    <row r="1040" spans="9:13">
      <c r="I1040" s="31"/>
      <c r="J1040" s="31"/>
      <c r="K1040" s="31"/>
      <c r="L1040" s="31"/>
      <c r="M1040" s="31"/>
    </row>
    <row r="1047" spans="9:13">
      <c r="I1047" s="31"/>
      <c r="J1047" s="31"/>
      <c r="K1047" s="31"/>
      <c r="L1047" s="31"/>
      <c r="M1047" s="31"/>
    </row>
    <row r="1054" spans="9:13">
      <c r="I1054" s="31"/>
      <c r="J1054" s="31"/>
      <c r="K1054" s="31"/>
      <c r="L1054" s="31"/>
      <c r="M1054" s="31"/>
    </row>
    <row r="1055" spans="9:13">
      <c r="I1055" s="31"/>
      <c r="J1055" s="31"/>
      <c r="K1055" s="31"/>
      <c r="L1055" s="31"/>
      <c r="M1055" s="31"/>
    </row>
    <row r="1056" spans="9:13">
      <c r="I1056" s="31"/>
      <c r="J1056" s="31"/>
      <c r="K1056" s="31"/>
      <c r="L1056" s="31"/>
      <c r="M1056" s="31"/>
    </row>
    <row r="1057" spans="9:13">
      <c r="I1057" s="31"/>
      <c r="J1057" s="31"/>
      <c r="K1057" s="31"/>
      <c r="L1057" s="31"/>
      <c r="M1057" s="31"/>
    </row>
    <row r="1058" spans="9:13">
      <c r="I1058" s="31"/>
      <c r="J1058" s="31"/>
      <c r="K1058" s="31"/>
      <c r="L1058" s="31"/>
      <c r="M1058" s="31"/>
    </row>
  </sheetData>
  <phoneticPr fontId="9" type="noConversion"/>
  <pageMargins left="0.78740157499999996" right="0.78740157499999996" top="0.984251969" bottom="0.984251969" header="0.4921259845" footer="0.4921259845"/>
  <pageSetup orientation="portrait" r:id="rId113"/>
  <headerFooter alignWithMargins="0"/>
  <drawing r:id="rId114"/>
</worksheet>
</file>

<file path=xl/worksheets/sheet2.xml><?xml version="1.0" encoding="utf-8"?>
<worksheet xmlns="http://schemas.openxmlformats.org/spreadsheetml/2006/main" xmlns:r="http://schemas.openxmlformats.org/officeDocument/2006/relationships">
  <sheetPr codeName="Feuil21">
    <tabColor rgb="FFC00000"/>
  </sheetPr>
  <dimension ref="A1:G465"/>
  <sheetViews>
    <sheetView view="pageBreakPreview" zoomScaleNormal="90" zoomScaleSheetLayoutView="100" workbookViewId="0">
      <pane ySplit="2" topLeftCell="A3" activePane="bottomLeft" state="frozen"/>
      <selection pane="bottomLeft" activeCell="D158" sqref="D158"/>
    </sheetView>
  </sheetViews>
  <sheetFormatPr baseColWidth="10" defaultRowHeight="12.75"/>
  <cols>
    <col min="1" max="1" width="34.5703125" style="150" customWidth="1"/>
    <col min="2" max="2" width="44.140625" style="150" customWidth="1"/>
    <col min="3" max="3" width="5.7109375" style="192" customWidth="1"/>
    <col min="4" max="4" width="13.140625" style="184" customWidth="1"/>
    <col min="5" max="5" width="15" style="184" customWidth="1"/>
    <col min="6" max="6" width="14.85546875" style="184" customWidth="1"/>
    <col min="7" max="7" width="15.42578125" style="184" customWidth="1"/>
    <col min="8" max="16384" width="11.42578125" style="150"/>
  </cols>
  <sheetData>
    <row r="1" spans="1:7" s="127" customFormat="1">
      <c r="A1" s="573" t="s">
        <v>7</v>
      </c>
      <c r="B1" s="579" t="s">
        <v>6</v>
      </c>
      <c r="C1" s="573" t="s">
        <v>20</v>
      </c>
      <c r="D1" s="576" t="s">
        <v>16</v>
      </c>
      <c r="E1" s="576" t="s">
        <v>17</v>
      </c>
      <c r="F1" s="576" t="s">
        <v>18</v>
      </c>
      <c r="G1" s="571" t="s">
        <v>19</v>
      </c>
    </row>
    <row r="2" spans="1:7" s="127" customFormat="1">
      <c r="A2" s="578"/>
      <c r="B2" s="580"/>
      <c r="C2" s="574"/>
      <c r="D2" s="581"/>
      <c r="E2" s="577"/>
      <c r="F2" s="581"/>
      <c r="G2" s="572"/>
    </row>
    <row r="3" spans="1:7" s="127" customFormat="1">
      <c r="A3" s="389" t="s">
        <v>521</v>
      </c>
      <c r="B3" s="130"/>
      <c r="C3" s="419"/>
      <c r="D3" s="135"/>
      <c r="E3" s="135"/>
      <c r="F3" s="135"/>
      <c r="G3" s="408"/>
    </row>
    <row r="4" spans="1:7" s="127" customFormat="1">
      <c r="A4" s="390" t="s">
        <v>591</v>
      </c>
      <c r="B4" s="151" t="s">
        <v>1</v>
      </c>
      <c r="C4" s="420">
        <v>1</v>
      </c>
      <c r="D4" s="135">
        <f>F4</f>
        <v>0</v>
      </c>
      <c r="E4" s="136" t="e">
        <f>D4/$F$6</f>
        <v>#DIV/0!</v>
      </c>
      <c r="F4" s="135">
        <f>FREQUENCY('Grille de saisie'!$B$3:$B$602,Fréquence!C4)</f>
        <v>0</v>
      </c>
      <c r="G4" s="409" t="e">
        <f>E4</f>
        <v>#DIV/0!</v>
      </c>
    </row>
    <row r="5" spans="1:7" s="127" customFormat="1">
      <c r="A5" s="186" t="s">
        <v>0</v>
      </c>
      <c r="B5" s="172" t="s">
        <v>935</v>
      </c>
      <c r="C5" s="420">
        <v>2</v>
      </c>
      <c r="D5" s="135">
        <f>F5-F4</f>
        <v>0</v>
      </c>
      <c r="E5" s="136" t="e">
        <f>D5/$F$6</f>
        <v>#DIV/0!</v>
      </c>
      <c r="F5" s="135">
        <f>FREQUENCY('Grille de saisie'!$B$3:$B$602,Fréquence!C5)</f>
        <v>0</v>
      </c>
      <c r="G5" s="409" t="e">
        <f>E5+E4</f>
        <v>#DIV/0!</v>
      </c>
    </row>
    <row r="6" spans="1:7" s="127" customFormat="1">
      <c r="A6" s="391"/>
      <c r="B6" s="151" t="s">
        <v>2</v>
      </c>
      <c r="C6" s="420">
        <v>3</v>
      </c>
      <c r="D6" s="135">
        <f>F6-F5</f>
        <v>0</v>
      </c>
      <c r="E6" s="136" t="e">
        <f t="shared" ref="E6" si="0">D6/$F$6</f>
        <v>#DIV/0!</v>
      </c>
      <c r="F6" s="135">
        <f>FREQUENCY('Grille de saisie'!$B$3:$B$602,Fréquence!C6)</f>
        <v>0</v>
      </c>
      <c r="G6" s="409" t="e">
        <f>E6+E5+E4</f>
        <v>#DIV/0!</v>
      </c>
    </row>
    <row r="7" spans="1:7" s="127" customFormat="1">
      <c r="A7" s="392"/>
      <c r="B7" s="432"/>
      <c r="C7" s="421"/>
      <c r="D7" s="140"/>
      <c r="E7" s="141"/>
      <c r="F7" s="140"/>
      <c r="G7" s="410"/>
    </row>
    <row r="8" spans="1:7" s="127" customFormat="1">
      <c r="A8" s="389" t="s">
        <v>522</v>
      </c>
      <c r="B8" s="130"/>
      <c r="C8" s="419"/>
      <c r="D8" s="135"/>
      <c r="E8" s="135"/>
      <c r="F8" s="135"/>
      <c r="G8" s="408"/>
    </row>
    <row r="9" spans="1:7" s="127" customFormat="1">
      <c r="A9" s="390" t="s">
        <v>592</v>
      </c>
      <c r="B9" s="433" t="s">
        <v>175</v>
      </c>
      <c r="C9" s="420">
        <v>1</v>
      </c>
      <c r="D9" s="135">
        <f>F9</f>
        <v>0</v>
      </c>
      <c r="E9" s="136" t="e">
        <f>D9/$F$13</f>
        <v>#DIV/0!</v>
      </c>
      <c r="F9" s="135">
        <f>FREQUENCY('Grille de saisie'!$C$3:$C$602,Fréquence!C9)</f>
        <v>0</v>
      </c>
      <c r="G9" s="409" t="e">
        <f>E9</f>
        <v>#DIV/0!</v>
      </c>
    </row>
    <row r="10" spans="1:7" s="127" customFormat="1">
      <c r="A10" s="390" t="s">
        <v>593</v>
      </c>
      <c r="B10" s="433" t="s">
        <v>176</v>
      </c>
      <c r="C10" s="420">
        <v>2</v>
      </c>
      <c r="D10" s="135">
        <f>F10-F9</f>
        <v>0</v>
      </c>
      <c r="E10" s="136" t="e">
        <f t="shared" ref="E10" si="1">D10/$F$13</f>
        <v>#DIV/0!</v>
      </c>
      <c r="F10" s="135">
        <f>FREQUENCY('Grille de saisie'!$C$3:$C$602,Fréquence!C10)</f>
        <v>0</v>
      </c>
      <c r="G10" s="409" t="e">
        <f>E10+E9</f>
        <v>#DIV/0!</v>
      </c>
    </row>
    <row r="11" spans="1:7" s="127" customFormat="1">
      <c r="A11" s="390" t="s">
        <v>594</v>
      </c>
      <c r="B11" s="433" t="s">
        <v>177</v>
      </c>
      <c r="C11" s="420">
        <v>3</v>
      </c>
      <c r="D11" s="135">
        <f>F11-F10</f>
        <v>0</v>
      </c>
      <c r="E11" s="136" t="e">
        <f>D11/$F$13</f>
        <v>#DIV/0!</v>
      </c>
      <c r="F11" s="135">
        <f>FREQUENCY('Grille de saisie'!$C$3:$C$602,Fréquence!C11)</f>
        <v>0</v>
      </c>
      <c r="G11" s="409" t="e">
        <f>E11+E10+E9</f>
        <v>#DIV/0!</v>
      </c>
    </row>
    <row r="12" spans="1:7" s="127" customFormat="1">
      <c r="A12" s="393"/>
      <c r="B12" s="433" t="s">
        <v>178</v>
      </c>
      <c r="C12" s="420">
        <v>4</v>
      </c>
      <c r="D12" s="135">
        <f>F12-F11</f>
        <v>0</v>
      </c>
      <c r="E12" s="136" t="e">
        <f>D12/$F$13</f>
        <v>#DIV/0!</v>
      </c>
      <c r="F12" s="135">
        <f>FREQUENCY('Grille de saisie'!$C$3:$C$602,Fréquence!C12)</f>
        <v>0</v>
      </c>
      <c r="G12" s="409" t="e">
        <f>E12+E11+E10+E9</f>
        <v>#DIV/0!</v>
      </c>
    </row>
    <row r="13" spans="1:7" s="127" customFormat="1">
      <c r="A13" s="391"/>
      <c r="B13" s="433" t="s">
        <v>47</v>
      </c>
      <c r="C13" s="420">
        <v>5</v>
      </c>
      <c r="D13" s="135">
        <f>F13-F12</f>
        <v>0</v>
      </c>
      <c r="E13" s="136" t="e">
        <f>D13/$F$13</f>
        <v>#DIV/0!</v>
      </c>
      <c r="F13" s="135">
        <f>FREQUENCY('Grille de saisie'!$C$3:$C$602,Fréquence!C13)</f>
        <v>0</v>
      </c>
      <c r="G13" s="409" t="e">
        <f>E13+E12+E11+E10+E9</f>
        <v>#DIV/0!</v>
      </c>
    </row>
    <row r="14" spans="1:7" s="127" customFormat="1">
      <c r="A14" s="392"/>
      <c r="B14" s="432"/>
      <c r="C14" s="421"/>
      <c r="D14" s="140"/>
      <c r="E14" s="141"/>
      <c r="F14" s="140"/>
      <c r="G14" s="410"/>
    </row>
    <row r="15" spans="1:7">
      <c r="A15" s="389" t="s">
        <v>127</v>
      </c>
      <c r="B15" s="151"/>
      <c r="C15" s="210"/>
      <c r="D15" s="148"/>
      <c r="E15" s="148"/>
      <c r="F15" s="148"/>
      <c r="G15" s="189"/>
    </row>
    <row r="16" spans="1:7">
      <c r="A16" s="394" t="s">
        <v>374</v>
      </c>
      <c r="B16" s="151" t="s">
        <v>8</v>
      </c>
      <c r="C16" s="210">
        <v>1</v>
      </c>
      <c r="D16" s="148">
        <f>F16</f>
        <v>0</v>
      </c>
      <c r="E16" s="152" t="e">
        <f>D16/$F$19</f>
        <v>#DIV/0!</v>
      </c>
      <c r="F16" s="148">
        <f>FREQUENCY('Grille de saisie'!$D$3:$D$602,Fréquence!C16)</f>
        <v>0</v>
      </c>
      <c r="G16" s="213" t="e">
        <f>E16</f>
        <v>#DIV/0!</v>
      </c>
    </row>
    <row r="17" spans="1:7">
      <c r="A17" s="186"/>
      <c r="B17" s="151" t="s">
        <v>9</v>
      </c>
      <c r="C17" s="210">
        <v>2</v>
      </c>
      <c r="D17" s="148">
        <f>F17-F16</f>
        <v>0</v>
      </c>
      <c r="E17" s="267" t="e">
        <f>D17/$F$19</f>
        <v>#DIV/0!</v>
      </c>
      <c r="F17" s="148">
        <f>FREQUENCY('Grille de saisie'!$D$3:$D$602,Fréquence!C17)</f>
        <v>0</v>
      </c>
      <c r="G17" s="213" t="e">
        <f>E17+E16</f>
        <v>#DIV/0!</v>
      </c>
    </row>
    <row r="18" spans="1:7">
      <c r="A18" s="186"/>
      <c r="B18" s="151" t="s">
        <v>10</v>
      </c>
      <c r="C18" s="210">
        <v>3</v>
      </c>
      <c r="D18" s="148">
        <f>F18-F17</f>
        <v>0</v>
      </c>
      <c r="E18" s="267" t="e">
        <f>D18/$F$19</f>
        <v>#DIV/0!</v>
      </c>
      <c r="F18" s="148">
        <f>FREQUENCY('Grille de saisie'!$D$3:$D$602,Fréquence!C18)</f>
        <v>0</v>
      </c>
      <c r="G18" s="213" t="e">
        <f>E18+E17+E16</f>
        <v>#DIV/0!</v>
      </c>
    </row>
    <row r="19" spans="1:7">
      <c r="A19" s="186"/>
      <c r="B19" s="151" t="s">
        <v>11</v>
      </c>
      <c r="C19" s="422">
        <v>4</v>
      </c>
      <c r="D19" s="148">
        <f>F19-F18</f>
        <v>0</v>
      </c>
      <c r="E19" s="267" t="e">
        <f t="shared" ref="E19" si="2">D19/$F$19</f>
        <v>#DIV/0!</v>
      </c>
      <c r="F19" s="148">
        <f>FREQUENCY('Grille de saisie'!$D$3:$D$602,Fréquence!C19)</f>
        <v>0</v>
      </c>
      <c r="G19" s="213" t="e">
        <f>E19+E18+E17+E16</f>
        <v>#DIV/0!</v>
      </c>
    </row>
    <row r="20" spans="1:7">
      <c r="A20" s="191"/>
      <c r="B20" s="154"/>
      <c r="C20" s="223"/>
      <c r="D20" s="154"/>
      <c r="E20" s="154"/>
      <c r="F20" s="187"/>
      <c r="G20" s="223"/>
    </row>
    <row r="21" spans="1:7">
      <c r="A21" s="395" t="s">
        <v>351</v>
      </c>
      <c r="B21" s="164"/>
      <c r="C21" s="423"/>
      <c r="D21" s="162"/>
      <c r="E21" s="162"/>
      <c r="F21" s="162"/>
      <c r="G21" s="413"/>
    </row>
    <row r="22" spans="1:7">
      <c r="A22" s="394" t="s">
        <v>278</v>
      </c>
      <c r="B22" s="151" t="s">
        <v>376</v>
      </c>
      <c r="C22" s="423">
        <v>0</v>
      </c>
      <c r="D22" s="162">
        <f>F22</f>
        <v>0</v>
      </c>
      <c r="E22" s="163" t="e">
        <f>D22/$F$26</f>
        <v>#DIV/0!</v>
      </c>
      <c r="F22" s="162">
        <f>FREQUENCY('Grille de saisie'!$E$3:$E$602,Fréquence!C22)</f>
        <v>0</v>
      </c>
      <c r="G22" s="414" t="e">
        <f>E22</f>
        <v>#DIV/0!</v>
      </c>
    </row>
    <row r="23" spans="1:7">
      <c r="A23" s="396" t="s">
        <v>634</v>
      </c>
      <c r="B23" s="151" t="s">
        <v>3</v>
      </c>
      <c r="C23" s="423">
        <v>1</v>
      </c>
      <c r="D23" s="162">
        <f>F23-F22</f>
        <v>0</v>
      </c>
      <c r="E23" s="163" t="e">
        <f t="shared" ref="E23:E26" si="3">D23/$F$26</f>
        <v>#DIV/0!</v>
      </c>
      <c r="F23" s="162">
        <f>FREQUENCY('Grille de saisie'!$E$3:$E$602,Fréquence!C23)</f>
        <v>0</v>
      </c>
      <c r="G23" s="414" t="e">
        <f>E23+E22</f>
        <v>#DIV/0!</v>
      </c>
    </row>
    <row r="24" spans="1:7">
      <c r="A24" s="396"/>
      <c r="B24" s="151" t="s">
        <v>4</v>
      </c>
      <c r="C24" s="423">
        <v>2</v>
      </c>
      <c r="D24" s="162">
        <f>F24-F23</f>
        <v>0</v>
      </c>
      <c r="E24" s="163" t="e">
        <f t="shared" si="3"/>
        <v>#DIV/0!</v>
      </c>
      <c r="F24" s="162">
        <f>FREQUENCY('Grille de saisie'!$E$3:$E$602,Fréquence!C24)</f>
        <v>0</v>
      </c>
      <c r="G24" s="414" t="e">
        <f>E24+E23+E22</f>
        <v>#DIV/0!</v>
      </c>
    </row>
    <row r="25" spans="1:7">
      <c r="A25" s="396"/>
      <c r="B25" s="151" t="s">
        <v>5</v>
      </c>
      <c r="C25" s="423">
        <v>3</v>
      </c>
      <c r="D25" s="162">
        <f>F25-F24</f>
        <v>0</v>
      </c>
      <c r="E25" s="163" t="e">
        <f>D25/$F$26</f>
        <v>#DIV/0!</v>
      </c>
      <c r="F25" s="162">
        <f>FREQUENCY('Grille de saisie'!$E$3:$E$602,Fréquence!C25)</f>
        <v>0</v>
      </c>
      <c r="G25" s="414" t="e">
        <f>E25+E24+E23+E22</f>
        <v>#DIV/0!</v>
      </c>
    </row>
    <row r="26" spans="1:7">
      <c r="A26" s="396"/>
      <c r="B26" s="151" t="s">
        <v>375</v>
      </c>
      <c r="C26" s="423">
        <v>8</v>
      </c>
      <c r="D26" s="162">
        <f>F26-F25</f>
        <v>0</v>
      </c>
      <c r="E26" s="163" t="e">
        <f t="shared" si="3"/>
        <v>#DIV/0!</v>
      </c>
      <c r="F26" s="162">
        <f>FREQUENCY('Grille de saisie'!$E$3:$E$602,Fréquence!C26)</f>
        <v>0</v>
      </c>
      <c r="G26" s="414" t="e">
        <f>E26+E25+E24+E23+E22</f>
        <v>#DIV/0!</v>
      </c>
    </row>
    <row r="27" spans="1:7">
      <c r="A27" s="397"/>
      <c r="B27" s="434"/>
      <c r="C27" s="424"/>
      <c r="D27" s="168"/>
      <c r="E27" s="163"/>
      <c r="F27" s="168"/>
      <c r="G27" s="415"/>
    </row>
    <row r="28" spans="1:7">
      <c r="A28" s="389" t="s">
        <v>129</v>
      </c>
      <c r="B28" s="435"/>
      <c r="C28" s="210"/>
      <c r="D28" s="149"/>
      <c r="E28" s="171"/>
      <c r="F28" s="148"/>
      <c r="G28" s="194"/>
    </row>
    <row r="29" spans="1:7">
      <c r="A29" s="398" t="s">
        <v>377</v>
      </c>
      <c r="B29" s="151" t="s">
        <v>12</v>
      </c>
      <c r="C29" s="210">
        <v>1</v>
      </c>
      <c r="D29" s="148">
        <f>F29</f>
        <v>0</v>
      </c>
      <c r="E29" s="173" t="e">
        <f>D29/$F$32</f>
        <v>#DIV/0!</v>
      </c>
      <c r="F29" s="148">
        <f>FREQUENCY('Grille de saisie'!$G$3:$G$602,Fréquence!C29)</f>
        <v>0</v>
      </c>
      <c r="G29" s="213" t="e">
        <f>E29</f>
        <v>#DIV/0!</v>
      </c>
    </row>
    <row r="30" spans="1:7">
      <c r="A30" s="398" t="s">
        <v>179</v>
      </c>
      <c r="B30" s="151" t="s">
        <v>13</v>
      </c>
      <c r="C30" s="210">
        <v>2</v>
      </c>
      <c r="D30" s="148">
        <f>F30-F29</f>
        <v>0</v>
      </c>
      <c r="E30" s="173" t="e">
        <f t="shared" ref="E30:E32" si="4">D30/$F$32</f>
        <v>#DIV/0!</v>
      </c>
      <c r="F30" s="148">
        <f>FREQUENCY('Grille de saisie'!$G$3:$G$602,Fréquence!C30)</f>
        <v>0</v>
      </c>
      <c r="G30" s="213" t="e">
        <f>E30+E29</f>
        <v>#DIV/0!</v>
      </c>
    </row>
    <row r="31" spans="1:7">
      <c r="A31" s="186" t="s">
        <v>378</v>
      </c>
      <c r="B31" s="151" t="s">
        <v>14</v>
      </c>
      <c r="C31" s="210">
        <v>3</v>
      </c>
      <c r="D31" s="148">
        <f>F31-F30</f>
        <v>0</v>
      </c>
      <c r="E31" s="173" t="e">
        <f t="shared" si="4"/>
        <v>#DIV/0!</v>
      </c>
      <c r="F31" s="148">
        <f>FREQUENCY('Grille de saisie'!$G$3:$G$602,Fréquence!C31)</f>
        <v>0</v>
      </c>
      <c r="G31" s="213" t="e">
        <f>E31+E30+E29</f>
        <v>#DIV/0!</v>
      </c>
    </row>
    <row r="32" spans="1:7">
      <c r="A32" s="186"/>
      <c r="B32" s="199" t="s">
        <v>15</v>
      </c>
      <c r="C32" s="210">
        <v>4</v>
      </c>
      <c r="D32" s="148">
        <f>F32-F31</f>
        <v>0</v>
      </c>
      <c r="E32" s="173" t="e">
        <f t="shared" si="4"/>
        <v>#DIV/0!</v>
      </c>
      <c r="F32" s="148">
        <f>FREQUENCY('Grille de saisie'!$G$3:$G$602,Fréquence!C32)</f>
        <v>0</v>
      </c>
      <c r="G32" s="213" t="e">
        <f>E32+E31+E30+E29</f>
        <v>#DIV/0!</v>
      </c>
    </row>
    <row r="33" spans="1:7">
      <c r="A33" s="191"/>
      <c r="B33" s="283"/>
      <c r="C33" s="205"/>
      <c r="D33" s="148"/>
      <c r="E33" s="173"/>
      <c r="F33" s="157"/>
      <c r="G33" s="214"/>
    </row>
    <row r="34" spans="1:7">
      <c r="A34" s="399" t="s">
        <v>524</v>
      </c>
      <c r="B34" s="435"/>
      <c r="C34" s="425"/>
      <c r="D34" s="149"/>
      <c r="E34" s="149"/>
      <c r="F34" s="148"/>
      <c r="G34" s="194"/>
    </row>
    <row r="35" spans="1:7">
      <c r="A35" s="398" t="s">
        <v>379</v>
      </c>
      <c r="B35" s="127" t="s">
        <v>21</v>
      </c>
      <c r="C35" s="422">
        <v>1</v>
      </c>
      <c r="D35" s="148">
        <f>F35</f>
        <v>0</v>
      </c>
      <c r="E35" s="267" t="e">
        <f>D35/$F$39</f>
        <v>#DIV/0!</v>
      </c>
      <c r="F35" s="148">
        <f>FREQUENCY('Grille de saisie'!$H$3:$H$602,Fréquence!C35)</f>
        <v>0</v>
      </c>
      <c r="G35" s="213" t="e">
        <f>E35</f>
        <v>#DIV/0!</v>
      </c>
    </row>
    <row r="36" spans="1:7">
      <c r="A36" s="186" t="s">
        <v>25</v>
      </c>
      <c r="B36" s="127" t="s">
        <v>22</v>
      </c>
      <c r="C36" s="422">
        <v>2</v>
      </c>
      <c r="D36" s="148">
        <f>F36-F35</f>
        <v>0</v>
      </c>
      <c r="E36" s="267" t="e">
        <f>D36/$F$39</f>
        <v>#DIV/0!</v>
      </c>
      <c r="F36" s="148">
        <f>FREQUENCY('Grille de saisie'!$H$3:$H$602,Fréquence!C36)</f>
        <v>0</v>
      </c>
      <c r="G36" s="213" t="e">
        <f>E36+E35</f>
        <v>#DIV/0!</v>
      </c>
    </row>
    <row r="37" spans="1:7">
      <c r="A37" s="398" t="s">
        <v>380</v>
      </c>
      <c r="B37" s="127" t="s">
        <v>23</v>
      </c>
      <c r="C37" s="422">
        <v>3</v>
      </c>
      <c r="D37" s="148">
        <f>F37-F36</f>
        <v>0</v>
      </c>
      <c r="E37" s="267" t="e">
        <f t="shared" ref="E37:E39" si="5">D37/$F$39</f>
        <v>#DIV/0!</v>
      </c>
      <c r="F37" s="148">
        <f>FREQUENCY('Grille de saisie'!$H$3:$H$602,Fréquence!C37)</f>
        <v>0</v>
      </c>
      <c r="G37" s="213" t="e">
        <f>E37+E36+E35</f>
        <v>#DIV/0!</v>
      </c>
    </row>
    <row r="38" spans="1:7">
      <c r="A38" s="398" t="s">
        <v>381</v>
      </c>
      <c r="B38" s="127" t="s">
        <v>24</v>
      </c>
      <c r="C38" s="422">
        <v>4</v>
      </c>
      <c r="D38" s="148">
        <f>F38-F37</f>
        <v>0</v>
      </c>
      <c r="E38" s="267" t="e">
        <f t="shared" si="5"/>
        <v>#DIV/0!</v>
      </c>
      <c r="F38" s="148">
        <f>FREQUENCY('Grille de saisie'!$H$3:$H$602,Fréquence!C38)</f>
        <v>0</v>
      </c>
      <c r="G38" s="213" t="e">
        <f>E38+E37+E36+E35</f>
        <v>#DIV/0!</v>
      </c>
    </row>
    <row r="39" spans="1:7">
      <c r="A39" s="389" t="s">
        <v>872</v>
      </c>
      <c r="B39" s="127" t="s">
        <v>41</v>
      </c>
      <c r="C39" s="422">
        <v>7</v>
      </c>
      <c r="D39" s="148">
        <f>F39-F38</f>
        <v>0</v>
      </c>
      <c r="E39" s="267" t="e">
        <f t="shared" si="5"/>
        <v>#DIV/0!</v>
      </c>
      <c r="F39" s="148">
        <f>FREQUENCY('Grille de saisie'!$H$3:$H$602,Fréquence!C39)</f>
        <v>0</v>
      </c>
      <c r="G39" s="213" t="e">
        <f>E39+E38+E37+E36+E35</f>
        <v>#DIV/0!</v>
      </c>
    </row>
    <row r="40" spans="1:7">
      <c r="A40" s="179"/>
      <c r="B40" s="180"/>
      <c r="C40" s="426"/>
      <c r="D40" s="157"/>
      <c r="E40" s="182"/>
      <c r="F40" s="157"/>
      <c r="G40" s="206"/>
    </row>
    <row r="41" spans="1:7">
      <c r="A41" s="399" t="s">
        <v>525</v>
      </c>
      <c r="B41" s="127"/>
      <c r="C41" s="422"/>
      <c r="E41" s="148"/>
      <c r="F41" s="218"/>
      <c r="G41" s="189"/>
    </row>
    <row r="42" spans="1:7">
      <c r="A42" s="398" t="s">
        <v>379</v>
      </c>
      <c r="B42" s="151" t="s">
        <v>21</v>
      </c>
      <c r="C42" s="422">
        <v>1</v>
      </c>
      <c r="D42" s="184">
        <f>F42</f>
        <v>0</v>
      </c>
      <c r="E42" s="267" t="e">
        <f>D42/$F$46</f>
        <v>#DIV/0!</v>
      </c>
      <c r="F42" s="218">
        <f>FREQUENCY('Grille de saisie'!$I$3:$I$602,Fréquence!C42)</f>
        <v>0</v>
      </c>
      <c r="G42" s="213" t="e">
        <f>E42</f>
        <v>#DIV/0!</v>
      </c>
    </row>
    <row r="43" spans="1:7">
      <c r="A43" s="186" t="s">
        <v>25</v>
      </c>
      <c r="B43" s="151" t="s">
        <v>22</v>
      </c>
      <c r="C43" s="422">
        <v>2</v>
      </c>
      <c r="D43" s="184">
        <f>F43-F42</f>
        <v>0</v>
      </c>
      <c r="E43" s="267" t="e">
        <f t="shared" ref="E43:E46" si="6">D43/$F$46</f>
        <v>#DIV/0!</v>
      </c>
      <c r="F43" s="218">
        <f>FREQUENCY('Grille de saisie'!$I$3:$I$602,Fréquence!C43)</f>
        <v>0</v>
      </c>
      <c r="G43" s="213" t="e">
        <f>E43+E42</f>
        <v>#DIV/0!</v>
      </c>
    </row>
    <row r="44" spans="1:7">
      <c r="A44" s="398" t="s">
        <v>380</v>
      </c>
      <c r="B44" s="151" t="s">
        <v>23</v>
      </c>
      <c r="C44" s="422">
        <v>3</v>
      </c>
      <c r="D44" s="184">
        <f>F44-F43</f>
        <v>0</v>
      </c>
      <c r="E44" s="267" t="e">
        <f t="shared" si="6"/>
        <v>#DIV/0!</v>
      </c>
      <c r="F44" s="218">
        <f>FREQUENCY('Grille de saisie'!$I$3:$I$602,Fréquence!C44)</f>
        <v>0</v>
      </c>
      <c r="G44" s="213" t="e">
        <f>E44+E43+E42</f>
        <v>#DIV/0!</v>
      </c>
    </row>
    <row r="45" spans="1:7">
      <c r="A45" s="389" t="s">
        <v>382</v>
      </c>
      <c r="B45" s="151" t="s">
        <v>24</v>
      </c>
      <c r="C45" s="422">
        <v>4</v>
      </c>
      <c r="D45" s="184">
        <f>F45-F44</f>
        <v>0</v>
      </c>
      <c r="E45" s="267" t="e">
        <f t="shared" si="6"/>
        <v>#DIV/0!</v>
      </c>
      <c r="F45" s="218">
        <f>FREQUENCY('Grille de saisie'!$I$3:$I$602,Fréquence!C45)</f>
        <v>0</v>
      </c>
      <c r="G45" s="213" t="e">
        <f>E45+E44+E43+E42</f>
        <v>#DIV/0!</v>
      </c>
    </row>
    <row r="46" spans="1:7">
      <c r="A46" s="389" t="s">
        <v>873</v>
      </c>
      <c r="B46" s="127" t="s">
        <v>41</v>
      </c>
      <c r="C46" s="422">
        <v>7</v>
      </c>
      <c r="D46" s="184">
        <f>F46-F45</f>
        <v>0</v>
      </c>
      <c r="E46" s="267" t="e">
        <f t="shared" si="6"/>
        <v>#DIV/0!</v>
      </c>
      <c r="F46" s="218">
        <f>FREQUENCY('Grille de saisie'!$I$3:$I$602,Fréquence!C46)</f>
        <v>0</v>
      </c>
      <c r="G46" s="213" t="e">
        <f>E46+E45+E44+E43+E42</f>
        <v>#DIV/0!</v>
      </c>
    </row>
    <row r="47" spans="1:7">
      <c r="A47" s="186" t="s">
        <v>180</v>
      </c>
      <c r="B47" s="127"/>
      <c r="C47" s="422"/>
      <c r="E47" s="176"/>
      <c r="F47" s="218"/>
      <c r="G47" s="190"/>
    </row>
    <row r="48" spans="1:7">
      <c r="A48" s="191"/>
      <c r="B48" s="201"/>
      <c r="C48" s="422"/>
      <c r="E48" s="176"/>
      <c r="F48" s="218"/>
      <c r="G48" s="190"/>
    </row>
    <row r="49" spans="1:7">
      <c r="A49" s="399" t="s">
        <v>526</v>
      </c>
      <c r="B49" s="435"/>
      <c r="C49" s="188"/>
      <c r="D49" s="149"/>
      <c r="E49" s="189"/>
      <c r="F49" s="149"/>
      <c r="G49" s="189"/>
    </row>
    <row r="50" spans="1:7">
      <c r="A50" s="398" t="s">
        <v>379</v>
      </c>
      <c r="B50" s="151" t="s">
        <v>21</v>
      </c>
      <c r="C50" s="422">
        <v>1</v>
      </c>
      <c r="D50" s="148">
        <f>F50</f>
        <v>0</v>
      </c>
      <c r="E50" s="213" t="e">
        <f>D50/$F$54</f>
        <v>#DIV/0!</v>
      </c>
      <c r="F50" s="148">
        <f>FREQUENCY('Grille de saisie'!$J$3:$J$602,Fréquence!C50)</f>
        <v>0</v>
      </c>
      <c r="G50" s="213" t="e">
        <f>E50</f>
        <v>#DIV/0!</v>
      </c>
    </row>
    <row r="51" spans="1:7">
      <c r="A51" s="186" t="s">
        <v>25</v>
      </c>
      <c r="B51" s="151" t="s">
        <v>22</v>
      </c>
      <c r="C51" s="422">
        <v>2</v>
      </c>
      <c r="D51" s="148">
        <f t="shared" ref="D51:D54" si="7">F51-F50</f>
        <v>0</v>
      </c>
      <c r="E51" s="213" t="e">
        <f>D51/$F$54</f>
        <v>#DIV/0!</v>
      </c>
      <c r="F51" s="148">
        <f>FREQUENCY('Grille de saisie'!$J$3:$J$602,Fréquence!C51)</f>
        <v>0</v>
      </c>
      <c r="G51" s="213" t="e">
        <f>E51+E50</f>
        <v>#DIV/0!</v>
      </c>
    </row>
    <row r="52" spans="1:7">
      <c r="A52" s="398" t="s">
        <v>380</v>
      </c>
      <c r="B52" s="151" t="s">
        <v>23</v>
      </c>
      <c r="C52" s="422">
        <v>3</v>
      </c>
      <c r="D52" s="148">
        <f t="shared" si="7"/>
        <v>0</v>
      </c>
      <c r="E52" s="213" t="e">
        <f t="shared" ref="E52:E54" si="8">D52/$F$54</f>
        <v>#DIV/0!</v>
      </c>
      <c r="F52" s="148">
        <f>FREQUENCY('Grille de saisie'!$J$3:$J$602,Fréquence!C52)</f>
        <v>0</v>
      </c>
      <c r="G52" s="213" t="e">
        <f>E52+E51+E50</f>
        <v>#DIV/0!</v>
      </c>
    </row>
    <row r="53" spans="1:7">
      <c r="A53" s="389" t="s">
        <v>383</v>
      </c>
      <c r="B53" s="151" t="s">
        <v>24</v>
      </c>
      <c r="C53" s="422">
        <v>4</v>
      </c>
      <c r="D53" s="148">
        <f t="shared" si="7"/>
        <v>0</v>
      </c>
      <c r="E53" s="213" t="e">
        <f t="shared" si="8"/>
        <v>#DIV/0!</v>
      </c>
      <c r="F53" s="148">
        <f>FREQUENCY('Grille de saisie'!$J$3:$J$602,Fréquence!C53)</f>
        <v>0</v>
      </c>
      <c r="G53" s="213" t="e">
        <f>E53+E52+E51+E50</f>
        <v>#DIV/0!</v>
      </c>
    </row>
    <row r="54" spans="1:7">
      <c r="A54" s="389" t="s">
        <v>181</v>
      </c>
      <c r="B54" s="127" t="s">
        <v>41</v>
      </c>
      <c r="C54" s="422">
        <v>7</v>
      </c>
      <c r="D54" s="148">
        <f t="shared" si="7"/>
        <v>0</v>
      </c>
      <c r="E54" s="213" t="e">
        <f t="shared" si="8"/>
        <v>#DIV/0!</v>
      </c>
      <c r="F54" s="148">
        <f>FREQUENCY('Grille de saisie'!$J$3:$J$602,Fréquence!C54)</f>
        <v>0</v>
      </c>
      <c r="G54" s="213" t="e">
        <f>E54+E53+E52+E51+E50</f>
        <v>#DIV/0!</v>
      </c>
    </row>
    <row r="55" spans="1:7">
      <c r="A55" s="389" t="s">
        <v>874</v>
      </c>
      <c r="B55" s="201"/>
      <c r="C55" s="422"/>
      <c r="D55" s="148"/>
      <c r="E55" s="190"/>
      <c r="F55" s="148"/>
      <c r="G55" s="190"/>
    </row>
    <row r="56" spans="1:7">
      <c r="A56" s="191"/>
      <c r="B56" s="201"/>
      <c r="C56" s="426"/>
      <c r="D56" s="157"/>
      <c r="E56" s="182"/>
      <c r="F56" s="148"/>
      <c r="G56" s="206"/>
    </row>
    <row r="57" spans="1:7">
      <c r="A57" s="399" t="s">
        <v>528</v>
      </c>
      <c r="B57" s="435"/>
      <c r="D57" s="149"/>
      <c r="F57" s="149"/>
      <c r="G57" s="189"/>
    </row>
    <row r="58" spans="1:7">
      <c r="A58" s="398" t="s">
        <v>379</v>
      </c>
      <c r="B58" s="199" t="s">
        <v>21</v>
      </c>
      <c r="C58" s="422">
        <v>1</v>
      </c>
      <c r="D58" s="148">
        <f>F58</f>
        <v>0</v>
      </c>
      <c r="E58" s="193" t="e">
        <f>D58/$F$62</f>
        <v>#DIV/0!</v>
      </c>
      <c r="F58" s="148">
        <f>FREQUENCY('Grille de saisie'!$K$3:$K$602,Fréquence!C58)</f>
        <v>0</v>
      </c>
      <c r="G58" s="213" t="e">
        <f>E58</f>
        <v>#DIV/0!</v>
      </c>
    </row>
    <row r="59" spans="1:7">
      <c r="A59" s="186" t="s">
        <v>595</v>
      </c>
      <c r="B59" s="199" t="s">
        <v>22</v>
      </c>
      <c r="C59" s="422">
        <v>2</v>
      </c>
      <c r="D59" s="148">
        <f t="shared" ref="D59:D62" si="9">F59-F58</f>
        <v>0</v>
      </c>
      <c r="E59" s="193" t="e">
        <f t="shared" ref="E59:E62" si="10">D59/$F$62</f>
        <v>#DIV/0!</v>
      </c>
      <c r="F59" s="148">
        <f>FREQUENCY('Grille de saisie'!$K$3:$K$602,Fréquence!C59)</f>
        <v>0</v>
      </c>
      <c r="G59" s="213" t="e">
        <f>E59+E58</f>
        <v>#DIV/0!</v>
      </c>
    </row>
    <row r="60" spans="1:7">
      <c r="A60" s="398" t="s">
        <v>596</v>
      </c>
      <c r="B60" s="199" t="s">
        <v>23</v>
      </c>
      <c r="C60" s="422">
        <v>3</v>
      </c>
      <c r="D60" s="148">
        <f t="shared" si="9"/>
        <v>0</v>
      </c>
      <c r="E60" s="193" t="e">
        <f t="shared" si="10"/>
        <v>#DIV/0!</v>
      </c>
      <c r="F60" s="148">
        <f>FREQUENCY('Grille de saisie'!$K$3:$K$602,Fréquence!C60)</f>
        <v>0</v>
      </c>
      <c r="G60" s="213" t="e">
        <f>E60+E59+E58</f>
        <v>#DIV/0!</v>
      </c>
    </row>
    <row r="61" spans="1:7">
      <c r="A61" s="398" t="s">
        <v>597</v>
      </c>
      <c r="B61" s="199" t="s">
        <v>24</v>
      </c>
      <c r="C61" s="422">
        <v>4</v>
      </c>
      <c r="D61" s="148">
        <f t="shared" si="9"/>
        <v>0</v>
      </c>
      <c r="E61" s="193" t="e">
        <f t="shared" si="10"/>
        <v>#DIV/0!</v>
      </c>
      <c r="F61" s="148">
        <f>FREQUENCY('Grille de saisie'!$K$3:$K$602,Fréquence!C61)</f>
        <v>0</v>
      </c>
      <c r="G61" s="213" t="e">
        <f>E61+E60+E59+E58</f>
        <v>#DIV/0!</v>
      </c>
    </row>
    <row r="62" spans="1:7">
      <c r="A62" s="398" t="s">
        <v>598</v>
      </c>
      <c r="B62" s="172" t="s">
        <v>384</v>
      </c>
      <c r="C62" s="422">
        <v>5</v>
      </c>
      <c r="D62" s="148">
        <f t="shared" si="9"/>
        <v>0</v>
      </c>
      <c r="E62" s="193" t="e">
        <f t="shared" si="10"/>
        <v>#DIV/0!</v>
      </c>
      <c r="F62" s="148">
        <f>FREQUENCY('Grille de saisie'!$K$3:$K$602,Fréquence!C62)</f>
        <v>0</v>
      </c>
      <c r="G62" s="213" t="e">
        <f>E62+E61+E60+E59+E58</f>
        <v>#DIV/0!</v>
      </c>
    </row>
    <row r="63" spans="1:7">
      <c r="A63" s="398" t="s">
        <v>599</v>
      </c>
      <c r="B63" s="201"/>
      <c r="C63" s="422"/>
      <c r="D63" s="194"/>
      <c r="E63" s="193"/>
      <c r="F63" s="148"/>
      <c r="G63" s="213"/>
    </row>
    <row r="64" spans="1:7">
      <c r="A64" s="400" t="s">
        <v>46</v>
      </c>
      <c r="B64" s="204"/>
      <c r="C64" s="426"/>
      <c r="D64" s="196"/>
      <c r="E64" s="197"/>
      <c r="F64" s="157"/>
      <c r="G64" s="214"/>
    </row>
    <row r="65" spans="1:7">
      <c r="A65" s="399" t="s">
        <v>130</v>
      </c>
      <c r="B65" s="151"/>
      <c r="C65" s="422"/>
      <c r="D65" s="198"/>
      <c r="E65" s="176"/>
      <c r="F65" s="218"/>
      <c r="G65" s="190"/>
    </row>
    <row r="66" spans="1:7">
      <c r="A66" s="177" t="s">
        <v>182</v>
      </c>
      <c r="B66" s="201" t="s">
        <v>184</v>
      </c>
      <c r="C66" s="422">
        <v>1</v>
      </c>
      <c r="D66" s="184">
        <f>F66</f>
        <v>0</v>
      </c>
      <c r="E66" s="152" t="e">
        <f>D66/$F$70</f>
        <v>#DIV/0!</v>
      </c>
      <c r="F66" s="218">
        <f>FREQUENCY('Grille de saisie'!$L$3:$L$602,Fréquence!C66)</f>
        <v>0</v>
      </c>
      <c r="G66" s="213" t="e">
        <f>E66</f>
        <v>#DIV/0!</v>
      </c>
    </row>
    <row r="67" spans="1:7">
      <c r="A67" s="398" t="s">
        <v>389</v>
      </c>
      <c r="B67" s="199" t="s">
        <v>185</v>
      </c>
      <c r="C67" s="422">
        <v>2</v>
      </c>
      <c r="D67" s="184">
        <f>F67-F66</f>
        <v>0</v>
      </c>
      <c r="E67" s="267" t="e">
        <f t="shared" ref="E67:E69" si="11">D67/$F$70</f>
        <v>#DIV/0!</v>
      </c>
      <c r="F67" s="218">
        <f>FREQUENCY('Grille de saisie'!$L$3:$L$602,Fréquence!C67)</f>
        <v>0</v>
      </c>
      <c r="G67" s="213" t="e">
        <f>E67+E66</f>
        <v>#DIV/0!</v>
      </c>
    </row>
    <row r="68" spans="1:7">
      <c r="A68" s="398" t="s">
        <v>390</v>
      </c>
      <c r="B68" s="201" t="s">
        <v>186</v>
      </c>
      <c r="C68" s="422">
        <v>3</v>
      </c>
      <c r="D68" s="184">
        <f>F68-F67</f>
        <v>0</v>
      </c>
      <c r="E68" s="267" t="e">
        <f t="shared" si="11"/>
        <v>#DIV/0!</v>
      </c>
      <c r="F68" s="218">
        <f>FREQUENCY('Grille de saisie'!$L$3:$L$602,Fréquence!C68)</f>
        <v>0</v>
      </c>
      <c r="G68" s="213" t="e">
        <f>E68+E67+E66</f>
        <v>#DIV/0!</v>
      </c>
    </row>
    <row r="69" spans="1:7">
      <c r="A69" s="177" t="s">
        <v>183</v>
      </c>
      <c r="B69" s="201" t="s">
        <v>187</v>
      </c>
      <c r="C69" s="422">
        <v>4</v>
      </c>
      <c r="D69" s="184">
        <f>F69-F68</f>
        <v>0</v>
      </c>
      <c r="E69" s="267" t="e">
        <f t="shared" si="11"/>
        <v>#DIV/0!</v>
      </c>
      <c r="F69" s="218">
        <f>FREQUENCY('Grille de saisie'!$L$3:$L$602,Fréquence!C69)</f>
        <v>0</v>
      </c>
      <c r="G69" s="213" t="e">
        <f>E69+E68+E67+E66</f>
        <v>#DIV/0!</v>
      </c>
    </row>
    <row r="70" spans="1:7">
      <c r="A70" s="186"/>
      <c r="B70" s="199" t="s">
        <v>15</v>
      </c>
      <c r="C70" s="422">
        <v>5</v>
      </c>
      <c r="D70" s="184">
        <f>F70-F69</f>
        <v>0</v>
      </c>
      <c r="E70" s="267" t="e">
        <f>D70/$F$70</f>
        <v>#DIV/0!</v>
      </c>
      <c r="F70" s="218">
        <f>FREQUENCY('Grille de saisie'!$L$3:$L$602,Fréquence!C70)</f>
        <v>0</v>
      </c>
      <c r="G70" s="213" t="e">
        <f>E70+E69+E68+E67+E66</f>
        <v>#DIV/0!</v>
      </c>
    </row>
    <row r="71" spans="1:7">
      <c r="A71" s="191"/>
      <c r="B71" s="204"/>
      <c r="C71" s="426"/>
      <c r="D71" s="196"/>
      <c r="E71" s="158"/>
      <c r="F71" s="200"/>
      <c r="G71" s="214"/>
    </row>
    <row r="72" spans="1:7">
      <c r="A72" s="401" t="s">
        <v>131</v>
      </c>
      <c r="B72" s="201"/>
      <c r="C72" s="188"/>
      <c r="D72" s="194"/>
      <c r="E72" s="202"/>
      <c r="F72" s="189"/>
      <c r="G72" s="202"/>
    </row>
    <row r="73" spans="1:7">
      <c r="A73" s="349" t="s">
        <v>391</v>
      </c>
      <c r="B73" s="180"/>
      <c r="C73" s="205"/>
      <c r="D73" s="196"/>
      <c r="E73" s="206"/>
      <c r="F73" s="196"/>
      <c r="G73" s="206"/>
    </row>
    <row r="74" spans="1:7">
      <c r="A74" s="401" t="s">
        <v>529</v>
      </c>
      <c r="B74" s="151"/>
      <c r="C74" s="427"/>
      <c r="E74" s="176"/>
      <c r="F74" s="218"/>
      <c r="G74" s="190"/>
    </row>
    <row r="75" spans="1:7">
      <c r="A75" s="201" t="s">
        <v>216</v>
      </c>
      <c r="B75" s="199" t="s">
        <v>28</v>
      </c>
      <c r="C75" s="427">
        <v>1</v>
      </c>
      <c r="D75" s="184">
        <f>F75</f>
        <v>0</v>
      </c>
      <c r="E75" s="152" t="e">
        <f>D75/$F$78</f>
        <v>#DIV/0!</v>
      </c>
      <c r="F75" s="218">
        <f>FREQUENCY('Grille de saisie'!$M$3:$M$602,Fréquence!C75)</f>
        <v>0</v>
      </c>
      <c r="G75" s="213" t="e">
        <f>E75</f>
        <v>#DIV/0!</v>
      </c>
    </row>
    <row r="76" spans="1:7">
      <c r="A76" s="201" t="s">
        <v>188</v>
      </c>
      <c r="B76" s="199" t="s">
        <v>30</v>
      </c>
      <c r="C76" s="427">
        <v>2</v>
      </c>
      <c r="D76" s="184">
        <f>F76-F75</f>
        <v>0</v>
      </c>
      <c r="E76" s="267" t="e">
        <f t="shared" ref="E76:E78" si="12">D76/$F$78</f>
        <v>#DIV/0!</v>
      </c>
      <c r="F76" s="218">
        <f>FREQUENCY('Grille de saisie'!$M$3:$M$602,Fréquence!C76)</f>
        <v>0</v>
      </c>
      <c r="G76" s="213" t="e">
        <f>E76+E75</f>
        <v>#DIV/0!</v>
      </c>
    </row>
    <row r="77" spans="1:7">
      <c r="A77" s="127"/>
      <c r="B77" s="199" t="s">
        <v>29</v>
      </c>
      <c r="C77" s="427">
        <v>3</v>
      </c>
      <c r="D77" s="184">
        <f>F77-F76</f>
        <v>0</v>
      </c>
      <c r="E77" s="267" t="e">
        <f t="shared" si="12"/>
        <v>#DIV/0!</v>
      </c>
      <c r="F77" s="218">
        <f>FREQUENCY('Grille de saisie'!$M$3:$M$602,Fréquence!C77)</f>
        <v>0</v>
      </c>
      <c r="G77" s="213" t="e">
        <f>E77+E76+E75</f>
        <v>#DIV/0!</v>
      </c>
    </row>
    <row r="78" spans="1:7">
      <c r="A78" s="186"/>
      <c r="B78" s="199" t="s">
        <v>31</v>
      </c>
      <c r="C78" s="427">
        <v>4</v>
      </c>
      <c r="D78" s="184">
        <f>F78-F77</f>
        <v>0</v>
      </c>
      <c r="E78" s="267" t="e">
        <f t="shared" si="12"/>
        <v>#DIV/0!</v>
      </c>
      <c r="F78" s="218">
        <f>FREQUENCY('Grille de saisie'!$M$3:$M$602,Fréquence!C78)</f>
        <v>0</v>
      </c>
      <c r="G78" s="213" t="e">
        <f>E78+E77+E76+E75</f>
        <v>#DIV/0!</v>
      </c>
    </row>
    <row r="79" spans="1:7">
      <c r="A79" s="191"/>
      <c r="B79" s="204"/>
      <c r="C79" s="428"/>
      <c r="D79" s="196"/>
      <c r="E79" s="158"/>
      <c r="F79" s="200"/>
      <c r="G79" s="214"/>
    </row>
    <row r="80" spans="1:7">
      <c r="A80" s="220" t="s">
        <v>530</v>
      </c>
      <c r="B80" s="151"/>
      <c r="C80" s="210"/>
      <c r="D80" s="148"/>
      <c r="E80" s="211"/>
      <c r="F80" s="148"/>
      <c r="G80" s="190"/>
    </row>
    <row r="81" spans="1:7">
      <c r="A81" s="201" t="s">
        <v>217</v>
      </c>
      <c r="B81" s="199" t="s">
        <v>28</v>
      </c>
      <c r="C81" s="427">
        <v>1</v>
      </c>
      <c r="D81" s="148">
        <f>F81</f>
        <v>0</v>
      </c>
      <c r="E81" s="212" t="e">
        <f>D81/$F$84</f>
        <v>#DIV/0!</v>
      </c>
      <c r="F81" s="148">
        <f>FREQUENCY('Grille de saisie'!$N$3:$N$602,Fréquence!C81)</f>
        <v>0</v>
      </c>
      <c r="G81" s="213" t="e">
        <f>E81</f>
        <v>#DIV/0!</v>
      </c>
    </row>
    <row r="82" spans="1:7">
      <c r="A82" s="201" t="s">
        <v>189</v>
      </c>
      <c r="B82" s="199" t="s">
        <v>30</v>
      </c>
      <c r="C82" s="427">
        <v>2</v>
      </c>
      <c r="D82" s="148">
        <f>F82-F81</f>
        <v>0</v>
      </c>
      <c r="E82" s="212" t="e">
        <f t="shared" ref="E82:E84" si="13">D82/$F$84</f>
        <v>#DIV/0!</v>
      </c>
      <c r="F82" s="148">
        <f>FREQUENCY('Grille de saisie'!$N$3:$N$602,Fréquence!C82)</f>
        <v>0</v>
      </c>
      <c r="G82" s="213" t="e">
        <f>E82+E81</f>
        <v>#DIV/0!</v>
      </c>
    </row>
    <row r="83" spans="1:7">
      <c r="A83" s="201"/>
      <c r="B83" s="199" t="s">
        <v>29</v>
      </c>
      <c r="C83" s="427">
        <v>3</v>
      </c>
      <c r="D83" s="148">
        <f>F83-F82</f>
        <v>0</v>
      </c>
      <c r="E83" s="212" t="e">
        <f t="shared" si="13"/>
        <v>#DIV/0!</v>
      </c>
      <c r="F83" s="148">
        <f>FREQUENCY('Grille de saisie'!$N$3:$N$602,Fréquence!C83)</f>
        <v>0</v>
      </c>
      <c r="G83" s="213" t="e">
        <f>E83+E82+E81</f>
        <v>#DIV/0!</v>
      </c>
    </row>
    <row r="84" spans="1:7">
      <c r="A84" s="401"/>
      <c r="B84" s="199" t="s">
        <v>31</v>
      </c>
      <c r="C84" s="427">
        <v>4</v>
      </c>
      <c r="D84" s="148">
        <f>F84-F83</f>
        <v>0</v>
      </c>
      <c r="E84" s="212" t="e">
        <f t="shared" si="13"/>
        <v>#DIV/0!</v>
      </c>
      <c r="F84" s="148">
        <f>FREQUENCY('Grille de saisie'!$N$3:$N$602,Fréquence!C84)</f>
        <v>0</v>
      </c>
      <c r="G84" s="213" t="e">
        <f>E84+E83+E82+E81</f>
        <v>#DIV/0!</v>
      </c>
    </row>
    <row r="85" spans="1:7">
      <c r="A85" s="127"/>
      <c r="B85" s="204"/>
      <c r="C85" s="428"/>
      <c r="D85" s="157"/>
      <c r="E85" s="214"/>
      <c r="F85" s="157"/>
      <c r="G85" s="214"/>
    </row>
    <row r="86" spans="1:7">
      <c r="A86" s="220" t="s">
        <v>531</v>
      </c>
      <c r="B86" s="151"/>
      <c r="C86" s="429"/>
      <c r="D86" s="194"/>
      <c r="E86" s="176"/>
      <c r="F86" s="218"/>
      <c r="G86" s="190"/>
    </row>
    <row r="87" spans="1:7">
      <c r="A87" s="201" t="s">
        <v>218</v>
      </c>
      <c r="B87" s="199" t="s">
        <v>28</v>
      </c>
      <c r="C87" s="427">
        <v>1</v>
      </c>
      <c r="D87" s="194">
        <f>F87</f>
        <v>0</v>
      </c>
      <c r="E87" s="152" t="e">
        <f>D87/$F$90</f>
        <v>#DIV/0!</v>
      </c>
      <c r="F87" s="218">
        <f>FREQUENCY('Grille de saisie'!$O$3:$O$602,Fréquence!C87)</f>
        <v>0</v>
      </c>
      <c r="G87" s="213" t="e">
        <f>E87</f>
        <v>#DIV/0!</v>
      </c>
    </row>
    <row r="88" spans="1:7">
      <c r="A88" s="201" t="s">
        <v>219</v>
      </c>
      <c r="B88" s="199" t="s">
        <v>30</v>
      </c>
      <c r="C88" s="427">
        <v>2</v>
      </c>
      <c r="D88" s="194">
        <f>F88-F87</f>
        <v>0</v>
      </c>
      <c r="E88" s="267" t="e">
        <f t="shared" ref="E88:E90" si="14">D88/$F$90</f>
        <v>#DIV/0!</v>
      </c>
      <c r="F88" s="218">
        <f>FREQUENCY('Grille de saisie'!$O$3:$O$602,Fréquence!C88)</f>
        <v>0</v>
      </c>
      <c r="G88" s="213" t="e">
        <f>E88+E87</f>
        <v>#DIV/0!</v>
      </c>
    </row>
    <row r="89" spans="1:7">
      <c r="A89" s="127"/>
      <c r="B89" s="199" t="s">
        <v>29</v>
      </c>
      <c r="C89" s="427">
        <v>3</v>
      </c>
      <c r="D89" s="194">
        <f>F89-F88</f>
        <v>0</v>
      </c>
      <c r="E89" s="267" t="e">
        <f t="shared" si="14"/>
        <v>#DIV/0!</v>
      </c>
      <c r="F89" s="218">
        <f>FREQUENCY('Grille de saisie'!$O$3:$O$602,Fréquence!C89)</f>
        <v>0</v>
      </c>
      <c r="G89" s="213" t="e">
        <f>E89+E88+E87</f>
        <v>#DIV/0!</v>
      </c>
    </row>
    <row r="90" spans="1:7">
      <c r="A90" s="127"/>
      <c r="B90" s="199" t="s">
        <v>31</v>
      </c>
      <c r="C90" s="427">
        <v>4</v>
      </c>
      <c r="D90" s="194">
        <f>F90-F89</f>
        <v>0</v>
      </c>
      <c r="E90" s="267" t="e">
        <f t="shared" si="14"/>
        <v>#DIV/0!</v>
      </c>
      <c r="F90" s="218">
        <f>FREQUENCY('Grille de saisie'!$O$3:$O$602,Fréquence!C90)</f>
        <v>0</v>
      </c>
      <c r="G90" s="213" t="e">
        <f>E90+E89+E88+E87</f>
        <v>#DIV/0!</v>
      </c>
    </row>
    <row r="91" spans="1:7">
      <c r="A91" s="127"/>
      <c r="B91" s="204"/>
      <c r="C91" s="428"/>
      <c r="D91" s="216"/>
      <c r="E91" s="158"/>
      <c r="F91" s="200"/>
      <c r="G91" s="214"/>
    </row>
    <row r="92" spans="1:7">
      <c r="A92" s="220" t="s">
        <v>532</v>
      </c>
      <c r="B92" s="151"/>
      <c r="D92" s="148"/>
      <c r="E92" s="211"/>
      <c r="F92" s="148"/>
      <c r="G92" s="190"/>
    </row>
    <row r="93" spans="1:7">
      <c r="A93" s="201" t="s">
        <v>220</v>
      </c>
      <c r="B93" s="199" t="s">
        <v>28</v>
      </c>
      <c r="C93" s="427">
        <v>1</v>
      </c>
      <c r="D93" s="148">
        <f>F93</f>
        <v>0</v>
      </c>
      <c r="E93" s="212" t="e">
        <f>D93/$F$96</f>
        <v>#DIV/0!</v>
      </c>
      <c r="F93" s="148">
        <f>FREQUENCY('Grille de saisie'!$P$3:$P$602,Fréquence!C93)</f>
        <v>0</v>
      </c>
      <c r="G93" s="213" t="e">
        <f>E93</f>
        <v>#DIV/0!</v>
      </c>
    </row>
    <row r="94" spans="1:7">
      <c r="A94" s="402" t="s">
        <v>190</v>
      </c>
      <c r="B94" s="199" t="s">
        <v>30</v>
      </c>
      <c r="C94" s="427">
        <v>2</v>
      </c>
      <c r="D94" s="148">
        <f>F94-F93</f>
        <v>0</v>
      </c>
      <c r="E94" s="212" t="e">
        <f t="shared" ref="E94:E96" si="15">D94/$F$96</f>
        <v>#DIV/0!</v>
      </c>
      <c r="F94" s="148">
        <f>FREQUENCY('Grille de saisie'!$P$3:$P$602,Fréquence!C94)</f>
        <v>0</v>
      </c>
      <c r="G94" s="213" t="e">
        <f>E94+E93</f>
        <v>#DIV/0!</v>
      </c>
    </row>
    <row r="95" spans="1:7">
      <c r="A95" s="127"/>
      <c r="B95" s="199" t="s">
        <v>29</v>
      </c>
      <c r="C95" s="427">
        <v>3</v>
      </c>
      <c r="D95" s="148">
        <f>F95-F94</f>
        <v>0</v>
      </c>
      <c r="E95" s="212" t="e">
        <f t="shared" si="15"/>
        <v>#DIV/0!</v>
      </c>
      <c r="F95" s="148">
        <f>FREQUENCY('Grille de saisie'!$P$3:$P$602,Fréquence!C95)</f>
        <v>0</v>
      </c>
      <c r="G95" s="213" t="e">
        <f>E95+E94+E93</f>
        <v>#DIV/0!</v>
      </c>
    </row>
    <row r="96" spans="1:7">
      <c r="A96" s="127"/>
      <c r="B96" s="199" t="s">
        <v>31</v>
      </c>
      <c r="C96" s="427">
        <v>4</v>
      </c>
      <c r="D96" s="148">
        <f>F96-F95</f>
        <v>0</v>
      </c>
      <c r="E96" s="212" t="e">
        <f t="shared" si="15"/>
        <v>#DIV/0!</v>
      </c>
      <c r="F96" s="148">
        <f>FREQUENCY('Grille de saisie'!$P$3:$P$602,Fréquence!C96)</f>
        <v>0</v>
      </c>
      <c r="G96" s="213" t="e">
        <f>E96+E95+E94+E93</f>
        <v>#DIV/0!</v>
      </c>
    </row>
    <row r="97" spans="1:7">
      <c r="A97" s="223"/>
      <c r="B97" s="204"/>
      <c r="C97" s="428"/>
      <c r="D97" s="157"/>
      <c r="E97" s="197"/>
      <c r="F97" s="157"/>
      <c r="G97" s="214"/>
    </row>
    <row r="98" spans="1:7">
      <c r="A98" s="220" t="s">
        <v>533</v>
      </c>
      <c r="B98" s="151"/>
      <c r="D98" s="148"/>
      <c r="F98" s="148"/>
      <c r="G98" s="194"/>
    </row>
    <row r="99" spans="1:7">
      <c r="A99" s="201" t="s">
        <v>216</v>
      </c>
      <c r="B99" s="199" t="s">
        <v>28</v>
      </c>
      <c r="C99" s="427">
        <v>1</v>
      </c>
      <c r="D99" s="148">
        <f>F99</f>
        <v>0</v>
      </c>
      <c r="E99" s="212" t="e">
        <f>D99/$F$102</f>
        <v>#DIV/0!</v>
      </c>
      <c r="F99" s="148">
        <f>FREQUENCY('Grille de saisie'!$Q$3:$Q$602,Fréquence!C99)</f>
        <v>0</v>
      </c>
      <c r="G99" s="213" t="e">
        <f>E99</f>
        <v>#DIV/0!</v>
      </c>
    </row>
    <row r="100" spans="1:7">
      <c r="A100" s="201" t="s">
        <v>221</v>
      </c>
      <c r="B100" s="199" t="s">
        <v>30</v>
      </c>
      <c r="C100" s="427">
        <v>2</v>
      </c>
      <c r="D100" s="148">
        <f>F100-F99</f>
        <v>0</v>
      </c>
      <c r="E100" s="212" t="e">
        <f t="shared" ref="E100:E102" si="16">D100/$F$102</f>
        <v>#DIV/0!</v>
      </c>
      <c r="F100" s="148">
        <f>FREQUENCY('Grille de saisie'!$Q$3:$Q$602,Fréquence!C100)</f>
        <v>0</v>
      </c>
      <c r="G100" s="213" t="e">
        <f>E100+E99</f>
        <v>#DIV/0!</v>
      </c>
    </row>
    <row r="101" spans="1:7">
      <c r="A101" s="177" t="s">
        <v>190</v>
      </c>
      <c r="B101" s="199" t="s">
        <v>29</v>
      </c>
      <c r="C101" s="427">
        <v>3</v>
      </c>
      <c r="D101" s="148">
        <f>F101-F100</f>
        <v>0</v>
      </c>
      <c r="E101" s="212" t="e">
        <f t="shared" si="16"/>
        <v>#DIV/0!</v>
      </c>
      <c r="F101" s="148">
        <f>FREQUENCY('Grille de saisie'!$Q$3:$Q$602,Fréquence!C101)</f>
        <v>0</v>
      </c>
      <c r="G101" s="213" t="e">
        <f>E101+E100+E99</f>
        <v>#DIV/0!</v>
      </c>
    </row>
    <row r="102" spans="1:7">
      <c r="A102" s="401"/>
      <c r="B102" s="199" t="s">
        <v>31</v>
      </c>
      <c r="C102" s="427">
        <v>4</v>
      </c>
      <c r="D102" s="148">
        <f>F102-F101</f>
        <v>0</v>
      </c>
      <c r="E102" s="212" t="e">
        <f t="shared" si="16"/>
        <v>#DIV/0!</v>
      </c>
      <c r="F102" s="148">
        <f>FREQUENCY('Grille de saisie'!$Q$3:$Q$602,Fréquence!C102)</f>
        <v>0</v>
      </c>
      <c r="G102" s="213" t="e">
        <f>E102+E101+E100+E99</f>
        <v>#DIV/0!</v>
      </c>
    </row>
    <row r="103" spans="1:7">
      <c r="A103" s="223"/>
      <c r="B103" s="204"/>
      <c r="C103" s="428"/>
      <c r="D103" s="157"/>
      <c r="E103" s="197"/>
      <c r="F103" s="157"/>
      <c r="G103" s="214"/>
    </row>
    <row r="104" spans="1:7">
      <c r="A104" s="220" t="s">
        <v>534</v>
      </c>
      <c r="B104" s="435"/>
      <c r="D104" s="148"/>
      <c r="F104" s="148"/>
      <c r="G104" s="189"/>
    </row>
    <row r="105" spans="1:7">
      <c r="A105" s="201" t="s">
        <v>222</v>
      </c>
      <c r="B105" s="199" t="s">
        <v>28</v>
      </c>
      <c r="C105" s="427">
        <v>1</v>
      </c>
      <c r="D105" s="148">
        <f>F105</f>
        <v>0</v>
      </c>
      <c r="E105" s="212" t="e">
        <f>D105/$F$108</f>
        <v>#DIV/0!</v>
      </c>
      <c r="F105" s="148">
        <f>FREQUENCY('Grille de saisie'!$R$3:$R$602,Fréquence!C105)</f>
        <v>0</v>
      </c>
      <c r="G105" s="213" t="e">
        <f>E105</f>
        <v>#DIV/0!</v>
      </c>
    </row>
    <row r="106" spans="1:7">
      <c r="A106" s="127"/>
      <c r="B106" s="199" t="s">
        <v>30</v>
      </c>
      <c r="C106" s="427">
        <v>2</v>
      </c>
      <c r="D106" s="148">
        <f>F106-F105</f>
        <v>0</v>
      </c>
      <c r="E106" s="212" t="e">
        <f t="shared" ref="E106:E108" si="17">D106/$F$108</f>
        <v>#DIV/0!</v>
      </c>
      <c r="F106" s="148">
        <f>FREQUENCY('Grille de saisie'!$R$3:$R$602,Fréquence!C106)</f>
        <v>0</v>
      </c>
      <c r="G106" s="213" t="e">
        <f>E106+E105</f>
        <v>#DIV/0!</v>
      </c>
    </row>
    <row r="107" spans="1:7">
      <c r="A107" s="127"/>
      <c r="B107" s="199" t="s">
        <v>29</v>
      </c>
      <c r="C107" s="427">
        <v>3</v>
      </c>
      <c r="D107" s="148">
        <f>F107-F106</f>
        <v>0</v>
      </c>
      <c r="E107" s="212" t="e">
        <f t="shared" si="17"/>
        <v>#DIV/0!</v>
      </c>
      <c r="F107" s="148">
        <f>FREQUENCY('Grille de saisie'!$R$3:$R$602,Fréquence!C107)</f>
        <v>0</v>
      </c>
      <c r="G107" s="213" t="e">
        <f>E107+E106+E105</f>
        <v>#DIV/0!</v>
      </c>
    </row>
    <row r="108" spans="1:7">
      <c r="A108" s="127"/>
      <c r="B108" s="199" t="s">
        <v>31</v>
      </c>
      <c r="C108" s="427">
        <v>4</v>
      </c>
      <c r="D108" s="148">
        <f>F108-F107</f>
        <v>0</v>
      </c>
      <c r="E108" s="212" t="e">
        <f t="shared" si="17"/>
        <v>#DIV/0!</v>
      </c>
      <c r="F108" s="148">
        <f>FREQUENCY('Grille de saisie'!$R$3:$R$602,Fréquence!C108)</f>
        <v>0</v>
      </c>
      <c r="G108" s="213" t="e">
        <f>E108+E107+E106+E105</f>
        <v>#DIV/0!</v>
      </c>
    </row>
    <row r="109" spans="1:7">
      <c r="A109" s="127"/>
      <c r="B109" s="204"/>
      <c r="C109" s="428"/>
      <c r="D109" s="157"/>
      <c r="E109" s="158"/>
      <c r="F109" s="148"/>
      <c r="G109" s="214"/>
    </row>
    <row r="110" spans="1:7">
      <c r="A110" s="220" t="s">
        <v>535</v>
      </c>
      <c r="B110" s="435"/>
      <c r="D110" s="148"/>
      <c r="F110" s="149"/>
      <c r="G110" s="189"/>
    </row>
    <row r="111" spans="1:7">
      <c r="A111" s="201" t="s">
        <v>223</v>
      </c>
      <c r="B111" s="199" t="s">
        <v>28</v>
      </c>
      <c r="C111" s="427">
        <v>1</v>
      </c>
      <c r="D111" s="148">
        <f>F111</f>
        <v>0</v>
      </c>
      <c r="E111" s="193" t="e">
        <f>D111/$F$114</f>
        <v>#DIV/0!</v>
      </c>
      <c r="F111" s="148">
        <f>FREQUENCY('Grille de saisie'!$S$3:$S$602,Fréquence!C111)</f>
        <v>0</v>
      </c>
      <c r="G111" s="213" t="e">
        <f>E111</f>
        <v>#DIV/0!</v>
      </c>
    </row>
    <row r="112" spans="1:7">
      <c r="A112" s="201" t="s">
        <v>224</v>
      </c>
      <c r="B112" s="199" t="s">
        <v>30</v>
      </c>
      <c r="C112" s="427">
        <v>2</v>
      </c>
      <c r="D112" s="148">
        <f>F112-F111</f>
        <v>0</v>
      </c>
      <c r="E112" s="193" t="e">
        <f t="shared" ref="E112:E114" si="18">D112/$F$114</f>
        <v>#DIV/0!</v>
      </c>
      <c r="F112" s="148">
        <f>FREQUENCY('Grille de saisie'!$S$3:$S$602,Fréquence!C112)</f>
        <v>0</v>
      </c>
      <c r="G112" s="213" t="e">
        <f>E112+E111</f>
        <v>#DIV/0!</v>
      </c>
    </row>
    <row r="113" spans="1:7">
      <c r="A113" s="201" t="s">
        <v>225</v>
      </c>
      <c r="B113" s="199" t="s">
        <v>29</v>
      </c>
      <c r="C113" s="427">
        <v>3</v>
      </c>
      <c r="D113" s="148">
        <f>F113-F112</f>
        <v>0</v>
      </c>
      <c r="E113" s="193" t="e">
        <f t="shared" si="18"/>
        <v>#DIV/0!</v>
      </c>
      <c r="F113" s="148">
        <f>FREQUENCY('Grille de saisie'!$S$3:$S$602,Fréquence!C113)</f>
        <v>0</v>
      </c>
      <c r="G113" s="213" t="e">
        <f>E113+E112+E111</f>
        <v>#DIV/0!</v>
      </c>
    </row>
    <row r="114" spans="1:7">
      <c r="A114" s="127"/>
      <c r="B114" s="199" t="s">
        <v>31</v>
      </c>
      <c r="C114" s="427">
        <v>4</v>
      </c>
      <c r="D114" s="148">
        <f>F114-F113</f>
        <v>0</v>
      </c>
      <c r="E114" s="193" t="e">
        <f t="shared" si="18"/>
        <v>#DIV/0!</v>
      </c>
      <c r="F114" s="148">
        <f>FREQUENCY('Grille de saisie'!$S$3:$S$602,Fréquence!C114)</f>
        <v>0</v>
      </c>
      <c r="G114" s="213" t="e">
        <f>E114+E113+E112+E111</f>
        <v>#DIV/0!</v>
      </c>
    </row>
    <row r="115" spans="1:7">
      <c r="A115" s="191"/>
      <c r="B115" s="204"/>
      <c r="C115" s="428"/>
      <c r="D115" s="157"/>
      <c r="E115" s="158"/>
      <c r="F115" s="148"/>
      <c r="G115" s="214"/>
    </row>
    <row r="116" spans="1:7">
      <c r="A116" s="220" t="s">
        <v>536</v>
      </c>
      <c r="B116" s="435"/>
      <c r="D116" s="148"/>
      <c r="F116" s="149"/>
      <c r="G116" s="189"/>
    </row>
    <row r="117" spans="1:7">
      <c r="A117" s="201" t="s">
        <v>226</v>
      </c>
      <c r="B117" s="199" t="s">
        <v>28</v>
      </c>
      <c r="C117" s="427">
        <v>1</v>
      </c>
      <c r="D117" s="148">
        <f>F117</f>
        <v>0</v>
      </c>
      <c r="E117" s="213" t="e">
        <f>D117/$F$120</f>
        <v>#DIV/0!</v>
      </c>
      <c r="F117" s="148">
        <f>FREQUENCY('Grille de saisie'!$T$3:$T$602,Fréquence!C117)</f>
        <v>0</v>
      </c>
      <c r="G117" s="213" t="e">
        <f>E117</f>
        <v>#DIV/0!</v>
      </c>
    </row>
    <row r="118" spans="1:7">
      <c r="A118" s="127" t="s">
        <v>191</v>
      </c>
      <c r="B118" s="199" t="s">
        <v>30</v>
      </c>
      <c r="C118" s="427">
        <v>2</v>
      </c>
      <c r="D118" s="148">
        <f>F118-F117</f>
        <v>0</v>
      </c>
      <c r="E118" s="213" t="e">
        <f t="shared" ref="E118:E120" si="19">D118/$F$120</f>
        <v>#DIV/0!</v>
      </c>
      <c r="F118" s="148">
        <f>FREQUENCY('Grille de saisie'!$T$3:$T$602,Fréquence!C118)</f>
        <v>0</v>
      </c>
      <c r="G118" s="213" t="e">
        <f>E118+E117</f>
        <v>#DIV/0!</v>
      </c>
    </row>
    <row r="119" spans="1:7">
      <c r="A119" s="127"/>
      <c r="B119" s="199" t="s">
        <v>29</v>
      </c>
      <c r="C119" s="427">
        <v>3</v>
      </c>
      <c r="D119" s="148">
        <f>F119-F118</f>
        <v>0</v>
      </c>
      <c r="E119" s="213" t="e">
        <f t="shared" si="19"/>
        <v>#DIV/0!</v>
      </c>
      <c r="F119" s="148">
        <f>FREQUENCY('Grille de saisie'!$T$3:$T$602,Fréquence!C119)</f>
        <v>0</v>
      </c>
      <c r="G119" s="213" t="e">
        <f>E119+E118+E117</f>
        <v>#DIV/0!</v>
      </c>
    </row>
    <row r="120" spans="1:7">
      <c r="A120" s="401"/>
      <c r="B120" s="199" t="s">
        <v>31</v>
      </c>
      <c r="C120" s="427">
        <v>4</v>
      </c>
      <c r="D120" s="148">
        <f>F120-F119</f>
        <v>0</v>
      </c>
      <c r="E120" s="213" t="e">
        <f t="shared" si="19"/>
        <v>#DIV/0!</v>
      </c>
      <c r="F120" s="148">
        <f>FREQUENCY('Grille de saisie'!$T$3:$T$602,Fréquence!C120)</f>
        <v>0</v>
      </c>
      <c r="G120" s="213" t="e">
        <f>E120+E119+E118+E117</f>
        <v>#DIV/0!</v>
      </c>
    </row>
    <row r="121" spans="1:7">
      <c r="A121" s="223"/>
      <c r="B121" s="204"/>
      <c r="C121" s="428"/>
      <c r="D121" s="157"/>
      <c r="E121" s="158"/>
      <c r="F121" s="148"/>
      <c r="G121" s="214"/>
    </row>
    <row r="122" spans="1:7">
      <c r="A122" s="399" t="s">
        <v>537</v>
      </c>
      <c r="B122" s="435"/>
      <c r="C122" s="188"/>
      <c r="D122" s="149"/>
      <c r="F122" s="149"/>
      <c r="G122" s="189"/>
    </row>
    <row r="123" spans="1:7">
      <c r="A123" s="177" t="s">
        <v>227</v>
      </c>
      <c r="B123" s="199" t="s">
        <v>192</v>
      </c>
      <c r="C123" s="427">
        <v>1</v>
      </c>
      <c r="D123" s="148">
        <f>F123</f>
        <v>0</v>
      </c>
      <c r="E123" s="213" t="e">
        <f>D123/$F$126</f>
        <v>#DIV/0!</v>
      </c>
      <c r="F123" s="148">
        <f>FREQUENCY('Grille de saisie'!$U$3:$U$602,Fréquence!C123)</f>
        <v>0</v>
      </c>
      <c r="G123" s="213" t="e">
        <f>E123</f>
        <v>#DIV/0!</v>
      </c>
    </row>
    <row r="124" spans="1:7">
      <c r="A124" s="389"/>
      <c r="B124" s="199" t="s">
        <v>193</v>
      </c>
      <c r="C124" s="427">
        <v>2</v>
      </c>
      <c r="D124" s="148">
        <f>F124-F123</f>
        <v>0</v>
      </c>
      <c r="E124" s="213" t="e">
        <f t="shared" ref="E124:E126" si="20">D124/$F$126</f>
        <v>#DIV/0!</v>
      </c>
      <c r="F124" s="148">
        <f>FREQUENCY('Grille de saisie'!$U$3:$U$602,Fréquence!C124)</f>
        <v>0</v>
      </c>
      <c r="G124" s="213" t="e">
        <f>E124+E123</f>
        <v>#DIV/0!</v>
      </c>
    </row>
    <row r="125" spans="1:7">
      <c r="A125" s="389"/>
      <c r="B125" s="199" t="s">
        <v>194</v>
      </c>
      <c r="C125" s="427">
        <v>3</v>
      </c>
      <c r="D125" s="148">
        <f>F125-F124</f>
        <v>0</v>
      </c>
      <c r="E125" s="213" t="e">
        <f t="shared" si="20"/>
        <v>#DIV/0!</v>
      </c>
      <c r="F125" s="148">
        <f>FREQUENCY('Grille de saisie'!$U$3:$U$602,Fréquence!C125)</f>
        <v>0</v>
      </c>
      <c r="G125" s="213" t="e">
        <f>E125+E124+E123</f>
        <v>#DIV/0!</v>
      </c>
    </row>
    <row r="126" spans="1:7">
      <c r="A126" s="389"/>
      <c r="B126" s="172" t="s">
        <v>392</v>
      </c>
      <c r="C126" s="427">
        <v>4</v>
      </c>
      <c r="D126" s="148">
        <f>F126-F125</f>
        <v>0</v>
      </c>
      <c r="E126" s="213" t="e">
        <f t="shared" si="20"/>
        <v>#DIV/0!</v>
      </c>
      <c r="F126" s="148">
        <f>FREQUENCY('Grille de saisie'!$U$3:$U$602,Fréquence!C126)</f>
        <v>0</v>
      </c>
      <c r="G126" s="213" t="e">
        <f>E126+E125+E124+E123</f>
        <v>#DIV/0!</v>
      </c>
    </row>
    <row r="127" spans="1:7">
      <c r="A127" s="191"/>
      <c r="B127" s="204"/>
      <c r="C127" s="428"/>
      <c r="D127" s="157"/>
      <c r="E127" s="197"/>
      <c r="F127" s="157"/>
      <c r="G127" s="214"/>
    </row>
    <row r="128" spans="1:7">
      <c r="A128" s="399" t="s">
        <v>538</v>
      </c>
      <c r="B128" s="435"/>
      <c r="C128" s="422"/>
      <c r="E128" s="148"/>
      <c r="F128" s="218"/>
      <c r="G128" s="189"/>
    </row>
    <row r="129" spans="1:7">
      <c r="A129" s="177" t="s">
        <v>228</v>
      </c>
      <c r="B129" s="199" t="s">
        <v>192</v>
      </c>
      <c r="C129" s="427">
        <v>1</v>
      </c>
      <c r="D129" s="184">
        <f>F129</f>
        <v>0</v>
      </c>
      <c r="E129" s="152" t="e">
        <f>D129/$F$132</f>
        <v>#DIV/0!</v>
      </c>
      <c r="F129" s="218">
        <f>FREQUENCY('Grille de saisie'!$V$3:$V$602,Fréquence!C129)</f>
        <v>0</v>
      </c>
      <c r="G129" s="213" t="e">
        <f>E129</f>
        <v>#DIV/0!</v>
      </c>
    </row>
    <row r="130" spans="1:7">
      <c r="A130" s="177" t="s">
        <v>229</v>
      </c>
      <c r="B130" s="199" t="s">
        <v>193</v>
      </c>
      <c r="C130" s="427">
        <v>2</v>
      </c>
      <c r="D130" s="184">
        <f>F130-F129</f>
        <v>0</v>
      </c>
      <c r="E130" s="267" t="e">
        <f t="shared" ref="E130:E132" si="21">D130/$F$132</f>
        <v>#DIV/0!</v>
      </c>
      <c r="F130" s="218">
        <f>FREQUENCY('Grille de saisie'!$V$3:$V$602,Fréquence!C130)</f>
        <v>0</v>
      </c>
      <c r="G130" s="213" t="e">
        <f>E130+E129</f>
        <v>#DIV/0!</v>
      </c>
    </row>
    <row r="131" spans="1:7">
      <c r="A131" s="177" t="s">
        <v>190</v>
      </c>
      <c r="B131" s="199" t="s">
        <v>194</v>
      </c>
      <c r="C131" s="427">
        <v>3</v>
      </c>
      <c r="D131" s="184">
        <f>F131-F130</f>
        <v>0</v>
      </c>
      <c r="E131" s="267" t="e">
        <f t="shared" si="21"/>
        <v>#DIV/0!</v>
      </c>
      <c r="F131" s="218">
        <f>FREQUENCY('Grille de saisie'!$V$3:$V$602,Fréquence!C131)</f>
        <v>0</v>
      </c>
      <c r="G131" s="213" t="e">
        <f>E131+E130+E129</f>
        <v>#DIV/0!</v>
      </c>
    </row>
    <row r="132" spans="1:7">
      <c r="A132" s="389"/>
      <c r="B132" s="172" t="s">
        <v>392</v>
      </c>
      <c r="C132" s="427">
        <v>4</v>
      </c>
      <c r="D132" s="184">
        <f>F132-F131</f>
        <v>0</v>
      </c>
      <c r="E132" s="267" t="e">
        <f t="shared" si="21"/>
        <v>#DIV/0!</v>
      </c>
      <c r="F132" s="218">
        <f>FREQUENCY('Grille de saisie'!$V$3:$V$602,Fréquence!C132)</f>
        <v>0</v>
      </c>
      <c r="G132" s="213" t="e">
        <f>E132+E131+E130+E129</f>
        <v>#DIV/0!</v>
      </c>
    </row>
    <row r="133" spans="1:7">
      <c r="A133" s="191"/>
      <c r="B133" s="204"/>
      <c r="C133" s="428"/>
      <c r="D133" s="196"/>
      <c r="E133" s="158"/>
      <c r="F133" s="200"/>
      <c r="G133" s="214"/>
    </row>
    <row r="134" spans="1:7">
      <c r="A134" s="399" t="s">
        <v>539</v>
      </c>
      <c r="B134" s="435"/>
      <c r="D134" s="198"/>
      <c r="E134" s="148"/>
      <c r="F134" s="218"/>
      <c r="G134" s="189"/>
    </row>
    <row r="135" spans="1:7">
      <c r="A135" s="177" t="s">
        <v>230</v>
      </c>
      <c r="B135" s="199" t="s">
        <v>21</v>
      </c>
      <c r="C135" s="427">
        <v>1</v>
      </c>
      <c r="D135" s="184">
        <f>F135</f>
        <v>0</v>
      </c>
      <c r="E135" s="152" t="e">
        <f>D135/$F$138</f>
        <v>#DIV/0!</v>
      </c>
      <c r="F135" s="218">
        <f>FREQUENCY('Grille de saisie'!$W$3:$W$602,Fréquence!C135)</f>
        <v>0</v>
      </c>
      <c r="G135" s="213" t="e">
        <f>E135</f>
        <v>#DIV/0!</v>
      </c>
    </row>
    <row r="136" spans="1:7">
      <c r="A136" s="177" t="s">
        <v>195</v>
      </c>
      <c r="B136" s="199" t="s">
        <v>32</v>
      </c>
      <c r="C136" s="427">
        <v>2</v>
      </c>
      <c r="D136" s="184">
        <f>F136-F135</f>
        <v>0</v>
      </c>
      <c r="E136" s="267" t="e">
        <f t="shared" ref="E136:E138" si="22">D136/$F$138</f>
        <v>#DIV/0!</v>
      </c>
      <c r="F136" s="218">
        <f>FREQUENCY('Grille de saisie'!$W$3:$W$602,Fréquence!C136)</f>
        <v>0</v>
      </c>
      <c r="G136" s="213" t="e">
        <f>E136+E135</f>
        <v>#DIV/0!</v>
      </c>
    </row>
    <row r="137" spans="1:7">
      <c r="A137" s="186"/>
      <c r="B137" s="199" t="s">
        <v>33</v>
      </c>
      <c r="C137" s="427">
        <v>3</v>
      </c>
      <c r="D137" s="184">
        <f>F137-F136</f>
        <v>0</v>
      </c>
      <c r="E137" s="267" t="e">
        <f t="shared" si="22"/>
        <v>#DIV/0!</v>
      </c>
      <c r="F137" s="218">
        <f>FREQUENCY('Grille de saisie'!$W$3:$W$602,Fréquence!C137)</f>
        <v>0</v>
      </c>
      <c r="G137" s="213" t="e">
        <f>E137+E136+E135</f>
        <v>#DIV/0!</v>
      </c>
    </row>
    <row r="138" spans="1:7">
      <c r="A138" s="389"/>
      <c r="B138" s="199" t="s">
        <v>34</v>
      </c>
      <c r="C138" s="427">
        <v>4</v>
      </c>
      <c r="D138" s="184">
        <f>F138-F137</f>
        <v>0</v>
      </c>
      <c r="E138" s="267" t="e">
        <f t="shared" si="22"/>
        <v>#DIV/0!</v>
      </c>
      <c r="F138" s="218">
        <f>FREQUENCY('Grille de saisie'!$W$3:$W$602,Fréquence!C138)</f>
        <v>0</v>
      </c>
      <c r="G138" s="213" t="e">
        <f>E138+E137+E136+E135</f>
        <v>#DIV/0!</v>
      </c>
    </row>
    <row r="139" spans="1:7">
      <c r="A139" s="191"/>
      <c r="B139" s="204"/>
      <c r="C139" s="428"/>
      <c r="D139" s="196"/>
      <c r="E139" s="158"/>
      <c r="F139" s="200"/>
      <c r="G139" s="214"/>
    </row>
    <row r="140" spans="1:7">
      <c r="A140" s="389" t="s">
        <v>540</v>
      </c>
      <c r="B140" s="151"/>
      <c r="D140" s="198"/>
      <c r="E140" s="148"/>
      <c r="F140" s="218"/>
      <c r="G140" s="194"/>
    </row>
    <row r="141" spans="1:7">
      <c r="A141" s="177" t="s">
        <v>231</v>
      </c>
      <c r="B141" s="199" t="s">
        <v>21</v>
      </c>
      <c r="C141" s="427">
        <v>1</v>
      </c>
      <c r="D141" s="184">
        <f>F141</f>
        <v>0</v>
      </c>
      <c r="E141" s="152" t="e">
        <f>D141/$F$144</f>
        <v>#DIV/0!</v>
      </c>
      <c r="F141" s="218">
        <f>FREQUENCY('Grille de saisie'!$X$3:$X$602,Fréquence!C141)</f>
        <v>0</v>
      </c>
      <c r="G141" s="213" t="e">
        <f>E141</f>
        <v>#DIV/0!</v>
      </c>
    </row>
    <row r="142" spans="1:7">
      <c r="A142" s="177" t="s">
        <v>196</v>
      </c>
      <c r="B142" s="199" t="s">
        <v>32</v>
      </c>
      <c r="C142" s="427">
        <v>2</v>
      </c>
      <c r="D142" s="184">
        <f>F142-F141</f>
        <v>0</v>
      </c>
      <c r="E142" s="267" t="e">
        <f t="shared" ref="E142:E144" si="23">D142/$F$144</f>
        <v>#DIV/0!</v>
      </c>
      <c r="F142" s="218">
        <f>FREQUENCY('Grille de saisie'!$X$3:$X$602,Fréquence!C142)</f>
        <v>0</v>
      </c>
      <c r="G142" s="213" t="e">
        <f>E142+E141</f>
        <v>#DIV/0!</v>
      </c>
    </row>
    <row r="143" spans="1:7">
      <c r="A143" s="186"/>
      <c r="B143" s="199" t="s">
        <v>33</v>
      </c>
      <c r="C143" s="427">
        <v>3</v>
      </c>
      <c r="D143" s="194">
        <f>F143-F142</f>
        <v>0</v>
      </c>
      <c r="E143" s="267" t="e">
        <f t="shared" si="23"/>
        <v>#DIV/0!</v>
      </c>
      <c r="F143" s="218">
        <f>FREQUENCY('Grille de saisie'!$X$3:$X$602,Fréquence!C143)</f>
        <v>0</v>
      </c>
      <c r="G143" s="213" t="e">
        <f>E143+E142+E141</f>
        <v>#DIV/0!</v>
      </c>
    </row>
    <row r="144" spans="1:7">
      <c r="A144" s="186"/>
      <c r="B144" s="199" t="s">
        <v>34</v>
      </c>
      <c r="C144" s="427">
        <v>4</v>
      </c>
      <c r="D144" s="194">
        <f>F144-F143</f>
        <v>0</v>
      </c>
      <c r="E144" s="267" t="e">
        <f t="shared" si="23"/>
        <v>#DIV/0!</v>
      </c>
      <c r="F144" s="218">
        <f>FREQUENCY('Grille de saisie'!$X$3:$X$602,Fréquence!C144)</f>
        <v>0</v>
      </c>
      <c r="G144" s="213" t="e">
        <f>E144+E143+E142+E141</f>
        <v>#DIV/0!</v>
      </c>
    </row>
    <row r="145" spans="1:7">
      <c r="A145" s="191"/>
      <c r="B145" s="204"/>
      <c r="C145" s="428"/>
      <c r="D145" s="196"/>
      <c r="E145" s="158"/>
      <c r="F145" s="200"/>
      <c r="G145" s="214"/>
    </row>
    <row r="146" spans="1:7">
      <c r="A146" s="389" t="s">
        <v>541</v>
      </c>
      <c r="B146" s="151"/>
      <c r="C146" s="422"/>
      <c r="D146" s="194"/>
      <c r="E146" s="176"/>
      <c r="F146" s="218"/>
      <c r="G146" s="190"/>
    </row>
    <row r="147" spans="1:7">
      <c r="A147" s="398" t="s">
        <v>393</v>
      </c>
      <c r="B147" s="199" t="s">
        <v>35</v>
      </c>
      <c r="C147" s="422">
        <v>1</v>
      </c>
      <c r="D147" s="194">
        <f>F147</f>
        <v>0</v>
      </c>
      <c r="E147" s="152" t="e">
        <f>D147/$F$148</f>
        <v>#DIV/0!</v>
      </c>
      <c r="F147" s="218">
        <f>FREQUENCY('Grille de saisie'!$Y$3:$Y$602,Fréquence!C147)</f>
        <v>0</v>
      </c>
      <c r="G147" s="213" t="e">
        <f>E147</f>
        <v>#DIV/0!</v>
      </c>
    </row>
    <row r="148" spans="1:7">
      <c r="A148" s="177" t="s">
        <v>197</v>
      </c>
      <c r="B148" s="199" t="s">
        <v>36</v>
      </c>
      <c r="C148" s="422">
        <v>2</v>
      </c>
      <c r="D148" s="194">
        <f>F148-F147</f>
        <v>0</v>
      </c>
      <c r="E148" s="267" t="e">
        <f>D148/$F$148</f>
        <v>#DIV/0!</v>
      </c>
      <c r="F148" s="218">
        <f>FREQUENCY('Grille de saisie'!$Y$3:$Y$602,Fréquence!C148)</f>
        <v>0</v>
      </c>
      <c r="G148" s="213" t="e">
        <f>E148+E147</f>
        <v>#DIV/0!</v>
      </c>
    </row>
    <row r="149" spans="1:7">
      <c r="A149" s="177" t="s">
        <v>198</v>
      </c>
      <c r="B149" s="199"/>
      <c r="C149" s="422"/>
      <c r="D149" s="194"/>
      <c r="E149" s="152"/>
      <c r="F149" s="218"/>
      <c r="G149" s="213"/>
    </row>
    <row r="150" spans="1:7">
      <c r="A150" s="179" t="s">
        <v>199</v>
      </c>
      <c r="B150" s="204"/>
      <c r="C150" s="426"/>
      <c r="D150" s="196"/>
      <c r="E150" s="158"/>
      <c r="F150" s="200"/>
      <c r="G150" s="214"/>
    </row>
    <row r="151" spans="1:7">
      <c r="A151" s="389" t="s">
        <v>132</v>
      </c>
      <c r="B151" s="151"/>
      <c r="C151" s="422"/>
      <c r="D151" s="194"/>
      <c r="E151" s="176"/>
      <c r="F151" s="218"/>
      <c r="G151" s="190"/>
    </row>
    <row r="152" spans="1:7">
      <c r="A152" s="177" t="s">
        <v>37</v>
      </c>
      <c r="B152" s="199" t="s">
        <v>35</v>
      </c>
      <c r="C152" s="422">
        <v>1</v>
      </c>
      <c r="D152" s="194">
        <f>F152</f>
        <v>0</v>
      </c>
      <c r="E152" s="152" t="e">
        <f>D152/F153</f>
        <v>#DIV/0!</v>
      </c>
      <c r="F152" s="218">
        <f>FREQUENCY('Grille de saisie'!$Z$3:$Z$602,Fréquence!C152)</f>
        <v>0</v>
      </c>
      <c r="G152" s="213" t="e">
        <f>E152</f>
        <v>#DIV/0!</v>
      </c>
    </row>
    <row r="153" spans="1:7">
      <c r="A153" s="177" t="s">
        <v>38</v>
      </c>
      <c r="B153" s="199" t="s">
        <v>36</v>
      </c>
      <c r="C153" s="422">
        <v>2</v>
      </c>
      <c r="D153" s="194">
        <f>F153-F152</f>
        <v>0</v>
      </c>
      <c r="E153" s="267" t="e">
        <f>D153/F153</f>
        <v>#DIV/0!</v>
      </c>
      <c r="F153" s="218">
        <f>FREQUENCY('Grille de saisie'!$Z$3:$Z$602,Fréquence!C153)</f>
        <v>0</v>
      </c>
      <c r="G153" s="213" t="e">
        <f>E153+E152</f>
        <v>#DIV/0!</v>
      </c>
    </row>
    <row r="154" spans="1:7">
      <c r="A154" s="177" t="s">
        <v>200</v>
      </c>
      <c r="B154" s="199"/>
      <c r="C154" s="422"/>
      <c r="D154" s="194"/>
      <c r="E154" s="152"/>
      <c r="F154" s="218"/>
      <c r="G154" s="213"/>
    </row>
    <row r="155" spans="1:7">
      <c r="A155" s="179" t="s">
        <v>201</v>
      </c>
      <c r="B155" s="204"/>
      <c r="C155" s="426"/>
      <c r="D155" s="196"/>
      <c r="E155" s="158"/>
      <c r="F155" s="218"/>
      <c r="G155" s="214"/>
    </row>
    <row r="156" spans="1:7" s="219" customFormat="1">
      <c r="A156" s="403" t="s">
        <v>600</v>
      </c>
      <c r="B156" s="436"/>
      <c r="C156" s="569"/>
      <c r="D156" s="291"/>
      <c r="E156" s="292"/>
      <c r="F156" s="291"/>
      <c r="G156" s="411"/>
    </row>
    <row r="157" spans="1:7" s="219" customFormat="1">
      <c r="A157" s="404" t="s">
        <v>64</v>
      </c>
      <c r="B157" s="301" t="s">
        <v>63</v>
      </c>
      <c r="C157" s="303">
        <v>1</v>
      </c>
      <c r="D157" s="304">
        <f>FREQUENCY('Grille de saisie'!$AA$3:$AA$602,C157)</f>
        <v>0</v>
      </c>
      <c r="E157" s="305" t="e">
        <f>D157/$F$165</f>
        <v>#DIV/0!</v>
      </c>
      <c r="F157" s="306">
        <f>D157</f>
        <v>0</v>
      </c>
      <c r="G157" s="316" t="e">
        <f>E157</f>
        <v>#DIV/0!</v>
      </c>
    </row>
    <row r="158" spans="1:7" s="219" customFormat="1">
      <c r="A158" s="404" t="s">
        <v>65</v>
      </c>
      <c r="B158" s="301" t="s">
        <v>66</v>
      </c>
      <c r="C158" s="303">
        <v>1</v>
      </c>
      <c r="D158" s="304">
        <f>FREQUENCY('Grille de saisie'!$AB$3:$AB$602,C158)</f>
        <v>0</v>
      </c>
      <c r="E158" s="305" t="e">
        <f t="shared" ref="E158:E159" si="24">D158/$F$165</f>
        <v>#DIV/0!</v>
      </c>
      <c r="F158" s="306">
        <f>D158+D157</f>
        <v>0</v>
      </c>
      <c r="G158" s="316" t="e">
        <f>E158+E157</f>
        <v>#DIV/0!</v>
      </c>
    </row>
    <row r="159" spans="1:7" s="219" customFormat="1">
      <c r="A159" s="404"/>
      <c r="B159" s="575" t="s">
        <v>67</v>
      </c>
      <c r="C159" s="430">
        <v>1</v>
      </c>
      <c r="D159" s="304">
        <f>FREQUENCY('Grille de saisie'!$AC$3:$AC$602,C159)</f>
        <v>0</v>
      </c>
      <c r="E159" s="305" t="e">
        <f t="shared" si="24"/>
        <v>#DIV/0!</v>
      </c>
      <c r="F159" s="304">
        <f>D159+D158+D157</f>
        <v>0</v>
      </c>
      <c r="G159" s="316" t="e">
        <f>E159+E158+E157</f>
        <v>#DIV/0!</v>
      </c>
    </row>
    <row r="160" spans="1:7" s="219" customFormat="1">
      <c r="A160" s="404"/>
      <c r="B160" s="575"/>
      <c r="C160" s="431"/>
      <c r="D160" s="309"/>
      <c r="E160" s="310"/>
      <c r="F160" s="309"/>
      <c r="G160" s="416"/>
    </row>
    <row r="161" spans="1:7" s="219" customFormat="1">
      <c r="A161" s="404"/>
      <c r="B161" s="437" t="s">
        <v>68</v>
      </c>
      <c r="C161" s="312">
        <v>1</v>
      </c>
      <c r="D161" s="304">
        <f>FREQUENCY('Grille de saisie'!$AD$3:$AD$602,C161)</f>
        <v>0</v>
      </c>
      <c r="E161" s="313" t="e">
        <f>D161/$F$165</f>
        <v>#DIV/0!</v>
      </c>
      <c r="F161" s="306">
        <f>D161+D159+D158+D157</f>
        <v>0</v>
      </c>
      <c r="G161" s="316" t="e">
        <f>E161+E159+E158+E157</f>
        <v>#DIV/0!</v>
      </c>
    </row>
    <row r="162" spans="1:7" s="219" customFormat="1">
      <c r="A162" s="404"/>
      <c r="B162" s="438" t="s">
        <v>69</v>
      </c>
      <c r="C162" s="430">
        <v>1</v>
      </c>
      <c r="D162" s="304">
        <f>FREQUENCY('Grille de saisie'!$AE$3:$AE$602,C162)</f>
        <v>0</v>
      </c>
      <c r="E162" s="313" t="e">
        <f t="shared" ref="E162:E165" si="25">D162/$F$165</f>
        <v>#DIV/0!</v>
      </c>
      <c r="F162" s="304">
        <f>D162+D161+D159+D158+D157</f>
        <v>0</v>
      </c>
      <c r="G162" s="316" t="e">
        <f>E162+E161+E159+E158+E157</f>
        <v>#DIV/0!</v>
      </c>
    </row>
    <row r="163" spans="1:7" s="219" customFormat="1" ht="25.5">
      <c r="A163" s="404"/>
      <c r="B163" s="437" t="s">
        <v>397</v>
      </c>
      <c r="C163" s="430">
        <v>1</v>
      </c>
      <c r="D163" s="304">
        <f>FREQUENCY('Grille de saisie'!$AF$3:$AF$602,C163)</f>
        <v>0</v>
      </c>
      <c r="E163" s="313" t="e">
        <f t="shared" si="25"/>
        <v>#DIV/0!</v>
      </c>
      <c r="F163" s="304">
        <f>D163+D162+D161+D159+D158+D157</f>
        <v>0</v>
      </c>
      <c r="G163" s="316" t="e">
        <f>E163+E162+E161+E159+E158+E157</f>
        <v>#DIV/0!</v>
      </c>
    </row>
    <row r="164" spans="1:7" s="219" customFormat="1">
      <c r="A164" s="404"/>
      <c r="B164" s="437" t="s">
        <v>70</v>
      </c>
      <c r="C164" s="312">
        <v>1</v>
      </c>
      <c r="D164" s="304">
        <f>FREQUENCY('Grille de saisie'!$AG$3:$AG$602,C164)</f>
        <v>0</v>
      </c>
      <c r="E164" s="313" t="e">
        <f t="shared" si="25"/>
        <v>#DIV/0!</v>
      </c>
      <c r="F164" s="306">
        <f>D164+D163+D162+D161+D159+D158+D157</f>
        <v>0</v>
      </c>
      <c r="G164" s="316" t="e">
        <f>E164+E163+E162+E161+E159+E158+E157</f>
        <v>#DIV/0!</v>
      </c>
    </row>
    <row r="165" spans="1:7" s="219" customFormat="1">
      <c r="A165" s="404"/>
      <c r="B165" s="439" t="s">
        <v>62</v>
      </c>
      <c r="C165" s="312">
        <v>1</v>
      </c>
      <c r="D165" s="304">
        <f>FREQUENCY('Grille de saisie'!$AH$3:$AH$602,C165)</f>
        <v>0</v>
      </c>
      <c r="E165" s="313" t="e">
        <f t="shared" si="25"/>
        <v>#DIV/0!</v>
      </c>
      <c r="F165" s="306">
        <f>D165+D164+D163+D162+D161+D159+D158+D157</f>
        <v>0</v>
      </c>
      <c r="G165" s="316" t="e">
        <f>E165+E164+E163+E162+E161+E159+E158+E157</f>
        <v>#DIV/0!</v>
      </c>
    </row>
    <row r="166" spans="1:7" s="219" customFormat="1">
      <c r="A166" s="405"/>
      <c r="B166" s="440"/>
      <c r="C166" s="570"/>
      <c r="D166" s="297"/>
      <c r="E166" s="298"/>
      <c r="F166" s="299"/>
      <c r="G166" s="412"/>
    </row>
    <row r="167" spans="1:7">
      <c r="A167" s="389" t="s">
        <v>134</v>
      </c>
      <c r="B167" s="151"/>
      <c r="C167" s="422"/>
      <c r="D167" s="194"/>
      <c r="E167" s="176"/>
      <c r="F167" s="218"/>
      <c r="G167" s="190"/>
    </row>
    <row r="168" spans="1:7">
      <c r="A168" s="398" t="s">
        <v>601</v>
      </c>
      <c r="B168" s="199" t="s">
        <v>35</v>
      </c>
      <c r="C168" s="422">
        <v>1</v>
      </c>
      <c r="D168" s="194">
        <f>F168</f>
        <v>0</v>
      </c>
      <c r="E168" s="152" t="e">
        <f>D168/$F$169</f>
        <v>#DIV/0!</v>
      </c>
      <c r="F168" s="218">
        <f>FREQUENCY('Grille de saisie'!$AJ$3:$AJ$602,Fréquence!C168)</f>
        <v>0</v>
      </c>
      <c r="G168" s="213" t="e">
        <f>E168</f>
        <v>#DIV/0!</v>
      </c>
    </row>
    <row r="169" spans="1:7">
      <c r="A169" s="398" t="s">
        <v>395</v>
      </c>
      <c r="B169" s="199" t="s">
        <v>36</v>
      </c>
      <c r="C169" s="422">
        <v>2</v>
      </c>
      <c r="D169" s="194">
        <f>F169-F168</f>
        <v>0</v>
      </c>
      <c r="E169" s="267" t="e">
        <f>D169/$F$169</f>
        <v>#DIV/0!</v>
      </c>
      <c r="F169" s="218">
        <f>FREQUENCY('Grille de saisie'!$AJ$3:$AJ$602,Fréquence!C169)</f>
        <v>0</v>
      </c>
      <c r="G169" s="213" t="e">
        <f>E169+E168</f>
        <v>#DIV/0!</v>
      </c>
    </row>
    <row r="170" spans="1:7">
      <c r="A170" s="398" t="s">
        <v>396</v>
      </c>
      <c r="B170" s="199"/>
      <c r="C170" s="422"/>
      <c r="D170" s="194"/>
      <c r="E170" s="152"/>
      <c r="F170" s="218"/>
      <c r="G170" s="213"/>
    </row>
    <row r="171" spans="1:7">
      <c r="A171" s="179"/>
      <c r="B171" s="204"/>
      <c r="C171" s="426"/>
      <c r="D171" s="216"/>
      <c r="E171" s="158"/>
      <c r="F171" s="200"/>
      <c r="G171" s="214"/>
    </row>
    <row r="172" spans="1:7">
      <c r="A172" s="220" t="s">
        <v>163</v>
      </c>
      <c r="B172" s="221"/>
      <c r="C172" s="188"/>
      <c r="D172" s="189"/>
      <c r="E172" s="202"/>
      <c r="F172" s="189"/>
      <c r="G172" s="202"/>
    </row>
    <row r="173" spans="1:7">
      <c r="A173" s="349" t="s">
        <v>602</v>
      </c>
      <c r="B173" s="180"/>
      <c r="C173" s="205"/>
      <c r="D173" s="196"/>
      <c r="E173" s="206"/>
      <c r="F173" s="196"/>
      <c r="G173" s="206"/>
    </row>
    <row r="174" spans="1:7">
      <c r="A174" s="401" t="s">
        <v>550</v>
      </c>
      <c r="B174" s="151"/>
      <c r="D174" s="148"/>
      <c r="F174" s="148"/>
      <c r="G174" s="194"/>
    </row>
    <row r="175" spans="1:7">
      <c r="A175" s="402" t="s">
        <v>398</v>
      </c>
      <c r="B175" s="199" t="s">
        <v>35</v>
      </c>
      <c r="C175" s="210">
        <v>1</v>
      </c>
      <c r="D175" s="148">
        <f>F175</f>
        <v>0</v>
      </c>
      <c r="E175" s="212" t="e">
        <f>D175/$F$176</f>
        <v>#DIV/0!</v>
      </c>
      <c r="F175" s="148">
        <f>FREQUENCY('Grille de saisie'!$AL$3:$AL$602,Fréquence!C175)</f>
        <v>0</v>
      </c>
      <c r="G175" s="190" t="e">
        <f>E175</f>
        <v>#DIV/0!</v>
      </c>
    </row>
    <row r="176" spans="1:7">
      <c r="A176" s="402" t="s">
        <v>875</v>
      </c>
      <c r="B176" s="199" t="s">
        <v>36</v>
      </c>
      <c r="C176" s="210">
        <v>2</v>
      </c>
      <c r="D176" s="148">
        <f>F176-F175</f>
        <v>0</v>
      </c>
      <c r="E176" s="212" t="e">
        <f>D176/$F$176</f>
        <v>#DIV/0!</v>
      </c>
      <c r="F176" s="148">
        <f>FREQUENCY('Grille de saisie'!$AL$3:$AL$602,Fréquence!C176)</f>
        <v>0</v>
      </c>
      <c r="G176" s="190" t="e">
        <f>E176+E175</f>
        <v>#DIV/0!</v>
      </c>
    </row>
    <row r="177" spans="1:7">
      <c r="A177" s="201" t="s">
        <v>203</v>
      </c>
      <c r="B177" s="199"/>
      <c r="C177" s="210"/>
      <c r="D177" s="148"/>
      <c r="E177" s="212"/>
      <c r="F177" s="148"/>
      <c r="G177" s="190"/>
    </row>
    <row r="178" spans="1:7">
      <c r="A178" s="223" t="s">
        <v>146</v>
      </c>
      <c r="B178" s="204"/>
      <c r="C178" s="205"/>
      <c r="D178" s="157"/>
      <c r="E178" s="158"/>
      <c r="F178" s="157"/>
      <c r="G178" s="206"/>
    </row>
    <row r="179" spans="1:7">
      <c r="A179" s="401" t="s">
        <v>551</v>
      </c>
      <c r="B179" s="151"/>
      <c r="D179" s="148"/>
      <c r="F179" s="148"/>
      <c r="G179" s="189"/>
    </row>
    <row r="180" spans="1:7">
      <c r="A180" s="402" t="s">
        <v>400</v>
      </c>
      <c r="B180" s="199" t="s">
        <v>35</v>
      </c>
      <c r="C180" s="210">
        <v>1</v>
      </c>
      <c r="D180" s="148">
        <f>F180</f>
        <v>0</v>
      </c>
      <c r="E180" s="212" t="e">
        <f>D180/$F$181</f>
        <v>#DIV/0!</v>
      </c>
      <c r="F180" s="148">
        <f>FREQUENCY('Grille de saisie'!$AM$3:$AM$602,Fréquence!C180)</f>
        <v>0</v>
      </c>
      <c r="G180" s="190" t="e">
        <f>E180</f>
        <v>#DIV/0!</v>
      </c>
    </row>
    <row r="181" spans="1:7">
      <c r="A181" s="402" t="s">
        <v>401</v>
      </c>
      <c r="B181" s="199" t="s">
        <v>36</v>
      </c>
      <c r="C181" s="210">
        <v>2</v>
      </c>
      <c r="D181" s="148">
        <f>F181-F180</f>
        <v>0</v>
      </c>
      <c r="E181" s="212" t="e">
        <f>D181/$F$181</f>
        <v>#DIV/0!</v>
      </c>
      <c r="F181" s="148">
        <f>FREQUENCY('Grille de saisie'!$AM$3:$AM$602,Fréquence!C181)</f>
        <v>0</v>
      </c>
      <c r="G181" s="190" t="e">
        <f>E181+E180</f>
        <v>#DIV/0!</v>
      </c>
    </row>
    <row r="182" spans="1:7">
      <c r="A182" s="201" t="s">
        <v>204</v>
      </c>
      <c r="B182" s="199"/>
      <c r="C182" s="210"/>
      <c r="D182" s="148"/>
      <c r="E182" s="212"/>
      <c r="F182" s="148"/>
      <c r="G182" s="190"/>
    </row>
    <row r="183" spans="1:7">
      <c r="A183" s="201" t="s">
        <v>205</v>
      </c>
      <c r="B183" s="199"/>
      <c r="C183" s="210"/>
      <c r="D183" s="148"/>
      <c r="E183" s="212"/>
      <c r="F183" s="148"/>
      <c r="G183" s="190"/>
    </row>
    <row r="184" spans="1:7">
      <c r="A184" s="223"/>
      <c r="B184" s="204"/>
      <c r="C184" s="205"/>
      <c r="D184" s="157"/>
      <c r="E184" s="158"/>
      <c r="F184" s="157"/>
      <c r="G184" s="206"/>
    </row>
    <row r="185" spans="1:7">
      <c r="A185" s="401" t="s">
        <v>552</v>
      </c>
      <c r="B185" s="151"/>
      <c r="D185" s="148"/>
      <c r="F185" s="148"/>
      <c r="G185" s="189"/>
    </row>
    <row r="186" spans="1:7">
      <c r="A186" s="201" t="s">
        <v>206</v>
      </c>
      <c r="B186" s="151" t="s">
        <v>35</v>
      </c>
      <c r="C186" s="210">
        <v>1</v>
      </c>
      <c r="D186" s="148">
        <f>F186</f>
        <v>0</v>
      </c>
      <c r="E186" s="212" t="e">
        <f>D186/$F$187</f>
        <v>#DIV/0!</v>
      </c>
      <c r="F186" s="148">
        <f>FREQUENCY('Grille de saisie'!$AN$3:$AN$602,Fréquence!C186)</f>
        <v>0</v>
      </c>
      <c r="G186" s="213" t="e">
        <f>E186</f>
        <v>#DIV/0!</v>
      </c>
    </row>
    <row r="187" spans="1:7">
      <c r="A187" s="402" t="s">
        <v>402</v>
      </c>
      <c r="B187" s="151" t="s">
        <v>36</v>
      </c>
      <c r="C187" s="210">
        <v>2</v>
      </c>
      <c r="D187" s="148">
        <f>F187-F186</f>
        <v>0</v>
      </c>
      <c r="E187" s="212" t="e">
        <f>D187/$F$187</f>
        <v>#DIV/0!</v>
      </c>
      <c r="F187" s="148">
        <f>FREQUENCY('Grille de saisie'!$AN$3:$AN$602,Fréquence!C187)</f>
        <v>0</v>
      </c>
      <c r="G187" s="213" t="e">
        <f>E187+E186</f>
        <v>#DIV/0!</v>
      </c>
    </row>
    <row r="188" spans="1:7">
      <c r="A188" s="127" t="s">
        <v>39</v>
      </c>
      <c r="B188" s="199"/>
      <c r="D188" s="148"/>
      <c r="E188" s="212"/>
      <c r="F188" s="148"/>
      <c r="G188" s="213"/>
    </row>
    <row r="189" spans="1:7">
      <c r="A189" s="223"/>
      <c r="B189" s="204"/>
      <c r="C189" s="205"/>
      <c r="D189" s="157"/>
      <c r="E189" s="212"/>
      <c r="F189" s="157"/>
      <c r="G189" s="214"/>
    </row>
    <row r="190" spans="1:7">
      <c r="A190" s="401" t="s">
        <v>555</v>
      </c>
      <c r="B190" s="435"/>
      <c r="C190" s="425"/>
      <c r="E190" s="149"/>
      <c r="F190" s="218"/>
      <c r="G190" s="189"/>
    </row>
    <row r="191" spans="1:7">
      <c r="A191" s="201" t="s">
        <v>207</v>
      </c>
      <c r="B191" s="151" t="s">
        <v>35</v>
      </c>
      <c r="C191" s="422">
        <v>1</v>
      </c>
      <c r="D191" s="184">
        <f>F191</f>
        <v>0</v>
      </c>
      <c r="E191" s="267" t="e">
        <f>D191/$F$192</f>
        <v>#DIV/0!</v>
      </c>
      <c r="F191" s="218">
        <f>FREQUENCY('Grille de saisie'!$AO$3:$AO$602,Fréquence!C191)</f>
        <v>0</v>
      </c>
      <c r="G191" s="213" t="e">
        <f>E191</f>
        <v>#DIV/0!</v>
      </c>
    </row>
    <row r="192" spans="1:7">
      <c r="A192" s="201" t="s">
        <v>208</v>
      </c>
      <c r="B192" s="151" t="s">
        <v>36</v>
      </c>
      <c r="C192" s="422">
        <v>2</v>
      </c>
      <c r="D192" s="194">
        <f>F192-F191</f>
        <v>0</v>
      </c>
      <c r="E192" s="267" t="e">
        <f>D192/$F$192</f>
        <v>#DIV/0!</v>
      </c>
      <c r="F192" s="218">
        <f>FREQUENCY('Grille de saisie'!$AO$3:$AO$602,Fréquence!C192)</f>
        <v>0</v>
      </c>
      <c r="G192" s="213" t="e">
        <f>E192+E191</f>
        <v>#DIV/0!</v>
      </c>
    </row>
    <row r="193" spans="1:7">
      <c r="A193" s="201" t="s">
        <v>209</v>
      </c>
      <c r="B193" s="199"/>
      <c r="C193" s="422"/>
      <c r="D193" s="194"/>
      <c r="E193" s="176"/>
      <c r="F193" s="218"/>
      <c r="G193" s="190"/>
    </row>
    <row r="194" spans="1:7">
      <c r="A194" s="223" t="s">
        <v>210</v>
      </c>
      <c r="B194" s="204"/>
      <c r="C194" s="426"/>
      <c r="D194" s="196"/>
      <c r="E194" s="182"/>
      <c r="F194" s="218"/>
      <c r="G194" s="206"/>
    </row>
    <row r="195" spans="1:7">
      <c r="A195" s="401" t="s">
        <v>557</v>
      </c>
      <c r="B195" s="435"/>
      <c r="D195" s="149"/>
      <c r="F195" s="149"/>
      <c r="G195" s="194"/>
    </row>
    <row r="196" spans="1:7">
      <c r="A196" s="402" t="s">
        <v>214</v>
      </c>
      <c r="B196" s="151" t="s">
        <v>35</v>
      </c>
      <c r="C196" s="210">
        <v>1</v>
      </c>
      <c r="D196" s="148">
        <f>F196</f>
        <v>0</v>
      </c>
      <c r="E196" s="212" t="e">
        <f>D196/$F$197</f>
        <v>#DIV/0!</v>
      </c>
      <c r="F196" s="148">
        <f>FREQUENCY('Grille de saisie'!$AP$3:$AP$602,Fréquence!C196)</f>
        <v>0</v>
      </c>
      <c r="G196" s="213" t="e">
        <f>E196</f>
        <v>#DIV/0!</v>
      </c>
    </row>
    <row r="197" spans="1:7">
      <c r="A197" s="402" t="s">
        <v>603</v>
      </c>
      <c r="B197" s="151" t="s">
        <v>36</v>
      </c>
      <c r="C197" s="210">
        <v>2</v>
      </c>
      <c r="D197" s="148">
        <f>F197-F196</f>
        <v>0</v>
      </c>
      <c r="E197" s="212" t="e">
        <f>D197/$F$197</f>
        <v>#DIV/0!</v>
      </c>
      <c r="F197" s="148">
        <f>FREQUENCY('Grille de saisie'!$AP$3:$AP$602,Fréquence!C197)</f>
        <v>0</v>
      </c>
      <c r="G197" s="213" t="e">
        <f>E197+E196</f>
        <v>#DIV/0!</v>
      </c>
    </row>
    <row r="198" spans="1:7">
      <c r="A198" s="223" t="s">
        <v>44</v>
      </c>
      <c r="B198" s="204"/>
      <c r="C198" s="205"/>
      <c r="D198" s="157"/>
      <c r="E198" s="182"/>
      <c r="F198" s="148"/>
      <c r="G198" s="206"/>
    </row>
    <row r="199" spans="1:7">
      <c r="A199" s="401" t="s">
        <v>560</v>
      </c>
      <c r="B199" s="435"/>
      <c r="D199" s="149"/>
      <c r="F199" s="149"/>
      <c r="G199" s="189"/>
    </row>
    <row r="200" spans="1:7">
      <c r="A200" s="201" t="s">
        <v>211</v>
      </c>
      <c r="B200" s="151" t="s">
        <v>35</v>
      </c>
      <c r="C200" s="210">
        <v>1</v>
      </c>
      <c r="D200" s="148">
        <f>F200</f>
        <v>0</v>
      </c>
      <c r="E200" s="212" t="e">
        <f>D200/$F$201</f>
        <v>#DIV/0!</v>
      </c>
      <c r="F200" s="148">
        <f>FREQUENCY('Grille de saisie'!$AQ$3:$AQ$602,Fréquence!C200)</f>
        <v>0</v>
      </c>
      <c r="G200" s="213" t="e">
        <f>E200</f>
        <v>#DIV/0!</v>
      </c>
    </row>
    <row r="201" spans="1:7">
      <c r="A201" s="201" t="s">
        <v>212</v>
      </c>
      <c r="B201" s="151" t="s">
        <v>36</v>
      </c>
      <c r="C201" s="210">
        <v>2</v>
      </c>
      <c r="D201" s="148">
        <f>F201-F200</f>
        <v>0</v>
      </c>
      <c r="E201" s="212" t="e">
        <f>D201/$F$201</f>
        <v>#DIV/0!</v>
      </c>
      <c r="F201" s="148">
        <f>FREQUENCY('Grille de saisie'!$AQ$3:$AQ$602,Fréquence!C201)</f>
        <v>0</v>
      </c>
      <c r="G201" s="213" t="e">
        <f>E201+E200</f>
        <v>#DIV/0!</v>
      </c>
    </row>
    <row r="202" spans="1:7">
      <c r="A202" s="201" t="s">
        <v>213</v>
      </c>
      <c r="B202" s="199"/>
      <c r="C202" s="210"/>
      <c r="D202" s="148"/>
      <c r="E202" s="211"/>
      <c r="F202" s="148"/>
      <c r="G202" s="190"/>
    </row>
    <row r="203" spans="1:7">
      <c r="A203" s="406"/>
      <c r="B203" s="204"/>
      <c r="C203" s="205"/>
      <c r="D203" s="157"/>
      <c r="E203" s="226"/>
      <c r="F203" s="157"/>
      <c r="G203" s="206"/>
    </row>
    <row r="204" spans="1:7">
      <c r="A204" s="401" t="s">
        <v>561</v>
      </c>
      <c r="B204" s="151"/>
      <c r="D204" s="148"/>
      <c r="F204" s="148"/>
      <c r="G204" s="194"/>
    </row>
    <row r="205" spans="1:7">
      <c r="A205" s="402" t="s">
        <v>604</v>
      </c>
      <c r="B205" s="151" t="s">
        <v>35</v>
      </c>
      <c r="C205" s="210">
        <v>1</v>
      </c>
      <c r="D205" s="148">
        <f>F205</f>
        <v>0</v>
      </c>
      <c r="E205" s="212" t="e">
        <f>D205/$F$206</f>
        <v>#DIV/0!</v>
      </c>
      <c r="F205" s="148">
        <f>FREQUENCY('Grille de saisie'!$AR$3:$AR$602,Fréquence!C205)</f>
        <v>0</v>
      </c>
      <c r="G205" s="213" t="e">
        <f>E205</f>
        <v>#DIV/0!</v>
      </c>
    </row>
    <row r="206" spans="1:7">
      <c r="A206" s="402" t="s">
        <v>605</v>
      </c>
      <c r="B206" s="151" t="s">
        <v>36</v>
      </c>
      <c r="C206" s="210">
        <v>2</v>
      </c>
      <c r="D206" s="148">
        <f>F206-F205</f>
        <v>0</v>
      </c>
      <c r="E206" s="212" t="e">
        <f>D206/$F$206</f>
        <v>#DIV/0!</v>
      </c>
      <c r="F206" s="148">
        <f>FREQUENCY('Grille de saisie'!$AR$3:$AR$602,Fréquence!C206)</f>
        <v>0</v>
      </c>
      <c r="G206" s="213" t="e">
        <f>E206+E205</f>
        <v>#DIV/0!</v>
      </c>
    </row>
    <row r="207" spans="1:7">
      <c r="A207" s="349" t="s">
        <v>299</v>
      </c>
      <c r="B207" s="204"/>
      <c r="C207" s="205"/>
      <c r="D207" s="157"/>
      <c r="E207" s="158"/>
      <c r="F207" s="148"/>
      <c r="G207" s="214"/>
    </row>
    <row r="208" spans="1:7">
      <c r="A208" s="401" t="s">
        <v>563</v>
      </c>
      <c r="B208" s="435"/>
      <c r="D208" s="149"/>
      <c r="F208" s="149"/>
      <c r="G208" s="189"/>
    </row>
    <row r="209" spans="1:7">
      <c r="A209" s="201" t="s">
        <v>214</v>
      </c>
      <c r="B209" s="151" t="s">
        <v>35</v>
      </c>
      <c r="C209" s="210">
        <v>1</v>
      </c>
      <c r="D209" s="148">
        <f>F209</f>
        <v>0</v>
      </c>
      <c r="E209" s="212" t="e">
        <f>D209/$F$210</f>
        <v>#DIV/0!</v>
      </c>
      <c r="F209" s="148">
        <f>FREQUENCY('Grille de saisie'!$AS$3:$AS$602,Fréquence!C209)</f>
        <v>0</v>
      </c>
      <c r="G209" s="213" t="e">
        <f>E209</f>
        <v>#DIV/0!</v>
      </c>
    </row>
    <row r="210" spans="1:7">
      <c r="A210" s="201" t="s">
        <v>215</v>
      </c>
      <c r="B210" s="151" t="s">
        <v>36</v>
      </c>
      <c r="C210" s="210">
        <v>2</v>
      </c>
      <c r="D210" s="148">
        <f>F210-F209</f>
        <v>0</v>
      </c>
      <c r="E210" s="212" t="e">
        <f>D210/$F$210</f>
        <v>#DIV/0!</v>
      </c>
      <c r="F210" s="148">
        <f>FREQUENCY('Grille de saisie'!$AS$3:$AS$602,Fréquence!C210)</f>
        <v>0</v>
      </c>
      <c r="G210" s="213" t="e">
        <f>E210+E209</f>
        <v>#DIV/0!</v>
      </c>
    </row>
    <row r="211" spans="1:7">
      <c r="A211" s="201" t="s">
        <v>44</v>
      </c>
      <c r="B211" s="199"/>
      <c r="C211" s="210"/>
      <c r="D211" s="148"/>
      <c r="E211" s="212"/>
      <c r="F211" s="148"/>
      <c r="G211" s="213"/>
    </row>
    <row r="212" spans="1:7">
      <c r="A212" s="406"/>
      <c r="B212" s="204"/>
      <c r="C212" s="205"/>
      <c r="D212" s="157"/>
      <c r="E212" s="197"/>
      <c r="F212" s="157"/>
      <c r="G212" s="214"/>
    </row>
    <row r="213" spans="1:7">
      <c r="A213" s="401" t="s">
        <v>143</v>
      </c>
      <c r="B213" s="151"/>
      <c r="D213" s="148"/>
      <c r="F213" s="148"/>
      <c r="G213" s="194"/>
    </row>
    <row r="214" spans="1:7">
      <c r="A214" s="402" t="s">
        <v>936</v>
      </c>
      <c r="B214" s="151" t="s">
        <v>35</v>
      </c>
      <c r="C214" s="210">
        <v>1</v>
      </c>
      <c r="D214" s="148">
        <f>F214</f>
        <v>0</v>
      </c>
      <c r="E214" s="212" t="e">
        <f>D214/$F$215</f>
        <v>#DIV/0!</v>
      </c>
      <c r="F214" s="148">
        <f>FREQUENCY('Grille de saisie'!$AT$3:$AT$602,Fréquence!C214)</f>
        <v>0</v>
      </c>
      <c r="G214" s="213" t="e">
        <f>E214</f>
        <v>#DIV/0!</v>
      </c>
    </row>
    <row r="215" spans="1:7">
      <c r="A215" s="402" t="s">
        <v>403</v>
      </c>
      <c r="B215" s="151" t="s">
        <v>36</v>
      </c>
      <c r="C215" s="210">
        <v>2</v>
      </c>
      <c r="D215" s="148">
        <f>F215-F214</f>
        <v>0</v>
      </c>
      <c r="E215" s="212" t="e">
        <f>D215/$F$215</f>
        <v>#DIV/0!</v>
      </c>
      <c r="F215" s="148">
        <f>FREQUENCY('Grille de saisie'!$AT$3:$AT$602,Fréquence!C215)</f>
        <v>0</v>
      </c>
      <c r="G215" s="213" t="e">
        <f>E215+E214</f>
        <v>#DIV/0!</v>
      </c>
    </row>
    <row r="216" spans="1:7">
      <c r="A216" s="201" t="s">
        <v>404</v>
      </c>
      <c r="B216" s="151"/>
      <c r="D216" s="148"/>
      <c r="F216" s="148"/>
      <c r="G216" s="194"/>
    </row>
    <row r="217" spans="1:7">
      <c r="A217" s="406"/>
      <c r="B217" s="154"/>
      <c r="C217" s="205"/>
      <c r="D217" s="157"/>
      <c r="E217" s="196"/>
      <c r="F217" s="157"/>
      <c r="G217" s="196"/>
    </row>
    <row r="218" spans="1:7">
      <c r="A218" s="401" t="s">
        <v>135</v>
      </c>
      <c r="B218" s="435"/>
      <c r="D218" s="149"/>
      <c r="F218" s="149"/>
      <c r="G218" s="189"/>
    </row>
    <row r="219" spans="1:7">
      <c r="A219" s="201" t="s">
        <v>144</v>
      </c>
      <c r="B219" s="151" t="s">
        <v>35</v>
      </c>
      <c r="C219" s="210">
        <v>1</v>
      </c>
      <c r="D219" s="148">
        <f>F219</f>
        <v>0</v>
      </c>
      <c r="E219" s="212" t="e">
        <f>D219/$F$220</f>
        <v>#DIV/0!</v>
      </c>
      <c r="F219" s="148">
        <f>FREQUENCY('Grille de saisie'!$AU$3:$AU$602,Fréquence!C219)</f>
        <v>0</v>
      </c>
      <c r="G219" s="213" t="e">
        <f>E219</f>
        <v>#DIV/0!</v>
      </c>
    </row>
    <row r="220" spans="1:7">
      <c r="A220" s="402" t="s">
        <v>42</v>
      </c>
      <c r="B220" s="151" t="s">
        <v>36</v>
      </c>
      <c r="C220" s="210">
        <v>2</v>
      </c>
      <c r="D220" s="148">
        <f>F220-F219</f>
        <v>0</v>
      </c>
      <c r="E220" s="212" t="e">
        <f>D220/$F$220</f>
        <v>#DIV/0!</v>
      </c>
      <c r="F220" s="148">
        <f>FREQUENCY('Grille de saisie'!$AU$3:$AU$602,Fréquence!C220)</f>
        <v>0</v>
      </c>
      <c r="G220" s="213" t="e">
        <f>E220+E219</f>
        <v>#DIV/0!</v>
      </c>
    </row>
    <row r="221" spans="1:7">
      <c r="A221" s="201" t="s">
        <v>40</v>
      </c>
      <c r="B221" s="199"/>
      <c r="C221" s="210"/>
      <c r="D221" s="148"/>
      <c r="E221" s="212"/>
      <c r="F221" s="148"/>
      <c r="G221" s="213"/>
    </row>
    <row r="222" spans="1:7">
      <c r="A222" s="406"/>
      <c r="B222" s="204"/>
      <c r="C222" s="205"/>
      <c r="D222" s="157"/>
      <c r="E222" s="212"/>
      <c r="F222" s="148"/>
      <c r="G222" s="214"/>
    </row>
    <row r="223" spans="1:7">
      <c r="A223" s="401" t="s">
        <v>164</v>
      </c>
      <c r="B223" s="221"/>
      <c r="C223" s="188"/>
      <c r="D223" s="189"/>
      <c r="E223" s="189"/>
      <c r="F223" s="189"/>
      <c r="G223" s="194"/>
    </row>
    <row r="224" spans="1:7">
      <c r="A224" s="349" t="s">
        <v>606</v>
      </c>
      <c r="B224" s="180"/>
      <c r="C224" s="205"/>
      <c r="D224" s="196"/>
      <c r="E224" s="196"/>
      <c r="F224" s="196"/>
      <c r="G224" s="196"/>
    </row>
    <row r="225" spans="1:7">
      <c r="A225" s="401" t="s">
        <v>566</v>
      </c>
      <c r="B225" s="151"/>
      <c r="D225" s="148"/>
      <c r="F225" s="148"/>
      <c r="G225" s="194"/>
    </row>
    <row r="226" spans="1:7">
      <c r="A226" s="201" t="s">
        <v>232</v>
      </c>
      <c r="B226" s="172" t="s">
        <v>411</v>
      </c>
      <c r="C226" s="210">
        <v>1</v>
      </c>
      <c r="D226" s="148">
        <f>F226</f>
        <v>0</v>
      </c>
      <c r="E226" s="212" t="e">
        <f>D226/$F$230</f>
        <v>#DIV/0!</v>
      </c>
      <c r="F226" s="148">
        <f>FREQUENCY('Grille de saisie'!$AV$3:$AV$602,Fréquence!C226)</f>
        <v>0</v>
      </c>
      <c r="G226" s="213" t="e">
        <f>E226</f>
        <v>#DIV/0!</v>
      </c>
    </row>
    <row r="227" spans="1:7">
      <c r="A227" s="201" t="s">
        <v>233</v>
      </c>
      <c r="B227" s="172" t="s">
        <v>412</v>
      </c>
      <c r="C227" s="210">
        <v>2</v>
      </c>
      <c r="D227" s="148">
        <f t="shared" ref="D227:D230" si="26">F227-F226</f>
        <v>0</v>
      </c>
      <c r="E227" s="212" t="e">
        <f t="shared" ref="E227:E230" si="27">D227/$F$230</f>
        <v>#DIV/0!</v>
      </c>
      <c r="F227" s="148">
        <f>FREQUENCY('Grille de saisie'!$AV$3:$AV$602,Fréquence!C227)</f>
        <v>0</v>
      </c>
      <c r="G227" s="213" t="e">
        <f>E227+E226</f>
        <v>#DIV/0!</v>
      </c>
    </row>
    <row r="228" spans="1:7">
      <c r="A228" s="402" t="s">
        <v>405</v>
      </c>
      <c r="B228" s="172" t="s">
        <v>413</v>
      </c>
      <c r="C228" s="192">
        <v>3</v>
      </c>
      <c r="D228" s="148">
        <f t="shared" si="26"/>
        <v>0</v>
      </c>
      <c r="E228" s="212" t="e">
        <f t="shared" si="27"/>
        <v>#DIV/0!</v>
      </c>
      <c r="F228" s="148">
        <f>FREQUENCY('Grille de saisie'!$AV$3:$AV$602,Fréquence!C228)</f>
        <v>0</v>
      </c>
      <c r="G228" s="213" t="e">
        <f>E228+E227+E226</f>
        <v>#DIV/0!</v>
      </c>
    </row>
    <row r="229" spans="1:7">
      <c r="A229" s="401"/>
      <c r="B229" s="172" t="s">
        <v>414</v>
      </c>
      <c r="C229" s="192">
        <v>4</v>
      </c>
      <c r="D229" s="148">
        <f t="shared" si="26"/>
        <v>0</v>
      </c>
      <c r="E229" s="212" t="e">
        <f t="shared" si="27"/>
        <v>#DIV/0!</v>
      </c>
      <c r="F229" s="148">
        <f>FREQUENCY('Grille de saisie'!$AV$3:$AV$602,Fréquence!C229)</f>
        <v>0</v>
      </c>
      <c r="G229" s="213" t="e">
        <f>E229+E228+E227+E226</f>
        <v>#DIV/0!</v>
      </c>
    </row>
    <row r="230" spans="1:7">
      <c r="A230" s="401"/>
      <c r="B230" s="172" t="s">
        <v>375</v>
      </c>
      <c r="C230" s="192">
        <v>8</v>
      </c>
      <c r="D230" s="148">
        <f t="shared" si="26"/>
        <v>0</v>
      </c>
      <c r="E230" s="212" t="e">
        <f t="shared" si="27"/>
        <v>#DIV/0!</v>
      </c>
      <c r="F230" s="148">
        <f>FREQUENCY('Grille de saisie'!$AV$3:$AV$602,Fréquence!C230)</f>
        <v>0</v>
      </c>
      <c r="G230" s="213" t="e">
        <f>E230+E229+E228+E227+E226</f>
        <v>#DIV/0!</v>
      </c>
    </row>
    <row r="231" spans="1:7">
      <c r="A231" s="406"/>
      <c r="B231" s="204"/>
      <c r="C231" s="205"/>
      <c r="D231" s="157"/>
      <c r="E231" s="197"/>
      <c r="F231" s="157"/>
      <c r="G231" s="214"/>
    </row>
    <row r="232" spans="1:7">
      <c r="A232" s="401" t="s">
        <v>567</v>
      </c>
      <c r="B232" s="151"/>
      <c r="D232" s="148"/>
      <c r="F232" s="148"/>
      <c r="G232" s="194"/>
    </row>
    <row r="233" spans="1:7">
      <c r="A233" s="201" t="s">
        <v>234</v>
      </c>
      <c r="B233" s="172" t="s">
        <v>411</v>
      </c>
      <c r="C233" s="210">
        <v>1</v>
      </c>
      <c r="D233" s="148">
        <f>F233</f>
        <v>0</v>
      </c>
      <c r="E233" s="212" t="e">
        <f>D233/$F$237</f>
        <v>#DIV/0!</v>
      </c>
      <c r="F233" s="148">
        <f>FREQUENCY('Grille de saisie'!$AW$3:$AW$602,Fréquence!C233)</f>
        <v>0</v>
      </c>
      <c r="G233" s="213" t="e">
        <f>E233</f>
        <v>#DIV/0!</v>
      </c>
    </row>
    <row r="234" spans="1:7">
      <c r="A234" s="402" t="s">
        <v>937</v>
      </c>
      <c r="B234" s="172" t="s">
        <v>412</v>
      </c>
      <c r="C234" s="210">
        <v>2</v>
      </c>
      <c r="D234" s="148">
        <f t="shared" ref="D234:D237" si="28">F234-F233</f>
        <v>0</v>
      </c>
      <c r="E234" s="212" t="e">
        <f t="shared" ref="E234:E237" si="29">D234/$F$237</f>
        <v>#DIV/0!</v>
      </c>
      <c r="F234" s="148">
        <f>FREQUENCY('Grille de saisie'!$AW$3:$AW$602,Fréquence!C234)</f>
        <v>0</v>
      </c>
      <c r="G234" s="213" t="e">
        <f>E234+E233</f>
        <v>#DIV/0!</v>
      </c>
    </row>
    <row r="235" spans="1:7">
      <c r="A235" s="402" t="s">
        <v>405</v>
      </c>
      <c r="B235" s="172" t="s">
        <v>413</v>
      </c>
      <c r="C235" s="192">
        <v>3</v>
      </c>
      <c r="D235" s="148">
        <f t="shared" si="28"/>
        <v>0</v>
      </c>
      <c r="E235" s="212" t="e">
        <f t="shared" si="29"/>
        <v>#DIV/0!</v>
      </c>
      <c r="F235" s="148">
        <f>FREQUENCY('Grille de saisie'!$AW$3:$AW$602,Fréquence!C235)</f>
        <v>0</v>
      </c>
      <c r="G235" s="213" t="e">
        <f>E235+E234+E233</f>
        <v>#DIV/0!</v>
      </c>
    </row>
    <row r="236" spans="1:7">
      <c r="A236" s="201"/>
      <c r="B236" s="172" t="s">
        <v>414</v>
      </c>
      <c r="C236" s="192">
        <v>4</v>
      </c>
      <c r="D236" s="148">
        <f t="shared" si="28"/>
        <v>0</v>
      </c>
      <c r="E236" s="212" t="e">
        <f t="shared" si="29"/>
        <v>#DIV/0!</v>
      </c>
      <c r="F236" s="148">
        <f>FREQUENCY('Grille de saisie'!$AW$3:$AW$602,Fréquence!C236)</f>
        <v>0</v>
      </c>
      <c r="G236" s="213" t="e">
        <f>E236+E235+E234+E233</f>
        <v>#DIV/0!</v>
      </c>
    </row>
    <row r="237" spans="1:7">
      <c r="A237" s="201"/>
      <c r="B237" s="172" t="s">
        <v>375</v>
      </c>
      <c r="C237" s="192">
        <v>8</v>
      </c>
      <c r="D237" s="148">
        <f t="shared" si="28"/>
        <v>0</v>
      </c>
      <c r="E237" s="212" t="e">
        <f t="shared" si="29"/>
        <v>#DIV/0!</v>
      </c>
      <c r="F237" s="148">
        <f>FREQUENCY('Grille de saisie'!$AW$3:$AW$602,Fréquence!C237)</f>
        <v>0</v>
      </c>
      <c r="G237" s="213" t="e">
        <f>E237+E236+E235+E234+E233</f>
        <v>#DIV/0!</v>
      </c>
    </row>
    <row r="238" spans="1:7">
      <c r="A238" s="406"/>
      <c r="B238" s="204"/>
      <c r="C238" s="205"/>
      <c r="D238" s="157"/>
      <c r="E238" s="158"/>
      <c r="F238" s="157"/>
      <c r="G238" s="214"/>
    </row>
    <row r="239" spans="1:7">
      <c r="A239" s="401" t="s">
        <v>568</v>
      </c>
      <c r="B239" s="151"/>
      <c r="D239" s="148"/>
      <c r="F239" s="148"/>
      <c r="G239" s="194"/>
    </row>
    <row r="240" spans="1:7">
      <c r="A240" s="402" t="s">
        <v>965</v>
      </c>
      <c r="B240" s="172" t="s">
        <v>411</v>
      </c>
      <c r="C240" s="210">
        <v>1</v>
      </c>
      <c r="D240" s="148">
        <f>F240</f>
        <v>0</v>
      </c>
      <c r="E240" s="212" t="e">
        <f>D240/$F$244</f>
        <v>#DIV/0!</v>
      </c>
      <c r="F240" s="148">
        <f>FREQUENCY('Grille de saisie'!$AX$3:$AX$602,Fréquence!C240)</f>
        <v>0</v>
      </c>
      <c r="G240" s="213" t="e">
        <f>E240</f>
        <v>#DIV/0!</v>
      </c>
    </row>
    <row r="241" spans="1:7">
      <c r="A241" s="402" t="s">
        <v>964</v>
      </c>
      <c r="B241" s="172" t="s">
        <v>412</v>
      </c>
      <c r="C241" s="210">
        <v>2</v>
      </c>
      <c r="D241" s="148">
        <f t="shared" ref="D241:D244" si="30">F241-F240</f>
        <v>0</v>
      </c>
      <c r="E241" s="212" t="e">
        <f t="shared" ref="E241:E243" si="31">D241/$F$244</f>
        <v>#DIV/0!</v>
      </c>
      <c r="F241" s="148">
        <f>FREQUENCY('Grille de saisie'!$AX$3:$AX$602,Fréquence!C241)</f>
        <v>0</v>
      </c>
      <c r="G241" s="213" t="e">
        <f>E241+E240</f>
        <v>#DIV/0!</v>
      </c>
    </row>
    <row r="242" spans="1:7">
      <c r="A242" s="402" t="s">
        <v>378</v>
      </c>
      <c r="B242" s="172" t="s">
        <v>413</v>
      </c>
      <c r="C242" s="192">
        <v>3</v>
      </c>
      <c r="D242" s="148">
        <f t="shared" si="30"/>
        <v>0</v>
      </c>
      <c r="E242" s="212" t="e">
        <f t="shared" si="31"/>
        <v>#DIV/0!</v>
      </c>
      <c r="F242" s="148">
        <f>FREQUENCY('Grille de saisie'!$AX$3:$AX$602,Fréquence!C242)</f>
        <v>0</v>
      </c>
      <c r="G242" s="213" t="e">
        <f>E242+E241+E240</f>
        <v>#DIV/0!</v>
      </c>
    </row>
    <row r="243" spans="1:7">
      <c r="A243" s="201"/>
      <c r="B243" s="172" t="s">
        <v>414</v>
      </c>
      <c r="C243" s="192">
        <v>4</v>
      </c>
      <c r="D243" s="148">
        <f t="shared" si="30"/>
        <v>0</v>
      </c>
      <c r="E243" s="212" t="e">
        <f t="shared" si="31"/>
        <v>#DIV/0!</v>
      </c>
      <c r="F243" s="148">
        <f>FREQUENCY('Grille de saisie'!$AX$3:$AX$602,Fréquence!C243)</f>
        <v>0</v>
      </c>
      <c r="G243" s="213" t="e">
        <f>E243+E242+E241+E240</f>
        <v>#DIV/0!</v>
      </c>
    </row>
    <row r="244" spans="1:7">
      <c r="A244" s="201"/>
      <c r="B244" s="172" t="s">
        <v>375</v>
      </c>
      <c r="C244" s="192">
        <v>8</v>
      </c>
      <c r="D244" s="148">
        <f t="shared" si="30"/>
        <v>0</v>
      </c>
      <c r="E244" s="212" t="e">
        <f>D244/$F$244</f>
        <v>#DIV/0!</v>
      </c>
      <c r="F244" s="148">
        <f>FREQUENCY('Grille de saisie'!$AX$3:$AX$602,Fréquence!C244)</f>
        <v>0</v>
      </c>
      <c r="G244" s="213" t="e">
        <f>E244+E243+E242+E241+E240</f>
        <v>#DIV/0!</v>
      </c>
    </row>
    <row r="245" spans="1:7">
      <c r="A245" s="180"/>
      <c r="B245" s="204"/>
      <c r="C245" s="205"/>
      <c r="D245" s="157"/>
      <c r="E245" s="158"/>
      <c r="F245" s="157"/>
      <c r="G245" s="214"/>
    </row>
    <row r="246" spans="1:7">
      <c r="A246" s="401" t="s">
        <v>165</v>
      </c>
      <c r="B246" s="199"/>
      <c r="C246" s="210"/>
      <c r="D246" s="148"/>
      <c r="E246" s="213"/>
      <c r="F246" s="148"/>
      <c r="G246" s="213"/>
    </row>
    <row r="247" spans="1:7">
      <c r="A247" s="402" t="s">
        <v>607</v>
      </c>
      <c r="B247" s="172" t="s">
        <v>611</v>
      </c>
      <c r="C247" s="210">
        <v>1</v>
      </c>
      <c r="D247" s="148">
        <f>F247</f>
        <v>0</v>
      </c>
      <c r="E247" s="213" t="e">
        <f>D247/$F$250</f>
        <v>#DIV/0!</v>
      </c>
      <c r="F247" s="148">
        <f>FREQUENCY('Grille de saisie'!$AY$3:$AY$602,Fréquence!C247)</f>
        <v>0</v>
      </c>
      <c r="G247" s="213" t="e">
        <f>E247</f>
        <v>#DIV/0!</v>
      </c>
    </row>
    <row r="248" spans="1:7">
      <c r="A248" s="402" t="s">
        <v>608</v>
      </c>
      <c r="B248" s="172" t="s">
        <v>612</v>
      </c>
      <c r="C248" s="210">
        <v>2</v>
      </c>
      <c r="D248" s="148">
        <f>F248-F247</f>
        <v>0</v>
      </c>
      <c r="E248" s="213" t="e">
        <f t="shared" ref="E248:E250" si="32">D248/$F$250</f>
        <v>#DIV/0!</v>
      </c>
      <c r="F248" s="148">
        <f>FREQUENCY('Grille de saisie'!$AY$3:$AY$602,Fréquence!C248)</f>
        <v>0</v>
      </c>
      <c r="G248" s="213" t="e">
        <f>E248+E247</f>
        <v>#DIV/0!</v>
      </c>
    </row>
    <row r="249" spans="1:7">
      <c r="A249" s="402" t="s">
        <v>609</v>
      </c>
      <c r="B249" s="172" t="s">
        <v>613</v>
      </c>
      <c r="C249" s="210">
        <v>3</v>
      </c>
      <c r="D249" s="148">
        <f>F249-F248</f>
        <v>0</v>
      </c>
      <c r="E249" s="213" t="e">
        <f t="shared" si="32"/>
        <v>#DIV/0!</v>
      </c>
      <c r="F249" s="148">
        <f>FREQUENCY('Grille de saisie'!$AY$3:$AY$602,Fréquence!C249)</f>
        <v>0</v>
      </c>
      <c r="G249" s="213" t="e">
        <f>E249+E248+E247</f>
        <v>#DIV/0!</v>
      </c>
    </row>
    <row r="250" spans="1:7">
      <c r="A250" s="201" t="s">
        <v>610</v>
      </c>
      <c r="B250" s="172" t="s">
        <v>375</v>
      </c>
      <c r="C250" s="210">
        <v>8</v>
      </c>
      <c r="D250" s="148">
        <f>F250-F249</f>
        <v>0</v>
      </c>
      <c r="E250" s="213" t="e">
        <f t="shared" si="32"/>
        <v>#DIV/0!</v>
      </c>
      <c r="F250" s="148">
        <f>FREQUENCY('Grille de saisie'!$AY$3:$AY$602,Fréquence!C250)</f>
        <v>0</v>
      </c>
      <c r="G250" s="213" t="e">
        <f>E250+E249+E248+E247</f>
        <v>#DIV/0!</v>
      </c>
    </row>
    <row r="251" spans="1:7">
      <c r="A251" s="180"/>
      <c r="B251" s="204"/>
      <c r="C251" s="205"/>
      <c r="D251" s="157"/>
      <c r="E251" s="350"/>
      <c r="F251" s="148"/>
      <c r="G251" s="213"/>
    </row>
    <row r="252" spans="1:7">
      <c r="A252" s="401" t="s">
        <v>136</v>
      </c>
      <c r="B252" s="151"/>
      <c r="D252" s="148"/>
      <c r="F252" s="149"/>
      <c r="G252" s="189"/>
    </row>
    <row r="253" spans="1:7">
      <c r="A253" s="402" t="s">
        <v>406</v>
      </c>
      <c r="B253" s="172" t="s">
        <v>411</v>
      </c>
      <c r="C253" s="210">
        <v>1</v>
      </c>
      <c r="D253" s="148">
        <f>F253</f>
        <v>0</v>
      </c>
      <c r="E253" s="212" t="e">
        <f>D253/$F$257</f>
        <v>#DIV/0!</v>
      </c>
      <c r="F253" s="148">
        <f>FREQUENCY('Grille de saisie'!$AZ$3:$AZ$602,Fréquence!C253)</f>
        <v>0</v>
      </c>
      <c r="G253" s="213" t="e">
        <f>E253</f>
        <v>#DIV/0!</v>
      </c>
    </row>
    <row r="254" spans="1:7">
      <c r="A254" s="402" t="s">
        <v>407</v>
      </c>
      <c r="B254" s="172" t="s">
        <v>412</v>
      </c>
      <c r="C254" s="210">
        <v>2</v>
      </c>
      <c r="D254" s="148">
        <f t="shared" ref="D254:D257" si="33">F254-F253</f>
        <v>0</v>
      </c>
      <c r="E254" s="212" t="e">
        <f t="shared" ref="E254:E256" si="34">D254/$F$257</f>
        <v>#DIV/0!</v>
      </c>
      <c r="F254" s="148">
        <f>FREQUENCY('Grille de saisie'!$AZ$3:$AZ$602,Fréquence!C254)</f>
        <v>0</v>
      </c>
      <c r="G254" s="213" t="e">
        <f>E254+E253</f>
        <v>#DIV/0!</v>
      </c>
    </row>
    <row r="255" spans="1:7">
      <c r="A255" s="201" t="s">
        <v>408</v>
      </c>
      <c r="B255" s="172" t="s">
        <v>413</v>
      </c>
      <c r="C255" s="192">
        <v>3</v>
      </c>
      <c r="D255" s="148">
        <f t="shared" si="33"/>
        <v>0</v>
      </c>
      <c r="E255" s="212" t="e">
        <f t="shared" si="34"/>
        <v>#DIV/0!</v>
      </c>
      <c r="F255" s="148">
        <f>FREQUENCY('Grille de saisie'!$AZ$3:$AZ$602,Fréquence!C255)</f>
        <v>0</v>
      </c>
      <c r="G255" s="213" t="e">
        <f>E255+E254+E253</f>
        <v>#DIV/0!</v>
      </c>
    </row>
    <row r="256" spans="1:7">
      <c r="A256" s="177"/>
      <c r="B256" s="172" t="s">
        <v>414</v>
      </c>
      <c r="C256" s="192">
        <v>4</v>
      </c>
      <c r="D256" s="148">
        <f t="shared" si="33"/>
        <v>0</v>
      </c>
      <c r="E256" s="212" t="e">
        <f t="shared" si="34"/>
        <v>#DIV/0!</v>
      </c>
      <c r="F256" s="148">
        <f>FREQUENCY('Grille de saisie'!$AZ$3:$AZ$602,Fréquence!C256)</f>
        <v>0</v>
      </c>
      <c r="G256" s="213" t="e">
        <f>E256+E255+E254+E253</f>
        <v>#DIV/0!</v>
      </c>
    </row>
    <row r="257" spans="1:7">
      <c r="A257" s="201"/>
      <c r="B257" s="172" t="s">
        <v>375</v>
      </c>
      <c r="C257" s="192">
        <v>8</v>
      </c>
      <c r="D257" s="148">
        <f t="shared" si="33"/>
        <v>0</v>
      </c>
      <c r="E257" s="212" t="e">
        <f>D257/$F$257</f>
        <v>#DIV/0!</v>
      </c>
      <c r="F257" s="148">
        <f>FREQUENCY('Grille de saisie'!$AZ$3:$AZ$602,Fréquence!C257)</f>
        <v>0</v>
      </c>
      <c r="G257" s="213" t="e">
        <f>E257+E256+E255+E254+E253</f>
        <v>#DIV/0!</v>
      </c>
    </row>
    <row r="258" spans="1:7">
      <c r="A258" s="191"/>
      <c r="B258" s="204"/>
      <c r="C258" s="205"/>
      <c r="D258" s="157"/>
      <c r="E258" s="197"/>
      <c r="F258" s="157"/>
      <c r="G258" s="214"/>
    </row>
    <row r="259" spans="1:7">
      <c r="A259" s="401" t="s">
        <v>137</v>
      </c>
      <c r="B259" s="151"/>
      <c r="D259" s="148"/>
      <c r="F259" s="148"/>
      <c r="G259" s="194"/>
    </row>
    <row r="260" spans="1:7">
      <c r="A260" s="402" t="s">
        <v>406</v>
      </c>
      <c r="B260" s="172" t="s">
        <v>411</v>
      </c>
      <c r="C260" s="210">
        <v>1</v>
      </c>
      <c r="D260" s="148">
        <f>F260</f>
        <v>0</v>
      </c>
      <c r="E260" s="212" t="e">
        <f>D260/$F$264</f>
        <v>#DIV/0!</v>
      </c>
      <c r="F260" s="148">
        <f>FREQUENCY('Grille de saisie'!$BA$3:$BA$602,Fréquence!C260)</f>
        <v>0</v>
      </c>
      <c r="G260" s="213" t="e">
        <f>E260</f>
        <v>#DIV/0!</v>
      </c>
    </row>
    <row r="261" spans="1:7">
      <c r="A261" s="402" t="s">
        <v>409</v>
      </c>
      <c r="B261" s="172" t="s">
        <v>412</v>
      </c>
      <c r="C261" s="210">
        <v>2</v>
      </c>
      <c r="D261" s="148">
        <f>F261-F260</f>
        <v>0</v>
      </c>
      <c r="E261" s="212" t="e">
        <f>D261/$F$264</f>
        <v>#DIV/0!</v>
      </c>
      <c r="F261" s="148">
        <f>FREQUENCY('Grille de saisie'!$BA$3:$BA$602,Fréquence!C261)</f>
        <v>0</v>
      </c>
      <c r="G261" s="213" t="e">
        <f>E261+E260</f>
        <v>#DIV/0!</v>
      </c>
    </row>
    <row r="262" spans="1:7">
      <c r="A262" s="402" t="s">
        <v>410</v>
      </c>
      <c r="B262" s="172" t="s">
        <v>413</v>
      </c>
      <c r="C262" s="210">
        <v>3</v>
      </c>
      <c r="D262" s="148">
        <f>F262-F261</f>
        <v>0</v>
      </c>
      <c r="E262" s="212" t="e">
        <f>D262/$F$264</f>
        <v>#DIV/0!</v>
      </c>
      <c r="F262" s="148">
        <f>FREQUENCY('Grille de saisie'!$BA$3:$BA$602,Fréquence!C262)</f>
        <v>0</v>
      </c>
      <c r="G262" s="213" t="e">
        <f>E262+E261+E260</f>
        <v>#DIV/0!</v>
      </c>
    </row>
    <row r="263" spans="1:7">
      <c r="A263" s="201"/>
      <c r="B263" s="172" t="s">
        <v>414</v>
      </c>
      <c r="C263" s="210">
        <v>4</v>
      </c>
      <c r="D263" s="148">
        <f>F263-F262</f>
        <v>0</v>
      </c>
      <c r="E263" s="212" t="e">
        <f>D263/$F$264</f>
        <v>#DIV/0!</v>
      </c>
      <c r="F263" s="148">
        <f>FREQUENCY('Grille de saisie'!$BA$3:$BA$602,Fréquence!C263)</f>
        <v>0</v>
      </c>
      <c r="G263" s="213" t="e">
        <f>E263+E262+E261+E260</f>
        <v>#DIV/0!</v>
      </c>
    </row>
    <row r="264" spans="1:7">
      <c r="A264" s="201"/>
      <c r="B264" s="172" t="s">
        <v>375</v>
      </c>
      <c r="C264" s="210">
        <v>8</v>
      </c>
      <c r="D264" s="148">
        <f>F264-F263</f>
        <v>0</v>
      </c>
      <c r="E264" s="267" t="e">
        <f>D264/$F$264</f>
        <v>#DIV/0!</v>
      </c>
      <c r="F264" s="148">
        <f>FREQUENCY('Grille de saisie'!$BA$3:$BA$602,Fréquence!C264)</f>
        <v>0</v>
      </c>
      <c r="G264" s="213" t="e">
        <f>E264+E263+E262+E261+E260</f>
        <v>#DIV/0!</v>
      </c>
    </row>
    <row r="265" spans="1:7">
      <c r="A265" s="179"/>
      <c r="B265" s="154"/>
      <c r="C265" s="191"/>
      <c r="D265" s="223"/>
      <c r="E265" s="187"/>
      <c r="F265" s="187"/>
      <c r="G265" s="223"/>
    </row>
    <row r="266" spans="1:7">
      <c r="A266" s="220" t="s">
        <v>138</v>
      </c>
      <c r="B266" s="201"/>
      <c r="C266" s="188"/>
      <c r="D266" s="189"/>
      <c r="E266" s="202"/>
      <c r="F266" s="189"/>
      <c r="G266" s="190"/>
    </row>
    <row r="267" spans="1:7">
      <c r="A267" s="349" t="s">
        <v>614</v>
      </c>
      <c r="B267" s="180"/>
      <c r="C267" s="205"/>
      <c r="D267" s="196"/>
      <c r="E267" s="206"/>
      <c r="F267" s="196"/>
      <c r="G267" s="206"/>
    </row>
    <row r="268" spans="1:7">
      <c r="A268" s="401" t="s">
        <v>570</v>
      </c>
      <c r="B268" s="151"/>
      <c r="D268" s="148"/>
      <c r="F268" s="148"/>
      <c r="G268" s="194"/>
    </row>
    <row r="269" spans="1:7">
      <c r="A269" s="201" t="s">
        <v>235</v>
      </c>
      <c r="B269" s="172" t="s">
        <v>411</v>
      </c>
      <c r="C269" s="192">
        <v>1</v>
      </c>
      <c r="D269" s="148">
        <f>F269</f>
        <v>0</v>
      </c>
      <c r="E269" s="212" t="e">
        <f>D269/$F$273</f>
        <v>#DIV/0!</v>
      </c>
      <c r="F269" s="148">
        <f>FREQUENCY('Grille de saisie'!$BB$3:$BB$602,Fréquence!C269)</f>
        <v>0</v>
      </c>
      <c r="G269" s="213" t="e">
        <f>E269</f>
        <v>#DIV/0!</v>
      </c>
    </row>
    <row r="270" spans="1:7">
      <c r="A270" s="402" t="s">
        <v>415</v>
      </c>
      <c r="B270" s="172" t="s">
        <v>412</v>
      </c>
      <c r="C270" s="192">
        <v>2</v>
      </c>
      <c r="D270" s="148">
        <f t="shared" ref="D270:D273" si="35">F270-F269</f>
        <v>0</v>
      </c>
      <c r="E270" s="212" t="e">
        <f t="shared" ref="E270:E273" si="36">D270/$F$273</f>
        <v>#DIV/0!</v>
      </c>
      <c r="F270" s="148">
        <f>FREQUENCY('Grille de saisie'!$BB$3:$BB$602,Fréquence!C270)</f>
        <v>0</v>
      </c>
      <c r="G270" s="213" t="e">
        <f>E270+E269</f>
        <v>#DIV/0!</v>
      </c>
    </row>
    <row r="271" spans="1:7">
      <c r="A271" s="401"/>
      <c r="B271" s="172" t="s">
        <v>413</v>
      </c>
      <c r="C271" s="192">
        <v>3</v>
      </c>
      <c r="D271" s="148">
        <f t="shared" si="35"/>
        <v>0</v>
      </c>
      <c r="E271" s="212" t="e">
        <f t="shared" si="36"/>
        <v>#DIV/0!</v>
      </c>
      <c r="F271" s="148">
        <f>FREQUENCY('Grille de saisie'!$BB$3:$BB$602,Fréquence!C271)</f>
        <v>0</v>
      </c>
      <c r="G271" s="213" t="e">
        <f>E271+E270+E269</f>
        <v>#DIV/0!</v>
      </c>
    </row>
    <row r="272" spans="1:7">
      <c r="A272" s="401"/>
      <c r="B272" s="172" t="s">
        <v>414</v>
      </c>
      <c r="C272" s="192">
        <v>4</v>
      </c>
      <c r="D272" s="148">
        <f t="shared" si="35"/>
        <v>0</v>
      </c>
      <c r="E272" s="212" t="e">
        <f t="shared" si="36"/>
        <v>#DIV/0!</v>
      </c>
      <c r="F272" s="148">
        <f>FREQUENCY('Grille de saisie'!$BB$3:$BB$602,Fréquence!C272)</f>
        <v>0</v>
      </c>
      <c r="G272" s="213" t="e">
        <f>E272+E271+E270+E269</f>
        <v>#DIV/0!</v>
      </c>
    </row>
    <row r="273" spans="1:7">
      <c r="A273" s="401"/>
      <c r="B273" s="172" t="s">
        <v>375</v>
      </c>
      <c r="C273" s="192">
        <v>8</v>
      </c>
      <c r="D273" s="148">
        <f t="shared" si="35"/>
        <v>0</v>
      </c>
      <c r="E273" s="212" t="e">
        <f t="shared" si="36"/>
        <v>#DIV/0!</v>
      </c>
      <c r="F273" s="148">
        <f>FREQUENCY('Grille de saisie'!$BB$3:$BB$602,Fréquence!C273)</f>
        <v>0</v>
      </c>
      <c r="G273" s="213" t="e">
        <f>E273+E272+E271+E270+E269</f>
        <v>#DIV/0!</v>
      </c>
    </row>
    <row r="274" spans="1:7">
      <c r="A274" s="406"/>
      <c r="B274" s="204"/>
      <c r="C274" s="205"/>
      <c r="D274" s="157"/>
      <c r="E274" s="158"/>
      <c r="F274" s="148"/>
      <c r="G274" s="214"/>
    </row>
    <row r="275" spans="1:7">
      <c r="A275" s="401" t="s">
        <v>571</v>
      </c>
      <c r="B275" s="435"/>
      <c r="D275" s="148"/>
      <c r="F275" s="149"/>
      <c r="G275" s="189"/>
    </row>
    <row r="276" spans="1:7">
      <c r="A276" s="201" t="s">
        <v>236</v>
      </c>
      <c r="B276" s="172" t="s">
        <v>411</v>
      </c>
      <c r="C276" s="192">
        <v>1</v>
      </c>
      <c r="D276" s="148">
        <f>F276</f>
        <v>0</v>
      </c>
      <c r="E276" s="212" t="e">
        <f>D276/$F$280</f>
        <v>#DIV/0!</v>
      </c>
      <c r="F276" s="148">
        <f>FREQUENCY('Grille de saisie'!$BC$3:$BC$602,Fréquence!C276)</f>
        <v>0</v>
      </c>
      <c r="G276" s="213" t="e">
        <f>E276</f>
        <v>#DIV/0!</v>
      </c>
    </row>
    <row r="277" spans="1:7">
      <c r="A277" s="402" t="s">
        <v>408</v>
      </c>
      <c r="B277" s="172" t="s">
        <v>412</v>
      </c>
      <c r="C277" s="192">
        <v>2</v>
      </c>
      <c r="D277" s="148">
        <f>F277-F276</f>
        <v>0</v>
      </c>
      <c r="E277" s="212" t="e">
        <f t="shared" ref="E277:E280" si="37">D277/$F$280</f>
        <v>#DIV/0!</v>
      </c>
      <c r="F277" s="148">
        <f>FREQUENCY('Grille de saisie'!$BC$3:$BC$602,Fréquence!C277)</f>
        <v>0</v>
      </c>
      <c r="G277" s="213" t="e">
        <f>E277+E276</f>
        <v>#DIV/0!</v>
      </c>
    </row>
    <row r="278" spans="1:7">
      <c r="A278" s="127"/>
      <c r="B278" s="172" t="s">
        <v>413</v>
      </c>
      <c r="C278" s="192">
        <v>3</v>
      </c>
      <c r="D278" s="148">
        <f>F278-F277</f>
        <v>0</v>
      </c>
      <c r="E278" s="212" t="e">
        <f t="shared" si="37"/>
        <v>#DIV/0!</v>
      </c>
      <c r="F278" s="148">
        <f>FREQUENCY('Grille de saisie'!$BC$3:$BC$602,Fréquence!C278)</f>
        <v>0</v>
      </c>
      <c r="G278" s="213" t="e">
        <f>E278+E277+E276</f>
        <v>#DIV/0!</v>
      </c>
    </row>
    <row r="279" spans="1:7">
      <c r="A279" s="127"/>
      <c r="B279" s="172" t="s">
        <v>414</v>
      </c>
      <c r="C279" s="192">
        <v>4</v>
      </c>
      <c r="D279" s="148">
        <f>F279-F278</f>
        <v>0</v>
      </c>
      <c r="E279" s="212" t="e">
        <f t="shared" si="37"/>
        <v>#DIV/0!</v>
      </c>
      <c r="F279" s="148">
        <f>FREQUENCY('Grille de saisie'!$BC$3:$BC$602,Fréquence!C279)</f>
        <v>0</v>
      </c>
      <c r="G279" s="213" t="e">
        <f>E279+E278+E277+E276</f>
        <v>#DIV/0!</v>
      </c>
    </row>
    <row r="280" spans="1:7">
      <c r="A280" s="127"/>
      <c r="B280" s="172" t="s">
        <v>375</v>
      </c>
      <c r="C280" s="192">
        <v>8</v>
      </c>
      <c r="D280" s="148">
        <f>F280-F279</f>
        <v>0</v>
      </c>
      <c r="E280" s="212" t="e">
        <f t="shared" si="37"/>
        <v>#DIV/0!</v>
      </c>
      <c r="F280" s="148">
        <f>FREQUENCY('Grille de saisie'!$BC$3:$BC$602,Fréquence!C280)</f>
        <v>0</v>
      </c>
      <c r="G280" s="213" t="e">
        <f>E280+E279+E278+E277+E276</f>
        <v>#DIV/0!</v>
      </c>
    </row>
    <row r="281" spans="1:7">
      <c r="A281" s="406"/>
      <c r="B281" s="204"/>
      <c r="C281" s="205"/>
      <c r="D281" s="157"/>
      <c r="E281" s="197"/>
      <c r="F281" s="157"/>
      <c r="G281" s="214"/>
    </row>
    <row r="282" spans="1:7">
      <c r="A282" s="401" t="s">
        <v>572</v>
      </c>
      <c r="B282" s="151"/>
      <c r="D282" s="148"/>
      <c r="F282" s="148"/>
      <c r="G282" s="194"/>
    </row>
    <row r="283" spans="1:7">
      <c r="A283" s="201" t="s">
        <v>237</v>
      </c>
      <c r="B283" s="172" t="s">
        <v>411</v>
      </c>
      <c r="C283" s="192">
        <v>1</v>
      </c>
      <c r="D283" s="148">
        <f>F283</f>
        <v>0</v>
      </c>
      <c r="E283" s="212" t="e">
        <f>D283/$F$287</f>
        <v>#DIV/0!</v>
      </c>
      <c r="F283" s="148">
        <f>FREQUENCY('Grille de saisie'!$BD$3:$BD$602,Fréquence!C283)</f>
        <v>0</v>
      </c>
      <c r="G283" s="213" t="e">
        <f>E283</f>
        <v>#DIV/0!</v>
      </c>
    </row>
    <row r="284" spans="1:7">
      <c r="A284" s="201" t="s">
        <v>238</v>
      </c>
      <c r="B284" s="172" t="s">
        <v>412</v>
      </c>
      <c r="C284" s="192">
        <v>2</v>
      </c>
      <c r="D284" s="148">
        <f t="shared" ref="D284:D287" si="38">F284-F283</f>
        <v>0</v>
      </c>
      <c r="E284" s="212" t="e">
        <f t="shared" ref="E284:E287" si="39">D284/$F$287</f>
        <v>#DIV/0!</v>
      </c>
      <c r="F284" s="148">
        <f>FREQUENCY('Grille de saisie'!$BD$3:$BD$602,Fréquence!C284)</f>
        <v>0</v>
      </c>
      <c r="G284" s="213" t="e">
        <f>E284+E283</f>
        <v>#DIV/0!</v>
      </c>
    </row>
    <row r="285" spans="1:7">
      <c r="A285" s="402" t="s">
        <v>416</v>
      </c>
      <c r="B285" s="172" t="s">
        <v>413</v>
      </c>
      <c r="C285" s="192">
        <v>3</v>
      </c>
      <c r="D285" s="148">
        <f t="shared" si="38"/>
        <v>0</v>
      </c>
      <c r="E285" s="212" t="e">
        <f t="shared" si="39"/>
        <v>#DIV/0!</v>
      </c>
      <c r="F285" s="148">
        <f>FREQUENCY('Grille de saisie'!$BD$3:$BD$602,Fréquence!C285)</f>
        <v>0</v>
      </c>
      <c r="G285" s="213" t="e">
        <f>E285+E284+E283</f>
        <v>#DIV/0!</v>
      </c>
    </row>
    <row r="286" spans="1:7">
      <c r="A286" s="201"/>
      <c r="B286" s="172" t="s">
        <v>414</v>
      </c>
      <c r="C286" s="192">
        <v>4</v>
      </c>
      <c r="D286" s="148">
        <f t="shared" si="38"/>
        <v>0</v>
      </c>
      <c r="E286" s="212" t="e">
        <f t="shared" si="39"/>
        <v>#DIV/0!</v>
      </c>
      <c r="F286" s="148">
        <f>FREQUENCY('Grille de saisie'!$BD$3:$BD$602,Fréquence!C286)</f>
        <v>0</v>
      </c>
      <c r="G286" s="213" t="e">
        <f>E286+E285+E284+E283</f>
        <v>#DIV/0!</v>
      </c>
    </row>
    <row r="287" spans="1:7">
      <c r="A287" s="201"/>
      <c r="B287" s="172" t="s">
        <v>375</v>
      </c>
      <c r="C287" s="192">
        <v>8</v>
      </c>
      <c r="D287" s="148">
        <f t="shared" si="38"/>
        <v>0</v>
      </c>
      <c r="E287" s="212" t="e">
        <f t="shared" si="39"/>
        <v>#DIV/0!</v>
      </c>
      <c r="F287" s="148">
        <f>FREQUENCY('Grille de saisie'!$BD$3:$BD$602,Fréquence!C287)</f>
        <v>0</v>
      </c>
      <c r="G287" s="213" t="e">
        <f>E287+E286+E285+E284+E283</f>
        <v>#DIV/0!</v>
      </c>
    </row>
    <row r="288" spans="1:7">
      <c r="A288" s="406"/>
      <c r="B288" s="204"/>
      <c r="C288" s="205"/>
      <c r="D288" s="157"/>
      <c r="E288" s="197"/>
      <c r="F288" s="157"/>
      <c r="G288" s="214"/>
    </row>
    <row r="289" spans="1:7">
      <c r="A289" s="401" t="s">
        <v>139</v>
      </c>
      <c r="B289" s="151"/>
      <c r="D289" s="148"/>
      <c r="F289" s="148"/>
      <c r="G289" s="194"/>
    </row>
    <row r="290" spans="1:7">
      <c r="A290" s="402" t="s">
        <v>26</v>
      </c>
      <c r="B290" s="199" t="s">
        <v>47</v>
      </c>
      <c r="C290" s="192">
        <v>1</v>
      </c>
      <c r="D290" s="148">
        <f>F290</f>
        <v>0</v>
      </c>
      <c r="E290" s="212" t="e">
        <f>D290/$F$293</f>
        <v>#DIV/0!</v>
      </c>
      <c r="F290" s="148">
        <f>FREQUENCY('Grille de saisie'!$BE$3:$BE$602,Fréquence!C290)</f>
        <v>0</v>
      </c>
      <c r="G290" s="213" t="e">
        <f>E290</f>
        <v>#DIV/0!</v>
      </c>
    </row>
    <row r="291" spans="1:7">
      <c r="A291" s="402" t="s">
        <v>417</v>
      </c>
      <c r="B291" s="199" t="s">
        <v>48</v>
      </c>
      <c r="C291" s="192">
        <v>2</v>
      </c>
      <c r="D291" s="148">
        <f>F291-F290</f>
        <v>0</v>
      </c>
      <c r="E291" s="212" t="e">
        <f t="shared" ref="E291:E293" si="40">D291/$F$293</f>
        <v>#DIV/0!</v>
      </c>
      <c r="F291" s="148">
        <f>FREQUENCY('Grille de saisie'!$BE$3:$BE$602,Fréquence!C291)</f>
        <v>0</v>
      </c>
      <c r="G291" s="213" t="e">
        <f>E291+E290</f>
        <v>#DIV/0!</v>
      </c>
    </row>
    <row r="292" spans="1:7">
      <c r="A292" s="402" t="s">
        <v>418</v>
      </c>
      <c r="B292" s="199" t="s">
        <v>49</v>
      </c>
      <c r="C292" s="192">
        <v>3</v>
      </c>
      <c r="D292" s="148">
        <f>F292-F291</f>
        <v>0</v>
      </c>
      <c r="E292" s="212" t="e">
        <f t="shared" si="40"/>
        <v>#DIV/0!</v>
      </c>
      <c r="F292" s="148">
        <f>FREQUENCY('Grille de saisie'!$BE$3:$BE$602,Fréquence!C292)</f>
        <v>0</v>
      </c>
      <c r="G292" s="213" t="e">
        <f>E292+E291+E290</f>
        <v>#DIV/0!</v>
      </c>
    </row>
    <row r="293" spans="1:7">
      <c r="A293" s="402" t="s">
        <v>378</v>
      </c>
      <c r="B293" s="199" t="s">
        <v>50</v>
      </c>
      <c r="C293" s="192">
        <v>4</v>
      </c>
      <c r="D293" s="148">
        <f>F293-F292</f>
        <v>0</v>
      </c>
      <c r="E293" s="212" t="e">
        <f t="shared" si="40"/>
        <v>#DIV/0!</v>
      </c>
      <c r="F293" s="148">
        <f>FREQUENCY('Grille de saisie'!$BE$3:$BE$602,Fréquence!C293)</f>
        <v>0</v>
      </c>
      <c r="G293" s="213" t="e">
        <f>E293+E292+E291+E290</f>
        <v>#DIV/0!</v>
      </c>
    </row>
    <row r="294" spans="1:7">
      <c r="A294" s="201"/>
      <c r="B294" s="199"/>
      <c r="D294" s="148"/>
      <c r="E294" s="212"/>
      <c r="F294" s="148"/>
      <c r="G294" s="213"/>
    </row>
    <row r="295" spans="1:7">
      <c r="A295" s="180"/>
      <c r="B295" s="204"/>
      <c r="C295" s="205"/>
      <c r="D295" s="157"/>
      <c r="E295" s="197"/>
      <c r="F295" s="157"/>
      <c r="G295" s="214"/>
    </row>
    <row r="296" spans="1:7">
      <c r="A296" s="401" t="s">
        <v>140</v>
      </c>
      <c r="B296" s="151"/>
      <c r="D296" s="148"/>
      <c r="F296" s="148"/>
      <c r="G296" s="194"/>
    </row>
    <row r="297" spans="1:7">
      <c r="A297" s="201" t="s">
        <v>51</v>
      </c>
      <c r="B297" s="172" t="s">
        <v>411</v>
      </c>
      <c r="C297" s="227">
        <v>1</v>
      </c>
      <c r="D297" s="148">
        <f>F297</f>
        <v>0</v>
      </c>
      <c r="E297" s="212" t="e">
        <f>D297/$F$301</f>
        <v>#DIV/0!</v>
      </c>
      <c r="F297" s="148">
        <f>FREQUENCY('Grille de saisie'!$BF$3:$BF$602,Fréquence!C297)</f>
        <v>0</v>
      </c>
      <c r="G297" s="213" t="e">
        <f>E297</f>
        <v>#DIV/0!</v>
      </c>
    </row>
    <row r="298" spans="1:7">
      <c r="A298" s="402" t="s">
        <v>419</v>
      </c>
      <c r="B298" s="172" t="s">
        <v>412</v>
      </c>
      <c r="C298" s="227">
        <v>2</v>
      </c>
      <c r="D298" s="148">
        <f t="shared" ref="D298:D301" si="41">F298-F297</f>
        <v>0</v>
      </c>
      <c r="E298" s="212" t="e">
        <f t="shared" ref="E298:E301" si="42">D298/$F$301</f>
        <v>#DIV/0!</v>
      </c>
      <c r="F298" s="148">
        <f>FREQUENCY('Grille de saisie'!$BF$3:$BF$602,Fréquence!C298)</f>
        <v>0</v>
      </c>
      <c r="G298" s="213" t="e">
        <f>E298+E297</f>
        <v>#DIV/0!</v>
      </c>
    </row>
    <row r="299" spans="1:7">
      <c r="A299" s="402" t="s">
        <v>420</v>
      </c>
      <c r="B299" s="172" t="s">
        <v>413</v>
      </c>
      <c r="C299" s="227">
        <v>3</v>
      </c>
      <c r="D299" s="148">
        <f t="shared" si="41"/>
        <v>0</v>
      </c>
      <c r="E299" s="212" t="e">
        <f t="shared" si="42"/>
        <v>#DIV/0!</v>
      </c>
      <c r="F299" s="148">
        <f>FREQUENCY('Grille de saisie'!$BF$3:$BF$602,Fréquence!C299)</f>
        <v>0</v>
      </c>
      <c r="G299" s="213" t="e">
        <f>E299+E298+E297</f>
        <v>#DIV/0!</v>
      </c>
    </row>
    <row r="300" spans="1:7">
      <c r="A300" s="201" t="s">
        <v>421</v>
      </c>
      <c r="B300" s="172" t="s">
        <v>414</v>
      </c>
      <c r="C300" s="227">
        <v>4</v>
      </c>
      <c r="D300" s="148">
        <f t="shared" si="41"/>
        <v>0</v>
      </c>
      <c r="E300" s="212" t="e">
        <f t="shared" si="42"/>
        <v>#DIV/0!</v>
      </c>
      <c r="F300" s="148">
        <f>FREQUENCY('Grille de saisie'!$BF$3:$BF$602,Fréquence!C300)</f>
        <v>0</v>
      </c>
      <c r="G300" s="213" t="e">
        <f>E300+E299+E298+E297</f>
        <v>#DIV/0!</v>
      </c>
    </row>
    <row r="301" spans="1:7">
      <c r="A301" s="201"/>
      <c r="B301" s="199" t="s">
        <v>41</v>
      </c>
      <c r="C301" s="227">
        <v>7</v>
      </c>
      <c r="D301" s="148">
        <f t="shared" si="41"/>
        <v>0</v>
      </c>
      <c r="E301" s="212" t="e">
        <f t="shared" si="42"/>
        <v>#DIV/0!</v>
      </c>
      <c r="F301" s="148">
        <f>FREQUENCY('Grille de saisie'!$BF$3:$BF$602,Fréquence!C301)</f>
        <v>0</v>
      </c>
      <c r="G301" s="213" t="e">
        <f>E301+E300+E299+E298+E297</f>
        <v>#DIV/0!</v>
      </c>
    </row>
    <row r="302" spans="1:7">
      <c r="A302" s="180"/>
      <c r="B302" s="204"/>
      <c r="C302" s="228"/>
      <c r="D302" s="157"/>
      <c r="E302" s="211"/>
      <c r="F302" s="148"/>
      <c r="G302" s="206"/>
    </row>
    <row r="303" spans="1:7">
      <c r="A303" s="401" t="s">
        <v>141</v>
      </c>
      <c r="B303" s="221"/>
      <c r="C303" s="229"/>
      <c r="D303" s="189"/>
      <c r="E303" s="202"/>
      <c r="F303" s="189"/>
      <c r="G303" s="190"/>
    </row>
    <row r="304" spans="1:7">
      <c r="A304" s="402" t="s">
        <v>615</v>
      </c>
      <c r="B304" s="201"/>
      <c r="C304" s="230"/>
      <c r="D304" s="194"/>
      <c r="E304" s="190"/>
      <c r="F304" s="196"/>
      <c r="G304" s="190"/>
    </row>
    <row r="305" spans="1:7" s="127" customFormat="1">
      <c r="A305" s="220" t="s">
        <v>574</v>
      </c>
      <c r="B305" s="435"/>
      <c r="C305" s="188"/>
      <c r="D305" s="149"/>
      <c r="E305" s="189"/>
      <c r="F305" s="149"/>
      <c r="G305" s="189"/>
    </row>
    <row r="306" spans="1:7">
      <c r="A306" s="402" t="s">
        <v>616</v>
      </c>
      <c r="B306" s="151" t="s">
        <v>35</v>
      </c>
      <c r="C306" s="192">
        <v>1</v>
      </c>
      <c r="D306" s="148">
        <f>F306</f>
        <v>0</v>
      </c>
      <c r="E306" s="212" t="e">
        <f>D306/$F$307</f>
        <v>#DIV/0!</v>
      </c>
      <c r="F306" s="148">
        <f>FREQUENCY('Grille de saisie'!$BI$3:$BI$602,Fréquence!C306)</f>
        <v>0</v>
      </c>
      <c r="G306" s="213" t="e">
        <f>E306</f>
        <v>#DIV/0!</v>
      </c>
    </row>
    <row r="307" spans="1:7">
      <c r="A307" s="201" t="s">
        <v>118</v>
      </c>
      <c r="B307" s="151" t="s">
        <v>36</v>
      </c>
      <c r="C307" s="192">
        <v>2</v>
      </c>
      <c r="D307" s="148">
        <f>F307-F306</f>
        <v>0</v>
      </c>
      <c r="E307" s="212" t="e">
        <f>D307/$F$307</f>
        <v>#DIV/0!</v>
      </c>
      <c r="F307" s="148">
        <f>FREQUENCY('Grille de saisie'!$BI$3:$BI$602,Fréquence!C307)</f>
        <v>0</v>
      </c>
      <c r="G307" s="213" t="e">
        <f>E307+E306</f>
        <v>#DIV/0!</v>
      </c>
    </row>
    <row r="308" spans="1:7">
      <c r="A308" s="402" t="s">
        <v>425</v>
      </c>
      <c r="B308" s="151"/>
      <c r="D308" s="148"/>
      <c r="E308" s="212"/>
      <c r="F308" s="148"/>
      <c r="G308" s="213"/>
    </row>
    <row r="309" spans="1:7">
      <c r="A309" s="406"/>
      <c r="B309" s="204"/>
      <c r="C309" s="205"/>
      <c r="D309" s="157"/>
      <c r="E309" s="197"/>
      <c r="F309" s="157"/>
      <c r="G309" s="214"/>
    </row>
    <row r="310" spans="1:7">
      <c r="A310" s="401" t="s">
        <v>575</v>
      </c>
      <c r="B310" s="435"/>
      <c r="C310" s="425"/>
      <c r="E310" s="148"/>
      <c r="F310" s="218"/>
      <c r="G310" s="189"/>
    </row>
    <row r="311" spans="1:7">
      <c r="A311" s="402" t="s">
        <v>617</v>
      </c>
      <c r="B311" s="199" t="s">
        <v>35</v>
      </c>
      <c r="C311" s="227">
        <v>1</v>
      </c>
      <c r="D311" s="148">
        <f>F311</f>
        <v>0</v>
      </c>
      <c r="E311" s="152" t="e">
        <f>D311/$F$312</f>
        <v>#DIV/0!</v>
      </c>
      <c r="F311" s="218">
        <f>FREQUENCY('Grille de saisie'!$BJ$3:$BJ$602,Fréquence!C311)</f>
        <v>0</v>
      </c>
      <c r="G311" s="190" t="e">
        <f>E311</f>
        <v>#DIV/0!</v>
      </c>
    </row>
    <row r="312" spans="1:7">
      <c r="A312" s="201" t="s">
        <v>120</v>
      </c>
      <c r="B312" s="199" t="s">
        <v>36</v>
      </c>
      <c r="C312" s="227">
        <v>2</v>
      </c>
      <c r="D312" s="148">
        <f>F312-F311</f>
        <v>0</v>
      </c>
      <c r="E312" s="267" t="e">
        <f>D312/$F$312</f>
        <v>#DIV/0!</v>
      </c>
      <c r="F312" s="218">
        <f>FREQUENCY('Grille de saisie'!$BJ$3:$BJ$602,Fréquence!C312)</f>
        <v>0</v>
      </c>
      <c r="G312" s="190" t="e">
        <f>E312+E311</f>
        <v>#DIV/0!</v>
      </c>
    </row>
    <row r="313" spans="1:7">
      <c r="A313" s="406"/>
      <c r="B313" s="204"/>
      <c r="C313" s="228"/>
      <c r="D313" s="157"/>
      <c r="E313" s="158"/>
      <c r="F313" s="200"/>
      <c r="G313" s="206"/>
    </row>
    <row r="314" spans="1:7">
      <c r="A314" s="401" t="s">
        <v>576</v>
      </c>
      <c r="B314" s="151"/>
      <c r="C314" s="422"/>
      <c r="E314" s="148"/>
      <c r="F314" s="218"/>
      <c r="G314" s="194"/>
    </row>
    <row r="315" spans="1:7">
      <c r="A315" s="402" t="s">
        <v>876</v>
      </c>
      <c r="B315" s="151" t="s">
        <v>35</v>
      </c>
      <c r="C315" s="422">
        <v>1</v>
      </c>
      <c r="D315" s="184">
        <f>F315</f>
        <v>0</v>
      </c>
      <c r="E315" s="152" t="e">
        <f>D315/$F$316</f>
        <v>#DIV/0!</v>
      </c>
      <c r="F315" s="218">
        <f>FREQUENCY('Grille de saisie'!$BK$3:$BK$602,Fréquence!C315)</f>
        <v>0</v>
      </c>
      <c r="G315" s="213" t="e">
        <f>E315</f>
        <v>#DIV/0!</v>
      </c>
    </row>
    <row r="316" spans="1:7">
      <c r="A316" s="402" t="s">
        <v>877</v>
      </c>
      <c r="B316" s="151" t="s">
        <v>36</v>
      </c>
      <c r="C316" s="422">
        <v>2</v>
      </c>
      <c r="D316" s="184">
        <f>F316-F315</f>
        <v>0</v>
      </c>
      <c r="E316" s="267" t="e">
        <f>D316/$F$316</f>
        <v>#DIV/0!</v>
      </c>
      <c r="F316" s="218">
        <f>FREQUENCY('Grille de saisie'!$BK$3:$BK$602,Fréquence!C316)</f>
        <v>0</v>
      </c>
      <c r="G316" s="213" t="e">
        <f>E316+E315</f>
        <v>#DIV/0!</v>
      </c>
    </row>
    <row r="317" spans="1:7">
      <c r="A317" s="349" t="s">
        <v>878</v>
      </c>
      <c r="B317" s="204"/>
      <c r="C317" s="426"/>
      <c r="D317" s="196"/>
      <c r="E317" s="158"/>
      <c r="F317" s="157"/>
      <c r="G317" s="214"/>
    </row>
    <row r="318" spans="1:7">
      <c r="A318" s="401" t="s">
        <v>577</v>
      </c>
      <c r="B318" s="151"/>
      <c r="D318" s="148"/>
      <c r="F318" s="148"/>
      <c r="G318" s="194"/>
    </row>
    <row r="319" spans="1:7">
      <c r="A319" s="402" t="s">
        <v>618</v>
      </c>
      <c r="B319" s="151" t="s">
        <v>35</v>
      </c>
      <c r="C319" s="422">
        <v>1</v>
      </c>
      <c r="D319" s="148">
        <f>F319</f>
        <v>0</v>
      </c>
      <c r="E319" s="212" t="e">
        <f>D319/$F$320</f>
        <v>#DIV/0!</v>
      </c>
      <c r="F319" s="148">
        <f>FREQUENCY('Grille de saisie'!$BL$3:$BL$602,Fréquence!C319)</f>
        <v>0</v>
      </c>
      <c r="G319" s="213" t="e">
        <f>E319</f>
        <v>#DIV/0!</v>
      </c>
    </row>
    <row r="320" spans="1:7">
      <c r="A320" s="201" t="s">
        <v>122</v>
      </c>
      <c r="B320" s="151" t="s">
        <v>36</v>
      </c>
      <c r="C320" s="422">
        <v>2</v>
      </c>
      <c r="D320" s="148">
        <f>F320-F319</f>
        <v>0</v>
      </c>
      <c r="E320" s="212" t="e">
        <f>D320/$F$320</f>
        <v>#DIV/0!</v>
      </c>
      <c r="F320" s="148">
        <f>FREQUENCY('Grille de saisie'!$BL$3:$BL$602,Fréquence!C320)</f>
        <v>0</v>
      </c>
      <c r="G320" s="213" t="e">
        <f>E320+E319</f>
        <v>#DIV/0!</v>
      </c>
    </row>
    <row r="321" spans="1:7">
      <c r="A321" s="223"/>
      <c r="B321" s="204"/>
      <c r="C321" s="426"/>
      <c r="D321" s="157"/>
      <c r="E321" s="197"/>
      <c r="F321" s="157"/>
      <c r="G321" s="214"/>
    </row>
    <row r="322" spans="1:7">
      <c r="A322" s="401" t="s">
        <v>578</v>
      </c>
      <c r="B322" s="151"/>
      <c r="D322" s="148"/>
      <c r="F322" s="148"/>
      <c r="G322" s="194"/>
    </row>
    <row r="323" spans="1:7">
      <c r="A323" s="402" t="s">
        <v>619</v>
      </c>
      <c r="B323" s="151" t="s">
        <v>35</v>
      </c>
      <c r="C323" s="192">
        <v>1</v>
      </c>
      <c r="D323" s="131">
        <f>F323</f>
        <v>0</v>
      </c>
      <c r="E323" s="212" t="e">
        <f>D323/$F$324</f>
        <v>#DIV/0!</v>
      </c>
      <c r="F323" s="148">
        <f>FREQUENCY('Grille de saisie'!$BM$3:$BM$602,Fréquence!C323)</f>
        <v>0</v>
      </c>
      <c r="G323" s="417" t="e">
        <f>E323</f>
        <v>#DIV/0!</v>
      </c>
    </row>
    <row r="324" spans="1:7">
      <c r="A324" s="201" t="s">
        <v>43</v>
      </c>
      <c r="B324" s="151" t="s">
        <v>36</v>
      </c>
      <c r="C324" s="192">
        <v>2</v>
      </c>
      <c r="D324" s="131">
        <f>F324-F323</f>
        <v>0</v>
      </c>
      <c r="E324" s="212" t="e">
        <f>D324/$F$324</f>
        <v>#DIV/0!</v>
      </c>
      <c r="F324" s="148">
        <f>FREQUENCY('Grille de saisie'!$BM$3:$BM$602,Fréquence!C324)</f>
        <v>0</v>
      </c>
      <c r="G324" s="417" t="e">
        <f>E324+E323</f>
        <v>#DIV/0!</v>
      </c>
    </row>
    <row r="325" spans="1:7" ht="12.75" customHeight="1">
      <c r="A325" s="402" t="s">
        <v>426</v>
      </c>
      <c r="B325" s="151"/>
      <c r="D325" s="131"/>
      <c r="E325" s="212"/>
      <c r="F325" s="148"/>
      <c r="G325" s="417"/>
    </row>
    <row r="326" spans="1:7">
      <c r="A326" s="223"/>
      <c r="B326" s="204"/>
      <c r="C326" s="205"/>
      <c r="D326" s="181"/>
      <c r="E326" s="197"/>
      <c r="F326" s="157"/>
      <c r="G326" s="418"/>
    </row>
    <row r="327" spans="1:7">
      <c r="A327" s="401" t="s">
        <v>142</v>
      </c>
      <c r="B327" s="151"/>
      <c r="D327" s="148"/>
      <c r="F327" s="148"/>
      <c r="G327" s="194"/>
    </row>
    <row r="328" spans="1:7">
      <c r="A328" s="402" t="s">
        <v>26</v>
      </c>
      <c r="B328" s="199" t="s">
        <v>35</v>
      </c>
      <c r="C328" s="227">
        <v>1</v>
      </c>
      <c r="D328" s="148">
        <f>F328</f>
        <v>0</v>
      </c>
      <c r="E328" s="212" t="e">
        <f>D328/$F$329</f>
        <v>#DIV/0!</v>
      </c>
      <c r="F328" s="148">
        <f>FREQUENCY('Grille de saisie'!$BN$3:$BN$602,Fréquence!C328)</f>
        <v>0</v>
      </c>
      <c r="G328" s="213" t="e">
        <f>E328</f>
        <v>#DIV/0!</v>
      </c>
    </row>
    <row r="329" spans="1:7">
      <c r="A329" s="402" t="s">
        <v>241</v>
      </c>
      <c r="B329" s="199" t="s">
        <v>36</v>
      </c>
      <c r="C329" s="227">
        <v>2</v>
      </c>
      <c r="D329" s="148">
        <f>F329-F328</f>
        <v>0</v>
      </c>
      <c r="E329" s="212" t="e">
        <f>D329/$F$329</f>
        <v>#DIV/0!</v>
      </c>
      <c r="F329" s="148">
        <f>FREQUENCY('Grille de saisie'!$BN$3:$BN$602,Fréquence!C329)</f>
        <v>0</v>
      </c>
      <c r="G329" s="213" t="e">
        <f>E329+E328</f>
        <v>#DIV/0!</v>
      </c>
    </row>
    <row r="330" spans="1:7">
      <c r="A330" s="402" t="s">
        <v>242</v>
      </c>
      <c r="B330" s="199"/>
      <c r="C330" s="227"/>
      <c r="D330" s="148"/>
      <c r="E330" s="212"/>
      <c r="F330" s="148"/>
      <c r="G330" s="213"/>
    </row>
    <row r="331" spans="1:7">
      <c r="A331" s="402" t="s">
        <v>620</v>
      </c>
      <c r="B331" s="199"/>
      <c r="C331" s="227"/>
      <c r="D331" s="148"/>
      <c r="E331" s="212"/>
      <c r="F331" s="148"/>
      <c r="G331" s="213"/>
    </row>
    <row r="332" spans="1:7">
      <c r="A332" s="180" t="s">
        <v>378</v>
      </c>
      <c r="B332" s="154"/>
      <c r="C332" s="228"/>
      <c r="D332" s="157"/>
      <c r="E332" s="206"/>
      <c r="F332" s="157"/>
      <c r="G332" s="206"/>
    </row>
    <row r="333" spans="1:7">
      <c r="A333" s="401" t="s">
        <v>147</v>
      </c>
      <c r="B333" s="151"/>
      <c r="D333" s="148"/>
      <c r="F333" s="148"/>
      <c r="G333" s="194"/>
    </row>
    <row r="334" spans="1:7">
      <c r="A334" s="402" t="s">
        <v>26</v>
      </c>
      <c r="B334" s="199" t="s">
        <v>35</v>
      </c>
      <c r="C334" s="227">
        <v>1</v>
      </c>
      <c r="D334" s="148">
        <f>F334</f>
        <v>0</v>
      </c>
      <c r="E334" s="212" t="e">
        <f>D334/$F$335</f>
        <v>#DIV/0!</v>
      </c>
      <c r="F334" s="148">
        <f>FREQUENCY('Grille de saisie'!$BO$3:$BO$602,Fréquence!C334)</f>
        <v>0</v>
      </c>
      <c r="G334" s="213" t="e">
        <f>E334</f>
        <v>#DIV/0!</v>
      </c>
    </row>
    <row r="335" spans="1:7">
      <c r="A335" s="402" t="s">
        <v>428</v>
      </c>
      <c r="B335" s="199" t="s">
        <v>36</v>
      </c>
      <c r="C335" s="227">
        <v>2</v>
      </c>
      <c r="D335" s="148">
        <f>F335-F334</f>
        <v>0</v>
      </c>
      <c r="E335" s="212" t="e">
        <f>D335/$F$335</f>
        <v>#DIV/0!</v>
      </c>
      <c r="F335" s="148">
        <f>FREQUENCY('Grille de saisie'!$BO$3:$BO$602,Fréquence!C335)</f>
        <v>0</v>
      </c>
      <c r="G335" s="213" t="e">
        <f>E335+E334</f>
        <v>#DIV/0!</v>
      </c>
    </row>
    <row r="336" spans="1:7">
      <c r="A336" s="402" t="s">
        <v>429</v>
      </c>
      <c r="B336" s="199"/>
      <c r="C336" s="230"/>
      <c r="D336" s="148"/>
      <c r="E336" s="212"/>
      <c r="F336" s="148"/>
      <c r="G336" s="213"/>
    </row>
    <row r="337" spans="1:7">
      <c r="A337" s="402" t="s">
        <v>621</v>
      </c>
      <c r="B337" s="199"/>
      <c r="C337" s="230"/>
      <c r="D337" s="148"/>
      <c r="E337" s="212"/>
      <c r="F337" s="148"/>
      <c r="G337" s="213"/>
    </row>
    <row r="338" spans="1:7">
      <c r="A338" s="223" t="s">
        <v>405</v>
      </c>
      <c r="B338" s="154"/>
      <c r="C338" s="228"/>
      <c r="D338" s="157"/>
      <c r="E338" s="182"/>
      <c r="F338" s="157"/>
      <c r="G338" s="206"/>
    </row>
    <row r="339" spans="1:7">
      <c r="A339" s="401" t="s">
        <v>148</v>
      </c>
      <c r="B339" s="199"/>
      <c r="C339" s="230"/>
      <c r="D339" s="148"/>
      <c r="E339" s="190"/>
      <c r="F339" s="148"/>
      <c r="G339" s="190"/>
    </row>
    <row r="340" spans="1:7">
      <c r="A340" s="402" t="s">
        <v>26</v>
      </c>
      <c r="B340" s="172" t="s">
        <v>12</v>
      </c>
      <c r="C340" s="230">
        <v>1</v>
      </c>
      <c r="D340" s="148">
        <f>F340</f>
        <v>0</v>
      </c>
      <c r="E340" s="213" t="e">
        <f>D340/$F$343</f>
        <v>#DIV/0!</v>
      </c>
      <c r="F340" s="148">
        <f>FREQUENCY('Grille de saisie'!$BP$3:$BP$602,Fréquence!C340)</f>
        <v>0</v>
      </c>
      <c r="G340" s="213" t="e">
        <f>E340</f>
        <v>#DIV/0!</v>
      </c>
    </row>
    <row r="341" spans="1:7">
      <c r="A341" s="402" t="s">
        <v>431</v>
      </c>
      <c r="B341" s="172" t="s">
        <v>13</v>
      </c>
      <c r="C341" s="230">
        <v>2</v>
      </c>
      <c r="D341" s="148">
        <f>F341-F340</f>
        <v>0</v>
      </c>
      <c r="E341" s="213" t="e">
        <f t="shared" ref="E341" si="43">D341/$F$343</f>
        <v>#DIV/0!</v>
      </c>
      <c r="F341" s="148">
        <f>FREQUENCY('Grille de saisie'!$BP$3:$BP$602,Fréquence!C341)</f>
        <v>0</v>
      </c>
      <c r="G341" s="213" t="e">
        <f>E341+E340</f>
        <v>#DIV/0!</v>
      </c>
    </row>
    <row r="342" spans="1:7">
      <c r="A342" s="402" t="s">
        <v>432</v>
      </c>
      <c r="B342" s="172" t="s">
        <v>14</v>
      </c>
      <c r="C342" s="230">
        <v>3</v>
      </c>
      <c r="D342" s="148">
        <f t="shared" ref="D342" si="44">F342-F341</f>
        <v>0</v>
      </c>
      <c r="E342" s="213" t="e">
        <f>D342/$F$343</f>
        <v>#DIV/0!</v>
      </c>
      <c r="F342" s="148">
        <f>FREQUENCY('Grille de saisie'!$BP$3:$BP$602,Fréquence!C342)</f>
        <v>0</v>
      </c>
      <c r="G342" s="213" t="e">
        <f>E342+E341+E340</f>
        <v>#DIV/0!</v>
      </c>
    </row>
    <row r="343" spans="1:7">
      <c r="A343" s="201" t="s">
        <v>27</v>
      </c>
      <c r="B343" s="172" t="s">
        <v>15</v>
      </c>
      <c r="C343" s="230">
        <v>4</v>
      </c>
      <c r="D343" s="148">
        <f>F343-F342</f>
        <v>0</v>
      </c>
      <c r="E343" s="213" t="e">
        <f>D343/$F$343</f>
        <v>#DIV/0!</v>
      </c>
      <c r="F343" s="148">
        <f>FREQUENCY('Grille de saisie'!$BP$3:$BP$602,Fréquence!C343)</f>
        <v>0</v>
      </c>
      <c r="G343" s="213" t="e">
        <f>E343+E342+E341+E340</f>
        <v>#DIV/0!</v>
      </c>
    </row>
    <row r="344" spans="1:7">
      <c r="A344" s="223"/>
      <c r="B344" s="204"/>
      <c r="C344" s="228"/>
      <c r="D344" s="157"/>
      <c r="E344" s="206"/>
      <c r="F344" s="157"/>
      <c r="G344" s="206"/>
    </row>
    <row r="345" spans="1:7">
      <c r="A345" s="401" t="s">
        <v>365</v>
      </c>
      <c r="B345" s="199"/>
      <c r="C345" s="230"/>
      <c r="D345" s="148"/>
      <c r="E345" s="190"/>
      <c r="F345" s="148"/>
      <c r="G345" s="190"/>
    </row>
    <row r="346" spans="1:7">
      <c r="A346" s="402" t="s">
        <v>433</v>
      </c>
      <c r="B346" s="172" t="s">
        <v>879</v>
      </c>
      <c r="C346" s="227">
        <v>1</v>
      </c>
      <c r="D346" s="148">
        <f>F346</f>
        <v>0</v>
      </c>
      <c r="E346" s="213" t="e">
        <f>D346/$F$355</f>
        <v>#DIV/0!</v>
      </c>
      <c r="F346" s="148">
        <f>FREQUENCY('Grille de saisie'!$BQ$3:$BQ$602,Fréquence!C346)</f>
        <v>0</v>
      </c>
      <c r="G346" s="213" t="e">
        <f>E346</f>
        <v>#DIV/0!</v>
      </c>
    </row>
    <row r="347" spans="1:7">
      <c r="A347" s="201" t="s">
        <v>434</v>
      </c>
      <c r="B347" s="172" t="s">
        <v>880</v>
      </c>
      <c r="C347" s="227">
        <v>2</v>
      </c>
      <c r="D347" s="148">
        <f>F347-F346</f>
        <v>0</v>
      </c>
      <c r="E347" s="213" t="e">
        <f>D347/$F$355</f>
        <v>#DIV/0!</v>
      </c>
      <c r="F347" s="148">
        <f>FREQUENCY('Grille de saisie'!$BQ$3:$BQ$602,Fréquence!C347)</f>
        <v>0</v>
      </c>
      <c r="G347" s="213" t="e">
        <f>E347+E346</f>
        <v>#DIV/0!</v>
      </c>
    </row>
    <row r="348" spans="1:7">
      <c r="A348" s="127"/>
      <c r="B348" s="172" t="s">
        <v>881</v>
      </c>
      <c r="C348" s="230">
        <v>3</v>
      </c>
      <c r="D348" s="148">
        <f>F348-F347</f>
        <v>0</v>
      </c>
      <c r="E348" s="213" t="e">
        <f t="shared" ref="E348:E355" si="45">D348/$F$355</f>
        <v>#DIV/0!</v>
      </c>
      <c r="F348" s="148">
        <f>FREQUENCY('Grille de saisie'!$BQ$3:$BQ$602,Fréquence!C348)</f>
        <v>0</v>
      </c>
      <c r="G348" s="213" t="e">
        <f>E348+E347+E346</f>
        <v>#DIV/0!</v>
      </c>
    </row>
    <row r="349" spans="1:7">
      <c r="A349" s="127"/>
      <c r="B349" s="172" t="s">
        <v>882</v>
      </c>
      <c r="C349" s="210">
        <v>4</v>
      </c>
      <c r="D349" s="148">
        <f>F349-F348</f>
        <v>0</v>
      </c>
      <c r="E349" s="213" t="e">
        <f t="shared" si="45"/>
        <v>#DIV/0!</v>
      </c>
      <c r="F349" s="148">
        <f>FREQUENCY('Grille de saisie'!$BQ$3:$BQ$602,Fréquence!C349)</f>
        <v>0</v>
      </c>
      <c r="G349" s="213" t="e">
        <f>E349+E348+E347+E346</f>
        <v>#DIV/0!</v>
      </c>
    </row>
    <row r="350" spans="1:7">
      <c r="A350" s="127"/>
      <c r="B350" s="172" t="s">
        <v>883</v>
      </c>
      <c r="C350" s="210">
        <v>5</v>
      </c>
      <c r="D350" s="148">
        <f t="shared" ref="D350:D355" si="46">F350-F349</f>
        <v>0</v>
      </c>
      <c r="E350" s="213" t="e">
        <f t="shared" si="45"/>
        <v>#DIV/0!</v>
      </c>
      <c r="F350" s="148">
        <f>FREQUENCY('Grille de saisie'!$BQ$3:$BQ$602,Fréquence!C350)</f>
        <v>0</v>
      </c>
      <c r="G350" s="213" t="e">
        <f>E350+E349+E348+E347+E346</f>
        <v>#DIV/0!</v>
      </c>
    </row>
    <row r="351" spans="1:7">
      <c r="A351" s="127"/>
      <c r="B351" s="172" t="s">
        <v>884</v>
      </c>
      <c r="C351" s="210">
        <v>6</v>
      </c>
      <c r="D351" s="148">
        <f t="shared" si="46"/>
        <v>0</v>
      </c>
      <c r="E351" s="213" t="e">
        <f t="shared" si="45"/>
        <v>#DIV/0!</v>
      </c>
      <c r="F351" s="148">
        <f>FREQUENCY('Grille de saisie'!$BQ$3:$BQ$602,Fréquence!C351)</f>
        <v>0</v>
      </c>
      <c r="G351" s="213" t="e">
        <f>E351+E350+E349+E348+E347+E346</f>
        <v>#DIV/0!</v>
      </c>
    </row>
    <row r="352" spans="1:7">
      <c r="A352" s="127"/>
      <c r="B352" s="172" t="s">
        <v>435</v>
      </c>
      <c r="C352" s="210">
        <v>7</v>
      </c>
      <c r="D352" s="148">
        <f t="shared" si="46"/>
        <v>0</v>
      </c>
      <c r="E352" s="213" t="e">
        <f t="shared" si="45"/>
        <v>#DIV/0!</v>
      </c>
      <c r="F352" s="148">
        <f>FREQUENCY('Grille de saisie'!$BQ$3:$BQ$602,Fréquence!C352)</f>
        <v>0</v>
      </c>
      <c r="G352" s="213" t="e">
        <f>E352+E351+E350+E349+E348+E347+E346</f>
        <v>#DIV/0!</v>
      </c>
    </row>
    <row r="353" spans="1:7">
      <c r="A353" s="127"/>
      <c r="B353" s="172" t="s">
        <v>885</v>
      </c>
      <c r="C353" s="210">
        <v>8</v>
      </c>
      <c r="D353" s="148">
        <f t="shared" si="46"/>
        <v>0</v>
      </c>
      <c r="E353" s="213" t="e">
        <f t="shared" si="45"/>
        <v>#DIV/0!</v>
      </c>
      <c r="F353" s="148">
        <f>FREQUENCY('Grille de saisie'!$BQ$3:$BQ$602,Fréquence!C353)</f>
        <v>0</v>
      </c>
      <c r="G353" s="213" t="e">
        <f>E353+E352+E351+E350+E349+E348+E347+E346</f>
        <v>#DIV/0!</v>
      </c>
    </row>
    <row r="354" spans="1:7">
      <c r="A354" s="127"/>
      <c r="B354" s="172" t="s">
        <v>62</v>
      </c>
      <c r="C354" s="210">
        <v>96</v>
      </c>
      <c r="D354" s="148">
        <f t="shared" si="46"/>
        <v>0</v>
      </c>
      <c r="E354" s="213" t="e">
        <f t="shared" si="45"/>
        <v>#DIV/0!</v>
      </c>
      <c r="F354" s="148">
        <f>FREQUENCY('Grille de saisie'!$BQ$3:$BQ$602,Fréquence!C354)</f>
        <v>0</v>
      </c>
      <c r="G354" s="213" t="e">
        <f>E354+E353+E352+E351+E350+E349+E348+E347+E346</f>
        <v>#DIV/0!</v>
      </c>
    </row>
    <row r="355" spans="1:7">
      <c r="A355" s="127"/>
      <c r="B355" s="172" t="s">
        <v>375</v>
      </c>
      <c r="C355" s="210">
        <v>98</v>
      </c>
      <c r="D355" s="148">
        <f t="shared" si="46"/>
        <v>0</v>
      </c>
      <c r="E355" s="213" t="e">
        <f t="shared" si="45"/>
        <v>#DIV/0!</v>
      </c>
      <c r="F355" s="148">
        <f>FREQUENCY('Grille de saisie'!$BQ$3:$BQ$602,Fréquence!C355)</f>
        <v>0</v>
      </c>
      <c r="G355" s="213" t="e">
        <f>E355+E354+E353+E352+E351+E350+E349+E348+E347+E346</f>
        <v>#DIV/0!</v>
      </c>
    </row>
    <row r="356" spans="1:7">
      <c r="A356" s="223"/>
      <c r="B356" s="204"/>
      <c r="C356" s="205"/>
      <c r="D356" s="157"/>
      <c r="E356" s="197"/>
      <c r="F356" s="157"/>
      <c r="G356" s="214"/>
    </row>
    <row r="357" spans="1:7">
      <c r="A357" s="401" t="s">
        <v>166</v>
      </c>
      <c r="B357" s="151"/>
      <c r="D357" s="148"/>
      <c r="F357" s="148"/>
      <c r="G357" s="194"/>
    </row>
    <row r="358" spans="1:7">
      <c r="A358" s="407" t="s">
        <v>26</v>
      </c>
      <c r="B358" s="151" t="s">
        <v>35</v>
      </c>
      <c r="C358" s="192">
        <v>1</v>
      </c>
      <c r="D358" s="148">
        <f>F358</f>
        <v>0</v>
      </c>
      <c r="E358" s="213" t="e">
        <f>D358/$F$359</f>
        <v>#DIV/0!</v>
      </c>
      <c r="F358" s="148">
        <f>FREQUENCY('Grille de saisie'!$BS$3:$BS$602,Fréquence!C358)</f>
        <v>0</v>
      </c>
      <c r="G358" s="213" t="e">
        <f>E358</f>
        <v>#DIV/0!</v>
      </c>
    </row>
    <row r="359" spans="1:7">
      <c r="A359" s="402" t="s">
        <v>436</v>
      </c>
      <c r="B359" s="151" t="s">
        <v>36</v>
      </c>
      <c r="C359" s="210">
        <v>2</v>
      </c>
      <c r="D359" s="148">
        <f>F359-F358</f>
        <v>0</v>
      </c>
      <c r="E359" s="213" t="e">
        <f>D359/$F$359</f>
        <v>#DIV/0!</v>
      </c>
      <c r="F359" s="148">
        <f>FREQUENCY('Grille de saisie'!$BS$3:$BS$602,Fréquence!C359)</f>
        <v>0</v>
      </c>
      <c r="G359" s="213" t="e">
        <f>E359+E358</f>
        <v>#DIV/0!</v>
      </c>
    </row>
    <row r="360" spans="1:7">
      <c r="A360" s="402" t="s">
        <v>437</v>
      </c>
      <c r="B360" s="151"/>
      <c r="D360" s="148"/>
      <c r="F360" s="148"/>
      <c r="G360" s="194"/>
    </row>
    <row r="361" spans="1:7">
      <c r="A361" s="402" t="s">
        <v>438</v>
      </c>
      <c r="B361" s="151"/>
      <c r="D361" s="148"/>
      <c r="F361" s="148"/>
      <c r="G361" s="194"/>
    </row>
    <row r="362" spans="1:7">
      <c r="A362" s="402" t="s">
        <v>124</v>
      </c>
      <c r="B362" s="151"/>
      <c r="D362" s="148"/>
      <c r="F362" s="148"/>
      <c r="G362" s="194"/>
    </row>
    <row r="363" spans="1:7">
      <c r="A363" s="201" t="s">
        <v>123</v>
      </c>
      <c r="B363" s="151"/>
      <c r="D363" s="148"/>
      <c r="F363" s="148"/>
      <c r="G363" s="194"/>
    </row>
    <row r="364" spans="1:7">
      <c r="A364" s="180"/>
      <c r="B364" s="154"/>
      <c r="C364" s="205"/>
      <c r="D364" s="157"/>
      <c r="E364" s="196"/>
      <c r="F364" s="157"/>
      <c r="G364" s="196"/>
    </row>
    <row r="365" spans="1:7">
      <c r="A365" s="401" t="s">
        <v>149</v>
      </c>
      <c r="B365" s="199"/>
      <c r="C365" s="233"/>
      <c r="D365" s="148"/>
      <c r="E365" s="190"/>
      <c r="F365" s="148"/>
      <c r="G365" s="190"/>
    </row>
    <row r="366" spans="1:7">
      <c r="A366" s="201" t="s">
        <v>154</v>
      </c>
      <c r="B366" s="172" t="s">
        <v>52</v>
      </c>
      <c r="C366" s="227">
        <v>1</v>
      </c>
      <c r="D366" s="148">
        <f>F366</f>
        <v>0</v>
      </c>
      <c r="E366" s="213" t="e">
        <f>D366/$F$369</f>
        <v>#DIV/0!</v>
      </c>
      <c r="F366" s="148">
        <f>FREQUENCY('Grille de saisie'!$BT$3:$BT$602,Fréquence!C366)</f>
        <v>0</v>
      </c>
      <c r="G366" s="213" t="e">
        <f>E366</f>
        <v>#DIV/0!</v>
      </c>
    </row>
    <row r="367" spans="1:7">
      <c r="A367" s="127"/>
      <c r="B367" s="172" t="s">
        <v>439</v>
      </c>
      <c r="C367" s="227">
        <v>2</v>
      </c>
      <c r="D367" s="148">
        <f>F367-F366</f>
        <v>0</v>
      </c>
      <c r="E367" s="213" t="e">
        <f t="shared" ref="E367:E369" si="47">D367/$F$369</f>
        <v>#DIV/0!</v>
      </c>
      <c r="F367" s="148">
        <f>FREQUENCY('Grille de saisie'!$BT$3:$BT$602,Fréquence!C367)</f>
        <v>0</v>
      </c>
      <c r="G367" s="213" t="e">
        <f>E367+E366</f>
        <v>#DIV/0!</v>
      </c>
    </row>
    <row r="368" spans="1:7">
      <c r="A368" s="127"/>
      <c r="B368" s="172" t="s">
        <v>622</v>
      </c>
      <c r="C368" s="227">
        <v>3</v>
      </c>
      <c r="D368" s="148">
        <f>F368-F367</f>
        <v>0</v>
      </c>
      <c r="E368" s="213" t="e">
        <f t="shared" si="47"/>
        <v>#DIV/0!</v>
      </c>
      <c r="F368" s="148">
        <f>FREQUENCY('Grille de saisie'!$BT$3:$BT$602,Fréquence!C368)</f>
        <v>0</v>
      </c>
      <c r="G368" s="213" t="e">
        <f>E368+E367+E366</f>
        <v>#DIV/0!</v>
      </c>
    </row>
    <row r="369" spans="1:7">
      <c r="A369" s="127"/>
      <c r="B369" s="172" t="s">
        <v>440</v>
      </c>
      <c r="C369" s="230">
        <v>4</v>
      </c>
      <c r="D369" s="148">
        <f>F369-F368</f>
        <v>0</v>
      </c>
      <c r="E369" s="213" t="e">
        <f t="shared" si="47"/>
        <v>#DIV/0!</v>
      </c>
      <c r="F369" s="148">
        <f>FREQUENCY('Grille de saisie'!$BT$3:$BT$602,Fréquence!C369)</f>
        <v>0</v>
      </c>
      <c r="G369" s="213" t="e">
        <f>E369+E368+E367+E366</f>
        <v>#DIV/0!</v>
      </c>
    </row>
    <row r="370" spans="1:7">
      <c r="A370" s="223"/>
      <c r="B370" s="204"/>
      <c r="C370" s="228"/>
      <c r="D370" s="157"/>
      <c r="E370" s="197"/>
      <c r="F370" s="157"/>
      <c r="G370" s="214"/>
    </row>
    <row r="371" spans="1:7">
      <c r="A371" s="401" t="s">
        <v>150</v>
      </c>
      <c r="B371" s="199"/>
      <c r="C371" s="230"/>
      <c r="D371" s="148"/>
      <c r="E371" s="190"/>
      <c r="F371" s="148"/>
      <c r="G371" s="190"/>
    </row>
    <row r="372" spans="1:7">
      <c r="A372" s="201" t="s">
        <v>243</v>
      </c>
      <c r="B372" s="172" t="s">
        <v>886</v>
      </c>
      <c r="C372" s="230">
        <v>1</v>
      </c>
      <c r="D372" s="148">
        <f>F372</f>
        <v>0</v>
      </c>
      <c r="E372" s="213" t="e">
        <f>D372/$F$380</f>
        <v>#DIV/0!</v>
      </c>
      <c r="F372" s="148">
        <f>FREQUENCY('Grille de saisie'!$BU$3:$BU$602,Fréquence!C372)</f>
        <v>0</v>
      </c>
      <c r="G372" s="213" t="e">
        <f>E372</f>
        <v>#DIV/0!</v>
      </c>
    </row>
    <row r="373" spans="1:7">
      <c r="A373" s="201" t="s">
        <v>53</v>
      </c>
      <c r="B373" s="199" t="s">
        <v>244</v>
      </c>
      <c r="C373" s="230">
        <v>2</v>
      </c>
      <c r="D373" s="148">
        <f t="shared" ref="D373:D379" si="48">F373-F372</f>
        <v>0</v>
      </c>
      <c r="E373" s="213" t="e">
        <f>D373/$F$380</f>
        <v>#DIV/0!</v>
      </c>
      <c r="F373" s="148">
        <f>FREQUENCY('Grille de saisie'!$BU$3:$BU$602,Fréquence!C373)</f>
        <v>0</v>
      </c>
      <c r="G373" s="213" t="e">
        <f>E373+E372</f>
        <v>#DIV/0!</v>
      </c>
    </row>
    <row r="374" spans="1:7">
      <c r="A374" s="127"/>
      <c r="B374" s="199" t="s">
        <v>245</v>
      </c>
      <c r="C374" s="230">
        <v>3</v>
      </c>
      <c r="D374" s="148">
        <f t="shared" si="48"/>
        <v>0</v>
      </c>
      <c r="E374" s="213" t="e">
        <f>D374/$F$380</f>
        <v>#DIV/0!</v>
      </c>
      <c r="F374" s="148">
        <f>FREQUENCY('Grille de saisie'!$BU$3:$BU$602,Fréquence!C374)</f>
        <v>0</v>
      </c>
      <c r="G374" s="213" t="e">
        <f>E374+E373+E372</f>
        <v>#DIV/0!</v>
      </c>
    </row>
    <row r="375" spans="1:7">
      <c r="A375" s="127"/>
      <c r="B375" s="199" t="s">
        <v>246</v>
      </c>
      <c r="C375" s="230">
        <v>4</v>
      </c>
      <c r="D375" s="148">
        <f t="shared" si="48"/>
        <v>0</v>
      </c>
      <c r="E375" s="213" t="e">
        <f t="shared" ref="E375:E380" si="49">D375/$F$380</f>
        <v>#DIV/0!</v>
      </c>
      <c r="F375" s="148">
        <f>FREQUENCY('Grille de saisie'!$BU$3:$BU$602,Fréquence!C375)</f>
        <v>0</v>
      </c>
      <c r="G375" s="213" t="e">
        <f>E375+E374+E373+E372</f>
        <v>#DIV/0!</v>
      </c>
    </row>
    <row r="376" spans="1:7">
      <c r="A376" s="127"/>
      <c r="B376" s="172" t="s">
        <v>939</v>
      </c>
      <c r="C376" s="230">
        <v>5</v>
      </c>
      <c r="D376" s="148">
        <f t="shared" si="48"/>
        <v>0</v>
      </c>
      <c r="E376" s="213" t="e">
        <f t="shared" si="49"/>
        <v>#DIV/0!</v>
      </c>
      <c r="F376" s="148">
        <f>FREQUENCY('Grille de saisie'!$BU$3:$BU$602,Fréquence!C376)</f>
        <v>0</v>
      </c>
      <c r="G376" s="213" t="e">
        <f>E376+E375+E374+E373+E372</f>
        <v>#DIV/0!</v>
      </c>
    </row>
    <row r="377" spans="1:7">
      <c r="A377" s="127"/>
      <c r="B377" s="199" t="s">
        <v>247</v>
      </c>
      <c r="C377" s="230">
        <v>6</v>
      </c>
      <c r="D377" s="148">
        <f t="shared" si="48"/>
        <v>0</v>
      </c>
      <c r="E377" s="213" t="e">
        <f t="shared" si="49"/>
        <v>#DIV/0!</v>
      </c>
      <c r="F377" s="148">
        <f>FREQUENCY('Grille de saisie'!$BU$3:$BU$602,Fréquence!C377)</f>
        <v>0</v>
      </c>
      <c r="G377" s="213" t="e">
        <f>E377+E376+E375+E374+E373+E372</f>
        <v>#DIV/0!</v>
      </c>
    </row>
    <row r="378" spans="1:7">
      <c r="A378" s="127"/>
      <c r="B378" s="199" t="s">
        <v>248</v>
      </c>
      <c r="C378" s="230">
        <v>7</v>
      </c>
      <c r="D378" s="148">
        <f t="shared" si="48"/>
        <v>0</v>
      </c>
      <c r="E378" s="213" t="e">
        <f t="shared" si="49"/>
        <v>#DIV/0!</v>
      </c>
      <c r="F378" s="148">
        <f>FREQUENCY('Grille de saisie'!$BU$3:$BU$602,Fréquence!C378)</f>
        <v>0</v>
      </c>
      <c r="G378" s="213" t="e">
        <f>E378+E377+E376+E375+E374+E373+E372</f>
        <v>#DIV/0!</v>
      </c>
    </row>
    <row r="379" spans="1:7">
      <c r="A379" s="127"/>
      <c r="B379" s="199" t="s">
        <v>249</v>
      </c>
      <c r="C379" s="233">
        <v>96</v>
      </c>
      <c r="D379" s="148">
        <f t="shared" si="48"/>
        <v>0</v>
      </c>
      <c r="E379" s="213" t="e">
        <f t="shared" si="49"/>
        <v>#DIV/0!</v>
      </c>
      <c r="F379" s="148">
        <f>FREQUENCY('Grille de saisie'!$BU$3:$BU$602,Fréquence!C379)</f>
        <v>0</v>
      </c>
      <c r="G379" s="213" t="e">
        <f>E379+E378+E377+E376+E375+E374+E373+E372</f>
        <v>#DIV/0!</v>
      </c>
    </row>
    <row r="380" spans="1:7">
      <c r="A380" s="127"/>
      <c r="B380" s="172" t="s">
        <v>375</v>
      </c>
      <c r="C380" s="233">
        <v>98</v>
      </c>
      <c r="D380" s="148">
        <f>F380-F379</f>
        <v>0</v>
      </c>
      <c r="E380" s="213" t="e">
        <f t="shared" si="49"/>
        <v>#DIV/0!</v>
      </c>
      <c r="F380" s="148">
        <f>FREQUENCY('Grille de saisie'!$BU$3:$BU$602,Fréquence!C380)</f>
        <v>0</v>
      </c>
      <c r="G380" s="213" t="e">
        <f>E380+E379+E378+E377+E376+E375+E374+E373+E372</f>
        <v>#DIV/0!</v>
      </c>
    </row>
    <row r="381" spans="1:7">
      <c r="A381" s="223"/>
      <c r="B381" s="204"/>
      <c r="C381" s="232"/>
      <c r="D381" s="157"/>
      <c r="E381" s="197"/>
      <c r="F381" s="157"/>
      <c r="G381" s="214"/>
    </row>
    <row r="382" spans="1:7">
      <c r="A382" s="401" t="s">
        <v>151</v>
      </c>
      <c r="B382" s="199"/>
      <c r="C382" s="230"/>
      <c r="D382" s="148"/>
      <c r="E382" s="190"/>
      <c r="F382" s="148"/>
      <c r="G382" s="190"/>
    </row>
    <row r="383" spans="1:7">
      <c r="A383" s="201" t="s">
        <v>250</v>
      </c>
      <c r="B383" s="199" t="s">
        <v>254</v>
      </c>
      <c r="C383" s="230">
        <v>1</v>
      </c>
      <c r="D383" s="148">
        <f>F383</f>
        <v>0</v>
      </c>
      <c r="E383" s="213" t="e">
        <f>D383/$F$388</f>
        <v>#DIV/0!</v>
      </c>
      <c r="F383" s="148">
        <f>FREQUENCY('Grille de saisie'!$BW$3:$BW$602,Fréquence!C383)</f>
        <v>0</v>
      </c>
      <c r="G383" s="213" t="e">
        <f>E383</f>
        <v>#DIV/0!</v>
      </c>
    </row>
    <row r="384" spans="1:7">
      <c r="A384" s="201" t="s">
        <v>251</v>
      </c>
      <c r="B384" s="199" t="s">
        <v>255</v>
      </c>
      <c r="C384" s="230">
        <v>2</v>
      </c>
      <c r="D384" s="148">
        <f>F384-F383</f>
        <v>0</v>
      </c>
      <c r="E384" s="213" t="e">
        <f t="shared" ref="E384:E388" si="50">D384/$F$388</f>
        <v>#DIV/0!</v>
      </c>
      <c r="F384" s="148">
        <f>FREQUENCY('Grille de saisie'!$BW$3:$BW$602,Fréquence!C384)</f>
        <v>0</v>
      </c>
      <c r="G384" s="213" t="e">
        <f>E384+E383</f>
        <v>#DIV/0!</v>
      </c>
    </row>
    <row r="385" spans="1:7">
      <c r="A385" s="201" t="s">
        <v>252</v>
      </c>
      <c r="B385" s="199" t="s">
        <v>256</v>
      </c>
      <c r="C385" s="230">
        <v>3</v>
      </c>
      <c r="D385" s="148">
        <f t="shared" ref="D385:D388" si="51">F385-F384</f>
        <v>0</v>
      </c>
      <c r="E385" s="213" t="e">
        <f t="shared" si="50"/>
        <v>#DIV/0!</v>
      </c>
      <c r="F385" s="148">
        <f>FREQUENCY('Grille de saisie'!$BW$3:$BW$602,Fréquence!C385)</f>
        <v>0</v>
      </c>
      <c r="G385" s="213" t="e">
        <f>E385+E384+E383</f>
        <v>#DIV/0!</v>
      </c>
    </row>
    <row r="386" spans="1:7">
      <c r="A386" s="201" t="s">
        <v>253</v>
      </c>
      <c r="B386" s="199" t="s">
        <v>257</v>
      </c>
      <c r="C386" s="230">
        <v>4</v>
      </c>
      <c r="D386" s="148">
        <f t="shared" si="51"/>
        <v>0</v>
      </c>
      <c r="E386" s="213" t="e">
        <f t="shared" si="50"/>
        <v>#DIV/0!</v>
      </c>
      <c r="F386" s="148">
        <f>FREQUENCY('Grille de saisie'!$BW$3:$BW$602,Fréquence!C386)</f>
        <v>0</v>
      </c>
      <c r="G386" s="213" t="e">
        <f>E386+E385+E384+E383</f>
        <v>#DIV/0!</v>
      </c>
    </row>
    <row r="387" spans="1:7">
      <c r="A387" s="127"/>
      <c r="B387" s="199" t="s">
        <v>258</v>
      </c>
      <c r="C387" s="230">
        <v>5</v>
      </c>
      <c r="D387" s="148">
        <f t="shared" si="51"/>
        <v>0</v>
      </c>
      <c r="E387" s="213" t="e">
        <f t="shared" si="50"/>
        <v>#DIV/0!</v>
      </c>
      <c r="F387" s="148">
        <f>FREQUENCY('Grille de saisie'!$BW$3:$BW$602,Fréquence!C387)</f>
        <v>0</v>
      </c>
      <c r="G387" s="213" t="e">
        <f>E387+E386+E385+E384+E383</f>
        <v>#DIV/0!</v>
      </c>
    </row>
    <row r="388" spans="1:7">
      <c r="A388" s="127"/>
      <c r="B388" s="172" t="s">
        <v>375</v>
      </c>
      <c r="C388" s="230">
        <v>8</v>
      </c>
      <c r="D388" s="148">
        <f t="shared" si="51"/>
        <v>0</v>
      </c>
      <c r="E388" s="213" t="e">
        <f t="shared" si="50"/>
        <v>#DIV/0!</v>
      </c>
      <c r="F388" s="148">
        <f>FREQUENCY('Grille de saisie'!$BW$3:$BW$602,Fréquence!C388)</f>
        <v>0</v>
      </c>
      <c r="G388" s="213" t="e">
        <f>E388+E387+E386+E385+E384+E383</f>
        <v>#DIV/0!</v>
      </c>
    </row>
    <row r="389" spans="1:7">
      <c r="A389" s="223"/>
      <c r="B389" s="204"/>
      <c r="C389" s="228"/>
      <c r="D389" s="157"/>
      <c r="E389" s="197"/>
      <c r="F389" s="157"/>
      <c r="G389" s="214"/>
    </row>
    <row r="390" spans="1:7">
      <c r="A390" s="401" t="s">
        <v>152</v>
      </c>
      <c r="B390" s="199"/>
      <c r="C390" s="230"/>
      <c r="D390" s="148"/>
      <c r="E390" s="213"/>
      <c r="F390" s="148"/>
      <c r="G390" s="213"/>
    </row>
    <row r="391" spans="1:7">
      <c r="A391" s="402" t="s">
        <v>582</v>
      </c>
      <c r="B391" s="172" t="s">
        <v>623</v>
      </c>
      <c r="C391" s="230">
        <v>1</v>
      </c>
      <c r="D391" s="148">
        <f>F391</f>
        <v>0</v>
      </c>
      <c r="E391" s="213" t="e">
        <f>D391/$F$398</f>
        <v>#DIV/0!</v>
      </c>
      <c r="F391" s="148">
        <f>FREQUENCY('Grille de saisie'!$BX$3:$BX$602,Fréquence!C391)</f>
        <v>0</v>
      </c>
      <c r="G391" s="213" t="e">
        <f>E391</f>
        <v>#DIV/0!</v>
      </c>
    </row>
    <row r="392" spans="1:7">
      <c r="A392" s="127"/>
      <c r="B392" s="172" t="s">
        <v>624</v>
      </c>
      <c r="C392" s="230">
        <v>2</v>
      </c>
      <c r="D392" s="148">
        <f>F392-F391</f>
        <v>0</v>
      </c>
      <c r="E392" s="213" t="e">
        <f t="shared" ref="E392:E398" si="52">D392/$F$398</f>
        <v>#DIV/0!</v>
      </c>
      <c r="F392" s="148">
        <f>FREQUENCY('Grille de saisie'!$BX$3:$BX$602,Fréquence!C392)</f>
        <v>0</v>
      </c>
      <c r="G392" s="213" t="e">
        <f>E392+E391</f>
        <v>#DIV/0!</v>
      </c>
    </row>
    <row r="393" spans="1:7">
      <c r="A393" s="127"/>
      <c r="B393" s="172" t="s">
        <v>625</v>
      </c>
      <c r="C393" s="230">
        <v>3</v>
      </c>
      <c r="D393" s="148">
        <f>F393-F392</f>
        <v>0</v>
      </c>
      <c r="E393" s="213" t="e">
        <f t="shared" si="52"/>
        <v>#DIV/0!</v>
      </c>
      <c r="F393" s="148">
        <f>FREQUENCY('Grille de saisie'!$BX$3:$BX$602,Fréquence!C393)</f>
        <v>0</v>
      </c>
      <c r="G393" s="213" t="e">
        <f>E393+E392+E391</f>
        <v>#DIV/0!</v>
      </c>
    </row>
    <row r="394" spans="1:7">
      <c r="A394" s="127"/>
      <c r="B394" s="172" t="s">
        <v>626</v>
      </c>
      <c r="C394" s="230">
        <v>4</v>
      </c>
      <c r="D394" s="148">
        <f>F394-F393</f>
        <v>0</v>
      </c>
      <c r="E394" s="213" t="e">
        <f t="shared" si="52"/>
        <v>#DIV/0!</v>
      </c>
      <c r="F394" s="148">
        <f>FREQUENCY('Grille de saisie'!$BX$3:$BX$602,Fréquence!C394)</f>
        <v>0</v>
      </c>
      <c r="G394" s="213" t="e">
        <f>E394+E393+E392+E391</f>
        <v>#DIV/0!</v>
      </c>
    </row>
    <row r="395" spans="1:7">
      <c r="A395" s="127"/>
      <c r="B395" s="172" t="s">
        <v>950</v>
      </c>
      <c r="C395" s="230">
        <v>5</v>
      </c>
      <c r="D395" s="148">
        <f t="shared" ref="D395:D398" si="53">F395-F394</f>
        <v>0</v>
      </c>
      <c r="E395" s="213" t="e">
        <f t="shared" si="52"/>
        <v>#DIV/0!</v>
      </c>
      <c r="F395" s="148">
        <f>FREQUENCY('Grille de saisie'!$BX$3:$BX$602,Fréquence!C395)</f>
        <v>0</v>
      </c>
      <c r="G395" s="213" t="e">
        <f>E395+E394+E393+E392+E391</f>
        <v>#DIV/0!</v>
      </c>
    </row>
    <row r="396" spans="1:7">
      <c r="A396" s="127"/>
      <c r="B396" s="172" t="s">
        <v>951</v>
      </c>
      <c r="C396" s="230">
        <v>6</v>
      </c>
      <c r="D396" s="148">
        <f t="shared" si="53"/>
        <v>0</v>
      </c>
      <c r="E396" s="213" t="e">
        <f t="shared" si="52"/>
        <v>#DIV/0!</v>
      </c>
      <c r="F396" s="148">
        <f>FREQUENCY('Grille de saisie'!$BX$3:$BX$602,Fréquence!C396)</f>
        <v>0</v>
      </c>
      <c r="G396" s="213" t="e">
        <f>E396+E395+E394+E393+E392+E391</f>
        <v>#DIV/0!</v>
      </c>
    </row>
    <row r="397" spans="1:7">
      <c r="A397" s="127"/>
      <c r="B397" s="172" t="s">
        <v>952</v>
      </c>
      <c r="C397" s="230">
        <v>7</v>
      </c>
      <c r="D397" s="148">
        <f t="shared" si="53"/>
        <v>0</v>
      </c>
      <c r="E397" s="213" t="e">
        <f t="shared" si="52"/>
        <v>#DIV/0!</v>
      </c>
      <c r="F397" s="148">
        <f>FREQUENCY('Grille de saisie'!$BX$3:$BX$602,Fréquence!C397)</f>
        <v>0</v>
      </c>
      <c r="G397" s="213" t="e">
        <f>E397+E396+E395+E394+E393+E392+E391</f>
        <v>#DIV/0!</v>
      </c>
    </row>
    <row r="398" spans="1:7">
      <c r="A398" s="127"/>
      <c r="B398" s="172" t="s">
        <v>953</v>
      </c>
      <c r="C398" s="230">
        <v>8</v>
      </c>
      <c r="D398" s="148">
        <f t="shared" si="53"/>
        <v>0</v>
      </c>
      <c r="E398" s="213" t="e">
        <f t="shared" si="52"/>
        <v>#DIV/0!</v>
      </c>
      <c r="F398" s="148">
        <f>FREQUENCY('Grille de saisie'!$BX$3:$BX$602,Fréquence!C398)</f>
        <v>0</v>
      </c>
      <c r="G398" s="213" t="e">
        <f>E398+E397+E396+E395+E394+E393+E392+E391</f>
        <v>#DIV/0!</v>
      </c>
    </row>
    <row r="399" spans="1:7">
      <c r="A399" s="223"/>
      <c r="B399" s="283"/>
      <c r="C399" s="228"/>
      <c r="D399" s="157"/>
      <c r="E399" s="214"/>
      <c r="F399" s="157"/>
      <c r="G399" s="214"/>
    </row>
    <row r="400" spans="1:7">
      <c r="A400" s="401" t="s">
        <v>153</v>
      </c>
      <c r="B400" s="172"/>
      <c r="C400" s="230"/>
      <c r="D400" s="148"/>
      <c r="E400" s="213"/>
      <c r="F400" s="148"/>
      <c r="G400" s="213"/>
    </row>
    <row r="401" spans="1:7">
      <c r="A401" s="398" t="s">
        <v>627</v>
      </c>
      <c r="B401" s="509" t="s">
        <v>47</v>
      </c>
      <c r="C401" s="422">
        <v>0</v>
      </c>
      <c r="D401" s="148">
        <f>F401</f>
        <v>0</v>
      </c>
      <c r="E401" s="213" t="e">
        <f>D401/$F$405</f>
        <v>#DIV/0!</v>
      </c>
      <c r="F401" s="148">
        <f>FREQUENCY('Grille de saisie'!$BZ$3:$BZ$602,Fréquence!C401)</f>
        <v>0</v>
      </c>
      <c r="G401" s="213" t="e">
        <f>E401</f>
        <v>#DIV/0!</v>
      </c>
    </row>
    <row r="402" spans="1:7">
      <c r="A402" s="402" t="s">
        <v>955</v>
      </c>
      <c r="B402" s="172" t="s">
        <v>175</v>
      </c>
      <c r="C402" s="230">
        <v>1</v>
      </c>
      <c r="D402" s="148">
        <f>F402-F401</f>
        <v>0</v>
      </c>
      <c r="E402" s="213" t="e">
        <f>D402/$F$405</f>
        <v>#DIV/0!</v>
      </c>
      <c r="F402" s="148">
        <f>FREQUENCY('Grille de saisie'!$BZ$3:$BZ$602,Fréquence!C402)</f>
        <v>0</v>
      </c>
      <c r="G402" s="213" t="e">
        <f>E402</f>
        <v>#DIV/0!</v>
      </c>
    </row>
    <row r="403" spans="1:7">
      <c r="A403" s="402"/>
      <c r="B403" s="172" t="s">
        <v>176</v>
      </c>
      <c r="C403" s="230">
        <v>2</v>
      </c>
      <c r="D403" s="148">
        <f>F403-F402</f>
        <v>0</v>
      </c>
      <c r="E403" s="213" t="e">
        <f t="shared" ref="E403:E405" si="54">D403/$F$405</f>
        <v>#DIV/0!</v>
      </c>
      <c r="F403" s="148">
        <f>FREQUENCY('Grille de saisie'!$BZ$3:$BZ$602,Fréquence!C403)</f>
        <v>0</v>
      </c>
      <c r="G403" s="213" t="e">
        <f>E403+E402</f>
        <v>#DIV/0!</v>
      </c>
    </row>
    <row r="404" spans="1:7">
      <c r="A404" s="402"/>
      <c r="B404" s="172" t="s">
        <v>177</v>
      </c>
      <c r="C404" s="230">
        <v>3</v>
      </c>
      <c r="D404" s="148">
        <f>F404-F403</f>
        <v>0</v>
      </c>
      <c r="E404" s="213" t="e">
        <f t="shared" si="54"/>
        <v>#DIV/0!</v>
      </c>
      <c r="F404" s="148">
        <f>FREQUENCY('Grille de saisie'!$BZ$3:$BZ$602,Fréquence!C404)</f>
        <v>0</v>
      </c>
      <c r="G404" s="213" t="e">
        <f>E404+E403+E402</f>
        <v>#DIV/0!</v>
      </c>
    </row>
    <row r="405" spans="1:7">
      <c r="A405" s="127"/>
      <c r="B405" s="172" t="s">
        <v>178</v>
      </c>
      <c r="C405" s="230">
        <v>4</v>
      </c>
      <c r="D405" s="148">
        <f>F405-F404</f>
        <v>0</v>
      </c>
      <c r="E405" s="213" t="e">
        <f t="shared" si="54"/>
        <v>#DIV/0!</v>
      </c>
      <c r="F405" s="148">
        <f>FREQUENCY('Grille de saisie'!$BZ$3:$BZ$602,Fréquence!C405)</f>
        <v>0</v>
      </c>
      <c r="G405" s="213" t="e">
        <f>E405+E404+E403+E402</f>
        <v>#DIV/0!</v>
      </c>
    </row>
    <row r="406" spans="1:7">
      <c r="A406" s="223"/>
      <c r="B406" s="283"/>
      <c r="C406" s="228"/>
      <c r="D406" s="157"/>
      <c r="E406" s="214"/>
      <c r="F406" s="157"/>
      <c r="G406" s="214"/>
    </row>
    <row r="407" spans="1:7">
      <c r="A407" s="401" t="s">
        <v>54</v>
      </c>
      <c r="B407" s="151"/>
      <c r="C407" s="230"/>
      <c r="D407" s="148"/>
      <c r="E407" s="190"/>
      <c r="F407" s="148"/>
      <c r="G407" s="190"/>
    </row>
    <row r="408" spans="1:7">
      <c r="A408" s="402" t="s">
        <v>369</v>
      </c>
      <c r="B408" s="172" t="s">
        <v>441</v>
      </c>
      <c r="C408" s="230">
        <v>1</v>
      </c>
      <c r="D408" s="148">
        <f>F408</f>
        <v>0</v>
      </c>
      <c r="E408" s="213" t="e">
        <f>D408/$F$409</f>
        <v>#DIV/0!</v>
      </c>
      <c r="F408" s="148">
        <f>FREQUENCY('Grille de saisie'!$CA$3:$CA$602,Fréquence!C408)</f>
        <v>0</v>
      </c>
      <c r="G408" s="213" t="e">
        <f>E408</f>
        <v>#DIV/0!</v>
      </c>
    </row>
    <row r="409" spans="1:7">
      <c r="A409" s="201"/>
      <c r="B409" s="172" t="s">
        <v>442</v>
      </c>
      <c r="C409" s="230">
        <v>2</v>
      </c>
      <c r="D409" s="148">
        <f>F409-F408</f>
        <v>0</v>
      </c>
      <c r="E409" s="213" t="e">
        <f>D409/$F$409</f>
        <v>#DIV/0!</v>
      </c>
      <c r="F409" s="148">
        <f>FREQUENCY('Grille de saisie'!$CA$3:$CA$602,Fréquence!C409)</f>
        <v>0</v>
      </c>
      <c r="G409" s="213" t="e">
        <f>E409+E408</f>
        <v>#DIV/0!</v>
      </c>
    </row>
    <row r="410" spans="1:7">
      <c r="A410" s="223"/>
      <c r="B410" s="204"/>
      <c r="C410" s="228"/>
      <c r="D410" s="157"/>
      <c r="E410" s="197"/>
      <c r="F410" s="157"/>
      <c r="G410" s="214"/>
    </row>
    <row r="411" spans="1:7" s="127" customFormat="1">
      <c r="A411" s="399" t="s">
        <v>156</v>
      </c>
      <c r="B411" s="435"/>
      <c r="C411" s="192"/>
      <c r="D411" s="148"/>
      <c r="E411" s="184"/>
      <c r="F411" s="149"/>
      <c r="G411" s="189"/>
    </row>
    <row r="412" spans="1:7" s="127" customFormat="1">
      <c r="A412" s="146" t="s">
        <v>83</v>
      </c>
      <c r="B412" s="151" t="s">
        <v>84</v>
      </c>
      <c r="C412" s="192">
        <v>1</v>
      </c>
      <c r="D412" s="148">
        <f>F412</f>
        <v>0</v>
      </c>
      <c r="E412" s="212" t="e">
        <f>D412/F414</f>
        <v>#DIV/0!</v>
      </c>
      <c r="F412" s="148">
        <f>FREQUENCY('Grille de saisie'!$CN$3:$CN$602,Fréquence!C412)</f>
        <v>0</v>
      </c>
      <c r="G412" s="213" t="e">
        <f>E412</f>
        <v>#DIV/0!</v>
      </c>
    </row>
    <row r="413" spans="1:7" s="127" customFormat="1">
      <c r="A413" s="186"/>
      <c r="B413" s="151" t="s">
        <v>85</v>
      </c>
      <c r="C413" s="210">
        <v>2</v>
      </c>
      <c r="D413" s="148">
        <f>F413-F412</f>
        <v>0</v>
      </c>
      <c r="E413" s="212" t="e">
        <f>D413/F414</f>
        <v>#DIV/0!</v>
      </c>
      <c r="F413" s="148">
        <f>FREQUENCY('Grille de saisie'!$CN$3:$CN$602,Fréquence!C413)</f>
        <v>0</v>
      </c>
      <c r="G413" s="213" t="e">
        <f>E413+E412</f>
        <v>#DIV/0!</v>
      </c>
    </row>
    <row r="414" spans="1:7" s="127" customFormat="1">
      <c r="A414" s="186"/>
      <c r="B414" s="151" t="s">
        <v>90</v>
      </c>
      <c r="C414" s="210">
        <v>3</v>
      </c>
      <c r="D414" s="148">
        <f>F414-F413</f>
        <v>0</v>
      </c>
      <c r="E414" s="267" t="e">
        <f>D414/F414</f>
        <v>#DIV/0!</v>
      </c>
      <c r="F414" s="148">
        <f>FREQUENCY('Grille de saisie'!$CN$3:$CN$602,Fréquence!C414)</f>
        <v>0</v>
      </c>
      <c r="G414" s="213" t="e">
        <f>E414+E413+E412</f>
        <v>#DIV/0!</v>
      </c>
    </row>
    <row r="415" spans="1:7" s="127" customFormat="1">
      <c r="A415" s="191"/>
      <c r="B415" s="154"/>
      <c r="C415" s="205"/>
      <c r="D415" s="157"/>
      <c r="E415" s="214"/>
      <c r="F415" s="157"/>
      <c r="G415" s="214"/>
    </row>
    <row r="416" spans="1:7" s="127" customFormat="1">
      <c r="A416" s="389" t="s">
        <v>157</v>
      </c>
      <c r="B416" s="151"/>
      <c r="C416" s="233"/>
      <c r="D416" s="148"/>
      <c r="E416" s="211"/>
      <c r="F416" s="148"/>
      <c r="G416" s="190"/>
    </row>
    <row r="417" spans="1:7" s="127" customFormat="1">
      <c r="A417" s="186" t="s">
        <v>259</v>
      </c>
      <c r="B417" s="151" t="s">
        <v>261</v>
      </c>
      <c r="C417" s="230">
        <v>1</v>
      </c>
      <c r="D417" s="148">
        <f>F417</f>
        <v>0</v>
      </c>
      <c r="E417" s="212" t="e">
        <f>D417/$F$420</f>
        <v>#DIV/0!</v>
      </c>
      <c r="F417" s="148">
        <f>FREQUENCY('Grille de saisie'!$CC$3:$CC$602,Fréquence!C417)</f>
        <v>0</v>
      </c>
      <c r="G417" s="213" t="e">
        <f>E417</f>
        <v>#DIV/0!</v>
      </c>
    </row>
    <row r="418" spans="1:7" s="127" customFormat="1">
      <c r="A418" s="186" t="s">
        <v>260</v>
      </c>
      <c r="B418" s="151" t="s">
        <v>262</v>
      </c>
      <c r="C418" s="230">
        <v>2</v>
      </c>
      <c r="D418" s="148">
        <f>F418-F417</f>
        <v>0</v>
      </c>
      <c r="E418" s="212" t="e">
        <f t="shared" ref="E418:E420" si="55">D418/$F$420</f>
        <v>#DIV/0!</v>
      </c>
      <c r="F418" s="148">
        <f>FREQUENCY('Grille de saisie'!$CC$3:$CC$602,Fréquence!C418)</f>
        <v>0</v>
      </c>
      <c r="G418" s="213" t="e">
        <f>E418+E417</f>
        <v>#DIV/0!</v>
      </c>
    </row>
    <row r="419" spans="1:7" s="127" customFormat="1">
      <c r="A419" s="186"/>
      <c r="B419" s="151" t="s">
        <v>263</v>
      </c>
      <c r="C419" s="230">
        <v>3</v>
      </c>
      <c r="D419" s="148">
        <f>F419-F418</f>
        <v>0</v>
      </c>
      <c r="E419" s="212" t="e">
        <f t="shared" si="55"/>
        <v>#DIV/0!</v>
      </c>
      <c r="F419" s="148">
        <f>FREQUENCY('Grille de saisie'!$CC$3:$CC$602,Fréquence!C419)</f>
        <v>0</v>
      </c>
      <c r="G419" s="213" t="e">
        <f>E419+E418+E417</f>
        <v>#DIV/0!</v>
      </c>
    </row>
    <row r="420" spans="1:7" s="127" customFormat="1">
      <c r="A420" s="186"/>
      <c r="B420" s="151" t="s">
        <v>264</v>
      </c>
      <c r="C420" s="230">
        <v>96</v>
      </c>
      <c r="D420" s="148">
        <f>F420-F419</f>
        <v>0</v>
      </c>
      <c r="E420" s="212" t="e">
        <f t="shared" si="55"/>
        <v>#DIV/0!</v>
      </c>
      <c r="F420" s="148">
        <f>FREQUENCY('Grille de saisie'!$CC$3:$CC$602,Fréquence!C420)</f>
        <v>0</v>
      </c>
      <c r="G420" s="213" t="e">
        <f>E420+E419+E418+E417</f>
        <v>#DIV/0!</v>
      </c>
    </row>
    <row r="421" spans="1:7" s="127" customFormat="1">
      <c r="A421" s="191"/>
      <c r="B421" s="154"/>
      <c r="C421" s="232"/>
      <c r="D421" s="157"/>
      <c r="E421" s="197"/>
      <c r="F421" s="157"/>
      <c r="G421" s="214"/>
    </row>
    <row r="422" spans="1:7" s="127" customFormat="1">
      <c r="A422" s="399" t="s">
        <v>159</v>
      </c>
      <c r="B422" s="151"/>
      <c r="C422" s="233"/>
      <c r="D422" s="148"/>
      <c r="E422" s="190"/>
      <c r="F422" s="148"/>
      <c r="G422" s="190"/>
    </row>
    <row r="423" spans="1:7" s="127" customFormat="1">
      <c r="A423" s="398" t="s">
        <v>628</v>
      </c>
      <c r="B423" s="151" t="s">
        <v>265</v>
      </c>
      <c r="C423" s="230">
        <v>1</v>
      </c>
      <c r="D423" s="148">
        <f>F423</f>
        <v>0</v>
      </c>
      <c r="E423" s="213" t="e">
        <f>D423/$F$430</f>
        <v>#DIV/0!</v>
      </c>
      <c r="F423" s="148">
        <f>FREQUENCY('Grille de saisie'!$CE$3:$CE$602,Fréquence!C423)</f>
        <v>0</v>
      </c>
      <c r="G423" s="213" t="e">
        <f>E423</f>
        <v>#DIV/0!</v>
      </c>
    </row>
    <row r="424" spans="1:7" s="127" customFormat="1">
      <c r="A424" s="186"/>
      <c r="B424" s="151" t="s">
        <v>266</v>
      </c>
      <c r="C424" s="230">
        <v>2</v>
      </c>
      <c r="D424" s="148">
        <f t="shared" ref="D424:D430" si="56">F424-F423</f>
        <v>0</v>
      </c>
      <c r="E424" s="213" t="e">
        <f t="shared" ref="E424:E430" si="57">D424/$F$430</f>
        <v>#DIV/0!</v>
      </c>
      <c r="F424" s="148">
        <f>FREQUENCY('Grille de saisie'!$CE$3:$CE$602,Fréquence!C424)</f>
        <v>0</v>
      </c>
      <c r="G424" s="213" t="e">
        <f>E424+E423</f>
        <v>#DIV/0!</v>
      </c>
    </row>
    <row r="425" spans="1:7" s="127" customFormat="1">
      <c r="A425" s="186"/>
      <c r="B425" s="151" t="s">
        <v>267</v>
      </c>
      <c r="C425" s="230">
        <v>3</v>
      </c>
      <c r="D425" s="148">
        <f t="shared" si="56"/>
        <v>0</v>
      </c>
      <c r="E425" s="213" t="e">
        <f t="shared" si="57"/>
        <v>#DIV/0!</v>
      </c>
      <c r="F425" s="148">
        <f>FREQUENCY('Grille de saisie'!$CE$3:$CE$602,Fréquence!C425)</f>
        <v>0</v>
      </c>
      <c r="G425" s="213" t="e">
        <f>E425+E424+E423</f>
        <v>#DIV/0!</v>
      </c>
    </row>
    <row r="426" spans="1:7" s="127" customFormat="1">
      <c r="A426" s="186"/>
      <c r="B426" s="151" t="s">
        <v>268</v>
      </c>
      <c r="C426" s="230">
        <v>4</v>
      </c>
      <c r="D426" s="148">
        <f t="shared" si="56"/>
        <v>0</v>
      </c>
      <c r="E426" s="213" t="e">
        <f t="shared" si="57"/>
        <v>#DIV/0!</v>
      </c>
      <c r="F426" s="148">
        <f>FREQUENCY('Grille de saisie'!$CE$3:$CE$602,Fréquence!C426)</f>
        <v>0</v>
      </c>
      <c r="G426" s="213" t="e">
        <f>E426+E425+E424+E423</f>
        <v>#DIV/0!</v>
      </c>
    </row>
    <row r="427" spans="1:7" s="127" customFormat="1">
      <c r="A427" s="186"/>
      <c r="B427" s="151" t="s">
        <v>269</v>
      </c>
      <c r="C427" s="230">
        <v>5</v>
      </c>
      <c r="D427" s="148">
        <f t="shared" si="56"/>
        <v>0</v>
      </c>
      <c r="E427" s="213" t="e">
        <f t="shared" si="57"/>
        <v>#DIV/0!</v>
      </c>
      <c r="F427" s="148">
        <f>FREQUENCY('Grille de saisie'!$CE$3:$CE$602,Fréquence!C427)</f>
        <v>0</v>
      </c>
      <c r="G427" s="213" t="e">
        <f>E427+E426+E425+E424+E423</f>
        <v>#DIV/0!</v>
      </c>
    </row>
    <row r="428" spans="1:7" s="127" customFormat="1">
      <c r="A428" s="186"/>
      <c r="B428" s="151" t="s">
        <v>270</v>
      </c>
      <c r="C428" s="230">
        <v>6</v>
      </c>
      <c r="D428" s="148">
        <f t="shared" si="56"/>
        <v>0</v>
      </c>
      <c r="E428" s="213" t="e">
        <f t="shared" si="57"/>
        <v>#DIV/0!</v>
      </c>
      <c r="F428" s="148">
        <f>FREQUENCY('Grille de saisie'!$CE$3:$CE$602,Fréquence!C428)</f>
        <v>0</v>
      </c>
      <c r="G428" s="213" t="e">
        <f>E428+E427+E426+E425+E424+E423</f>
        <v>#DIV/0!</v>
      </c>
    </row>
    <row r="429" spans="1:7" s="127" customFormat="1">
      <c r="A429" s="186"/>
      <c r="B429" s="151" t="s">
        <v>271</v>
      </c>
      <c r="C429" s="230">
        <v>7</v>
      </c>
      <c r="D429" s="148">
        <f t="shared" si="56"/>
        <v>0</v>
      </c>
      <c r="E429" s="213" t="e">
        <f t="shared" si="57"/>
        <v>#DIV/0!</v>
      </c>
      <c r="F429" s="148">
        <f>FREQUENCY('Grille de saisie'!$CE$3:$CE$602,Fréquence!C429)</f>
        <v>0</v>
      </c>
      <c r="G429" s="213" t="e">
        <f>E429+E428+E427+E426+E425+E424+E423</f>
        <v>#DIV/0!</v>
      </c>
    </row>
    <row r="430" spans="1:7" s="127" customFormat="1">
      <c r="A430" s="186"/>
      <c r="B430" s="151" t="s">
        <v>62</v>
      </c>
      <c r="C430" s="233">
        <v>96</v>
      </c>
      <c r="D430" s="148">
        <f t="shared" si="56"/>
        <v>0</v>
      </c>
      <c r="E430" s="213" t="e">
        <f t="shared" si="57"/>
        <v>#DIV/0!</v>
      </c>
      <c r="F430" s="148">
        <f>FREQUENCY('Grille de saisie'!$CE$3:$CE$602,Fréquence!C430)</f>
        <v>0</v>
      </c>
      <c r="G430" s="213" t="e">
        <f>E430+E429+E428+E427+E426+E425+E424+E423</f>
        <v>#DIV/0!</v>
      </c>
    </row>
    <row r="431" spans="1:7" s="127" customFormat="1">
      <c r="A431" s="191"/>
      <c r="B431" s="154"/>
      <c r="C431" s="232"/>
      <c r="D431" s="157"/>
      <c r="E431" s="158"/>
      <c r="F431" s="157"/>
      <c r="G431" s="214"/>
    </row>
    <row r="432" spans="1:7">
      <c r="A432" s="389" t="s">
        <v>160</v>
      </c>
      <c r="B432" s="151"/>
      <c r="C432" s="227"/>
      <c r="D432" s="148"/>
      <c r="F432" s="148"/>
      <c r="G432" s="194"/>
    </row>
    <row r="433" spans="1:7">
      <c r="A433" s="186" t="s">
        <v>158</v>
      </c>
      <c r="B433" s="151" t="s">
        <v>56</v>
      </c>
      <c r="C433" s="227">
        <v>1</v>
      </c>
      <c r="D433" s="148">
        <f>F433</f>
        <v>0</v>
      </c>
      <c r="E433" s="212" t="e">
        <f>D433/$F$439</f>
        <v>#DIV/0!</v>
      </c>
      <c r="F433" s="148">
        <f>FREQUENCY('Grille de saisie'!$CG$3:$CG$602,Fréquence!C433)</f>
        <v>0</v>
      </c>
      <c r="G433" s="213" t="e">
        <f>E433</f>
        <v>#DIV/0!</v>
      </c>
    </row>
    <row r="434" spans="1:7">
      <c r="A434" s="186"/>
      <c r="B434" s="151" t="s">
        <v>57</v>
      </c>
      <c r="C434" s="227">
        <v>2</v>
      </c>
      <c r="D434" s="148">
        <f t="shared" ref="D434:D439" si="58">F434-F433</f>
        <v>0</v>
      </c>
      <c r="E434" s="212" t="e">
        <f t="shared" ref="E434:E439" si="59">D434/$F$439</f>
        <v>#DIV/0!</v>
      </c>
      <c r="F434" s="148">
        <f>FREQUENCY('Grille de saisie'!$CG$3:$CG$602,Fréquence!C434)</f>
        <v>0</v>
      </c>
      <c r="G434" s="213" t="e">
        <f>E434+E433</f>
        <v>#DIV/0!</v>
      </c>
    </row>
    <row r="435" spans="1:7">
      <c r="A435" s="186"/>
      <c r="B435" s="151" t="s">
        <v>58</v>
      </c>
      <c r="C435" s="227">
        <v>3</v>
      </c>
      <c r="D435" s="148">
        <f t="shared" si="58"/>
        <v>0</v>
      </c>
      <c r="E435" s="212" t="e">
        <f t="shared" si="59"/>
        <v>#DIV/0!</v>
      </c>
      <c r="F435" s="148">
        <f>FREQUENCY('Grille de saisie'!$CG$3:$CG$602,Fréquence!C435)</f>
        <v>0</v>
      </c>
      <c r="G435" s="213" t="e">
        <f>E435+E434+E433</f>
        <v>#DIV/0!</v>
      </c>
    </row>
    <row r="436" spans="1:7">
      <c r="A436" s="186"/>
      <c r="B436" s="151" t="s">
        <v>59</v>
      </c>
      <c r="C436" s="227">
        <v>4</v>
      </c>
      <c r="D436" s="148">
        <f t="shared" si="58"/>
        <v>0</v>
      </c>
      <c r="E436" s="212" t="e">
        <f t="shared" si="59"/>
        <v>#DIV/0!</v>
      </c>
      <c r="F436" s="148">
        <f>FREQUENCY('Grille de saisie'!$CG$3:$CG$602,Fréquence!C436)</f>
        <v>0</v>
      </c>
      <c r="G436" s="213" t="e">
        <f>E436+E435+E434+E433</f>
        <v>#DIV/0!</v>
      </c>
    </row>
    <row r="437" spans="1:7">
      <c r="A437" s="186"/>
      <c r="B437" s="151" t="s">
        <v>60</v>
      </c>
      <c r="C437" s="227">
        <v>5</v>
      </c>
      <c r="D437" s="148">
        <f t="shared" si="58"/>
        <v>0</v>
      </c>
      <c r="E437" s="212" t="e">
        <f t="shared" si="59"/>
        <v>#DIV/0!</v>
      </c>
      <c r="F437" s="148">
        <f>FREQUENCY('Grille de saisie'!$CG$3:$CG$602,Fréquence!C437)</f>
        <v>0</v>
      </c>
      <c r="G437" s="213" t="e">
        <f>E437+E436+E435+E434+E433</f>
        <v>#DIV/0!</v>
      </c>
    </row>
    <row r="438" spans="1:7">
      <c r="A438" s="186"/>
      <c r="B438" s="151" t="s">
        <v>61</v>
      </c>
      <c r="C438" s="230">
        <v>6</v>
      </c>
      <c r="D438" s="148">
        <f t="shared" si="58"/>
        <v>0</v>
      </c>
      <c r="E438" s="212" t="e">
        <f t="shared" si="59"/>
        <v>#DIV/0!</v>
      </c>
      <c r="F438" s="148">
        <f>FREQUENCY('Grille de saisie'!$CG$3:$CG$602,Fréquence!C438)</f>
        <v>0</v>
      </c>
      <c r="G438" s="213" t="e">
        <f>E438+E437+E436+E435+E434+E433</f>
        <v>#DIV/0!</v>
      </c>
    </row>
    <row r="439" spans="1:7">
      <c r="A439" s="186"/>
      <c r="B439" s="172" t="s">
        <v>274</v>
      </c>
      <c r="C439" s="230">
        <v>96</v>
      </c>
      <c r="D439" s="148">
        <f t="shared" si="58"/>
        <v>0</v>
      </c>
      <c r="E439" s="212" t="e">
        <f t="shared" si="59"/>
        <v>#DIV/0!</v>
      </c>
      <c r="F439" s="148">
        <f>FREQUENCY('Grille de saisie'!$CG$3:$CG$602,Fréquence!C439)</f>
        <v>0</v>
      </c>
      <c r="G439" s="213" t="e">
        <f>E439+E438+E437+E436+E435+E434+E433</f>
        <v>#DIV/0!</v>
      </c>
    </row>
    <row r="440" spans="1:7">
      <c r="A440" s="191"/>
      <c r="B440" s="204"/>
      <c r="C440" s="228"/>
      <c r="D440" s="157"/>
      <c r="E440" s="197"/>
      <c r="F440" s="157"/>
      <c r="G440" s="214"/>
    </row>
    <row r="441" spans="1:7" s="127" customFormat="1">
      <c r="A441" s="389" t="s">
        <v>588</v>
      </c>
      <c r="B441" s="151"/>
      <c r="C441" s="233"/>
      <c r="D441" s="148"/>
      <c r="E441" s="190"/>
      <c r="F441" s="148"/>
      <c r="G441" s="190"/>
    </row>
    <row r="442" spans="1:7" s="127" customFormat="1">
      <c r="A442" s="177" t="s">
        <v>272</v>
      </c>
      <c r="B442" s="199" t="s">
        <v>273</v>
      </c>
      <c r="C442" s="230">
        <v>1</v>
      </c>
      <c r="D442" s="148">
        <f>F442</f>
        <v>0</v>
      </c>
      <c r="E442" s="213" t="e">
        <f>D442/$F$446</f>
        <v>#DIV/0!</v>
      </c>
      <c r="F442" s="148">
        <f>FREQUENCY('Grille de saisie'!$CI$3:$CI$602,Fréquence!C442)</f>
        <v>0</v>
      </c>
      <c r="G442" s="213" t="e">
        <f>E442</f>
        <v>#DIV/0!</v>
      </c>
    </row>
    <row r="443" spans="1:7" s="127" customFormat="1">
      <c r="A443" s="398" t="s">
        <v>887</v>
      </c>
      <c r="B443" s="172" t="s">
        <v>443</v>
      </c>
      <c r="C443" s="230">
        <v>2</v>
      </c>
      <c r="D443" s="148">
        <f t="shared" ref="D443:D446" si="60">F443-F442</f>
        <v>0</v>
      </c>
      <c r="E443" s="213" t="e">
        <f t="shared" ref="E443:E446" si="61">D443/$F$446</f>
        <v>#DIV/0!</v>
      </c>
      <c r="F443" s="148">
        <f>FREQUENCY('Grille de saisie'!$CI$3:$CI$602,Fréquence!C443)</f>
        <v>0</v>
      </c>
      <c r="G443" s="213" t="e">
        <f>E443+E442</f>
        <v>#DIV/0!</v>
      </c>
    </row>
    <row r="444" spans="1:7" s="127" customFormat="1">
      <c r="A444" s="186"/>
      <c r="B444" s="172" t="s">
        <v>444</v>
      </c>
      <c r="C444" s="230">
        <v>3</v>
      </c>
      <c r="D444" s="148">
        <f t="shared" si="60"/>
        <v>0</v>
      </c>
      <c r="E444" s="213" t="e">
        <f t="shared" si="61"/>
        <v>#DIV/0!</v>
      </c>
      <c r="F444" s="148">
        <f>FREQUENCY('Grille de saisie'!$CI$3:$CI$602,Fréquence!C444)</f>
        <v>0</v>
      </c>
      <c r="G444" s="213" t="e">
        <f>E444+E443+E442</f>
        <v>#DIV/0!</v>
      </c>
    </row>
    <row r="445" spans="1:7" s="127" customFormat="1">
      <c r="A445" s="186"/>
      <c r="B445" s="172" t="s">
        <v>891</v>
      </c>
      <c r="C445" s="427">
        <v>4</v>
      </c>
      <c r="D445" s="148">
        <f t="shared" si="60"/>
        <v>0</v>
      </c>
      <c r="E445" s="213" t="e">
        <f t="shared" si="61"/>
        <v>#DIV/0!</v>
      </c>
      <c r="F445" s="148">
        <f>FREQUENCY('Grille de saisie'!$CI$3:$CI$602,Fréquence!C445)</f>
        <v>0</v>
      </c>
      <c r="G445" s="213" t="e">
        <f>E445+E444+E443+E442</f>
        <v>#DIV/0!</v>
      </c>
    </row>
    <row r="446" spans="1:7" s="127" customFormat="1">
      <c r="A446" s="186"/>
      <c r="B446" s="199" t="s">
        <v>274</v>
      </c>
      <c r="C446" s="233">
        <v>96</v>
      </c>
      <c r="D446" s="148">
        <f t="shared" si="60"/>
        <v>0</v>
      </c>
      <c r="E446" s="213" t="e">
        <f t="shared" si="61"/>
        <v>#DIV/0!</v>
      </c>
      <c r="F446" s="148">
        <f>FREQUENCY('Grille de saisie'!$CI$3:$CI$602,Fréquence!C446)</f>
        <v>0</v>
      </c>
      <c r="G446" s="213" t="e">
        <f>E446+E445+E444+E443+E442</f>
        <v>#DIV/0!</v>
      </c>
    </row>
    <row r="447" spans="1:7" s="127" customFormat="1">
      <c r="A447" s="191"/>
      <c r="B447" s="204"/>
      <c r="C447" s="232"/>
      <c r="D447" s="157"/>
      <c r="E447" s="197"/>
      <c r="F447" s="157"/>
      <c r="G447" s="214"/>
    </row>
    <row r="448" spans="1:7" s="127" customFormat="1">
      <c r="A448" s="389" t="s">
        <v>590</v>
      </c>
      <c r="B448" s="151"/>
      <c r="C448" s="210"/>
      <c r="D448" s="148"/>
      <c r="E448" s="190"/>
      <c r="F448" s="148"/>
      <c r="G448" s="190"/>
    </row>
    <row r="449" spans="1:7" s="127" customFormat="1">
      <c r="A449" s="177" t="s">
        <v>275</v>
      </c>
      <c r="B449" s="199" t="s">
        <v>277</v>
      </c>
      <c r="C449" s="210">
        <v>1</v>
      </c>
      <c r="D449" s="148">
        <f>F449</f>
        <v>0</v>
      </c>
      <c r="E449" s="213" t="e">
        <f>D449/$F$452</f>
        <v>#DIV/0!</v>
      </c>
      <c r="F449" s="148">
        <f>FREQUENCY('Grille de saisie'!$CK$3:$CK$602,Fréquence!C449)</f>
        <v>0</v>
      </c>
      <c r="G449" s="213" t="e">
        <f>E449</f>
        <v>#DIV/0!</v>
      </c>
    </row>
    <row r="450" spans="1:7" s="127" customFormat="1">
      <c r="A450" s="177" t="s">
        <v>276</v>
      </c>
      <c r="B450" s="172" t="s">
        <v>629</v>
      </c>
      <c r="C450" s="210">
        <v>2</v>
      </c>
      <c r="D450" s="148">
        <f>F450-F449</f>
        <v>0</v>
      </c>
      <c r="E450" s="213" t="e">
        <f t="shared" ref="E450:E452" si="62">D450/$F$452</f>
        <v>#DIV/0!</v>
      </c>
      <c r="F450" s="148">
        <f>FREQUENCY('Grille de saisie'!$CK$3:$CK$602,Fréquence!C450)</f>
        <v>0</v>
      </c>
      <c r="G450" s="213" t="e">
        <f>E450+E449</f>
        <v>#DIV/0!</v>
      </c>
    </row>
    <row r="451" spans="1:7" s="127" customFormat="1">
      <c r="A451" s="177"/>
      <c r="B451" s="172" t="s">
        <v>888</v>
      </c>
      <c r="C451" s="210">
        <v>3</v>
      </c>
      <c r="D451" s="148">
        <f>F451-F450</f>
        <v>0</v>
      </c>
      <c r="E451" s="213" t="e">
        <f t="shared" si="62"/>
        <v>#DIV/0!</v>
      </c>
      <c r="F451" s="148">
        <f>FREQUENCY('Grille de saisie'!$CK$3:$CK$602,Fréquence!C451)</f>
        <v>0</v>
      </c>
      <c r="G451" s="213" t="e">
        <f>E451+E450+E449</f>
        <v>#DIV/0!</v>
      </c>
    </row>
    <row r="452" spans="1:7" s="127" customFormat="1">
      <c r="A452" s="186"/>
      <c r="B452" s="172" t="s">
        <v>631</v>
      </c>
      <c r="C452" s="210">
        <v>4</v>
      </c>
      <c r="D452" s="148">
        <f>F452-F451</f>
        <v>0</v>
      </c>
      <c r="E452" s="213" t="e">
        <f t="shared" si="62"/>
        <v>#DIV/0!</v>
      </c>
      <c r="F452" s="148">
        <f>FREQUENCY('Grille de saisie'!$CK$3:$CK$602,Fréquence!C452)</f>
        <v>0</v>
      </c>
      <c r="G452" s="213" t="e">
        <f>E452+E451+E450+E449</f>
        <v>#DIV/0!</v>
      </c>
    </row>
    <row r="453" spans="1:7" s="127" customFormat="1">
      <c r="A453" s="191"/>
      <c r="B453" s="204"/>
      <c r="C453" s="205"/>
      <c r="D453" s="157"/>
      <c r="E453" s="197"/>
      <c r="F453" s="157"/>
      <c r="G453" s="214"/>
    </row>
    <row r="454" spans="1:7">
      <c r="A454" s="399" t="s">
        <v>91</v>
      </c>
      <c r="B454" s="435"/>
      <c r="D454" s="149"/>
      <c r="F454" s="149"/>
      <c r="G454" s="189"/>
    </row>
    <row r="455" spans="1:7">
      <c r="A455" s="186" t="s">
        <v>92</v>
      </c>
      <c r="B455" s="151" t="s">
        <v>98</v>
      </c>
      <c r="C455" s="192">
        <v>1</v>
      </c>
      <c r="D455" s="148">
        <f>F455</f>
        <v>0</v>
      </c>
      <c r="E455" s="212" t="e">
        <f>D455/F456</f>
        <v>#DIV/0!</v>
      </c>
      <c r="F455" s="148">
        <f>FREQUENCY('Grille de saisie'!$CQ$3:$CQ$602,Fréquence!C455)</f>
        <v>0</v>
      </c>
      <c r="G455" s="213" t="e">
        <f>E455</f>
        <v>#DIV/0!</v>
      </c>
    </row>
    <row r="456" spans="1:7">
      <c r="A456" s="179" t="s">
        <v>93</v>
      </c>
      <c r="B456" s="154" t="s">
        <v>97</v>
      </c>
      <c r="C456" s="205">
        <v>2</v>
      </c>
      <c r="D456" s="157">
        <f>F456-F455</f>
        <v>0</v>
      </c>
      <c r="E456" s="214" t="e">
        <f>D456/F456</f>
        <v>#DIV/0!</v>
      </c>
      <c r="F456" s="157">
        <f>FREQUENCY('Grille de saisie'!$CQ$3:$CQ$602,Fréquence!C456)</f>
        <v>0</v>
      </c>
      <c r="G456" s="214" t="e">
        <f>E456+E455</f>
        <v>#DIV/0!</v>
      </c>
    </row>
    <row r="457" spans="1:7">
      <c r="A457" s="399" t="s">
        <v>94</v>
      </c>
      <c r="B457" s="127"/>
      <c r="C457" s="425"/>
      <c r="E457" s="149"/>
      <c r="F457" s="218"/>
      <c r="G457" s="189"/>
    </row>
    <row r="458" spans="1:7">
      <c r="A458" s="177" t="s">
        <v>95</v>
      </c>
      <c r="B458" s="127" t="s">
        <v>96</v>
      </c>
      <c r="C458" s="422">
        <v>1</v>
      </c>
      <c r="D458" s="194">
        <f>F458</f>
        <v>0</v>
      </c>
      <c r="E458" s="152" t="e">
        <f>D458/F459</f>
        <v>#DIV/0!</v>
      </c>
      <c r="F458" s="218">
        <f>FREQUENCY('Grille de saisie'!$CO$3:$CO$602,Fréquence!C458)</f>
        <v>0</v>
      </c>
      <c r="G458" s="213" t="e">
        <f>E458</f>
        <v>#DIV/0!</v>
      </c>
    </row>
    <row r="459" spans="1:7">
      <c r="A459" s="223"/>
      <c r="B459" s="283" t="s">
        <v>956</v>
      </c>
      <c r="C459" s="205">
        <v>2</v>
      </c>
      <c r="D459" s="157">
        <f>F459-F458</f>
        <v>0</v>
      </c>
      <c r="E459" s="158" t="e">
        <f>D459/F459</f>
        <v>#DIV/0!</v>
      </c>
      <c r="F459" s="218">
        <f>FREQUENCY('Grille de saisie'!$CO$3:$CO$602,Fréquence!C459)</f>
        <v>0</v>
      </c>
      <c r="G459" s="214" t="e">
        <f>E459+E458</f>
        <v>#DIV/0!</v>
      </c>
    </row>
    <row r="460" spans="1:7">
      <c r="A460" s="220" t="s">
        <v>99</v>
      </c>
      <c r="B460" s="435"/>
      <c r="D460" s="149"/>
      <c r="F460" s="149"/>
      <c r="G460" s="189"/>
    </row>
    <row r="461" spans="1:7">
      <c r="A461" s="127" t="s">
        <v>100</v>
      </c>
      <c r="B461" s="151" t="s">
        <v>105</v>
      </c>
      <c r="C461" s="192">
        <v>1</v>
      </c>
      <c r="D461" s="148">
        <f>F461</f>
        <v>0</v>
      </c>
      <c r="E461" s="212" t="e">
        <f>D461/$F$464</f>
        <v>#DIV/0!</v>
      </c>
      <c r="F461" s="148">
        <f>FREQUENCY('Grille de saisie'!$CP$3:$CP$602,Fréquence!C461)</f>
        <v>0</v>
      </c>
      <c r="G461" s="213" t="e">
        <f>E461</f>
        <v>#DIV/0!</v>
      </c>
    </row>
    <row r="462" spans="1:7">
      <c r="A462" s="186" t="s">
        <v>93</v>
      </c>
      <c r="B462" s="151" t="s">
        <v>106</v>
      </c>
      <c r="C462" s="192">
        <v>2</v>
      </c>
      <c r="D462" s="148">
        <f>F462-F461</f>
        <v>0</v>
      </c>
      <c r="E462" s="212" t="e">
        <f t="shared" ref="E462:E464" si="63">D462/$F$464</f>
        <v>#DIV/0!</v>
      </c>
      <c r="F462" s="148">
        <f>FREQUENCY('Grille de saisie'!$CP$3:$CP$602,Fréquence!C462)</f>
        <v>0</v>
      </c>
      <c r="G462" s="213" t="e">
        <f>E462+E461</f>
        <v>#DIV/0!</v>
      </c>
    </row>
    <row r="463" spans="1:7">
      <c r="A463" s="127"/>
      <c r="B463" s="151" t="s">
        <v>107</v>
      </c>
      <c r="C463" s="192">
        <v>3</v>
      </c>
      <c r="D463" s="148">
        <f>F463-F462</f>
        <v>0</v>
      </c>
      <c r="E463" s="212" t="e">
        <f t="shared" si="63"/>
        <v>#DIV/0!</v>
      </c>
      <c r="F463" s="148">
        <f>FREQUENCY('Grille de saisie'!$CP$3:$CP$602,Fréquence!C463)</f>
        <v>0</v>
      </c>
      <c r="G463" s="213" t="e">
        <f>E463+E462+E461</f>
        <v>#DIV/0!</v>
      </c>
    </row>
    <row r="464" spans="1:7">
      <c r="A464" s="191"/>
      <c r="B464" s="154" t="s">
        <v>108</v>
      </c>
      <c r="C464" s="426">
        <v>4</v>
      </c>
      <c r="D464" s="157">
        <f>F464-F463</f>
        <v>0</v>
      </c>
      <c r="E464" s="197" t="e">
        <f t="shared" si="63"/>
        <v>#DIV/0!</v>
      </c>
      <c r="F464" s="157">
        <f>FREQUENCY('Grille de saisie'!$CP$3:$CP$602,Fréquence!C464)</f>
        <v>0</v>
      </c>
      <c r="G464" s="214" t="e">
        <f>E464+E463+E462+E461</f>
        <v>#DIV/0!</v>
      </c>
    </row>
    <row r="465" spans="5:5">
      <c r="E465" s="211"/>
    </row>
  </sheetData>
  <mergeCells count="8">
    <mergeCell ref="G1:G2"/>
    <mergeCell ref="C1:C2"/>
    <mergeCell ref="B159:B160"/>
    <mergeCell ref="E1:E2"/>
    <mergeCell ref="A1:A2"/>
    <mergeCell ref="B1:B2"/>
    <mergeCell ref="D1:D2"/>
    <mergeCell ref="F1:F2"/>
  </mergeCells>
  <phoneticPr fontId="9" type="noConversion"/>
  <printOptions horizontalCentered="1"/>
  <pageMargins left="0.78740157480314965" right="0.78740157480314965" top="1.1811023622047245" bottom="0.98425196850393704" header="0.51181102362204722" footer="0.51181102362204722"/>
  <pageSetup scale="56" orientation="portrait" r:id="rId1"/>
  <headerFooter alignWithMargins="0">
    <oddHeader>&amp;L&amp;9
[Lieu, année]&amp;C&amp;"Arial,Gras"&amp;11Réponse obtenue au questionnaire</oddHeader>
    <oddFooter xml:space="preserve">&amp;L&amp;9Source : Inscrire le nom de l'enquête
</oddFooter>
  </headerFooter>
  <rowBreaks count="7" manualBreakCount="7">
    <brk id="71" max="6" man="1"/>
    <brk id="121" max="6" man="1"/>
    <brk id="171" max="6" man="1"/>
    <brk id="245" max="16383" man="1"/>
    <brk id="302" max="16383" man="1"/>
    <brk id="370" max="6" man="1"/>
    <brk id="447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Feuil2">
    <tabColor indexed="12"/>
  </sheetPr>
  <dimension ref="A1:G15"/>
  <sheetViews>
    <sheetView view="pageBreakPreview" zoomScale="90" zoomScaleNormal="90" workbookViewId="0">
      <selection activeCell="A5" sqref="A5"/>
    </sheetView>
  </sheetViews>
  <sheetFormatPr baseColWidth="10" defaultRowHeight="12.75"/>
  <cols>
    <col min="1" max="1" width="34.7109375" style="1" customWidth="1"/>
    <col min="2" max="2" width="45.28515625" style="1" bestFit="1" customWidth="1"/>
    <col min="3" max="3" width="5.7109375" style="1" customWidth="1"/>
    <col min="4" max="4" width="13.140625" style="7" customWidth="1"/>
    <col min="5" max="5" width="15" style="7" customWidth="1"/>
    <col min="6" max="6" width="14.85546875" style="7" customWidth="1"/>
    <col min="7" max="7" width="15.42578125" style="7" customWidth="1"/>
    <col min="8" max="16384" width="11.42578125" style="1"/>
  </cols>
  <sheetData>
    <row r="1" spans="1:7" s="4" customFormat="1">
      <c r="A1" s="584" t="s">
        <v>7</v>
      </c>
      <c r="B1" s="584" t="s">
        <v>6</v>
      </c>
      <c r="C1" s="584" t="s">
        <v>20</v>
      </c>
      <c r="D1" s="584" t="s">
        <v>16</v>
      </c>
      <c r="E1" s="584" t="s">
        <v>17</v>
      </c>
      <c r="F1" s="584" t="s">
        <v>18</v>
      </c>
      <c r="G1" s="582" t="s">
        <v>19</v>
      </c>
    </row>
    <row r="2" spans="1:7" s="4" customFormat="1">
      <c r="A2" s="585"/>
      <c r="B2" s="586"/>
      <c r="C2" s="586"/>
      <c r="D2" s="586"/>
      <c r="E2" s="587"/>
      <c r="F2" s="586"/>
      <c r="G2" s="583"/>
    </row>
    <row r="3" spans="1:7">
      <c r="A3" s="128" t="s">
        <v>521</v>
      </c>
      <c r="B3" s="129"/>
      <c r="C3" s="130"/>
      <c r="D3" s="135"/>
      <c r="E3" s="135"/>
      <c r="F3" s="135"/>
      <c r="G3" s="142"/>
    </row>
    <row r="4" spans="1:7">
      <c r="A4" s="348" t="s">
        <v>591</v>
      </c>
      <c r="B4" s="146" t="s">
        <v>1</v>
      </c>
      <c r="C4" s="134">
        <v>1</v>
      </c>
      <c r="D4" s="135">
        <f>F4</f>
        <v>0</v>
      </c>
      <c r="E4" s="136" t="e">
        <f>D4/$F$6</f>
        <v>#DIV/0!</v>
      </c>
      <c r="F4" s="135">
        <f>FREQUENCY('Grille de saisie'!$B$3:$B$602,Éligibilité!C4)</f>
        <v>0</v>
      </c>
      <c r="G4" s="144" t="e">
        <f>E4</f>
        <v>#DIV/0!</v>
      </c>
    </row>
    <row r="5" spans="1:7">
      <c r="A5" s="151" t="s">
        <v>0</v>
      </c>
      <c r="B5" s="281" t="s">
        <v>935</v>
      </c>
      <c r="C5" s="134">
        <v>2</v>
      </c>
      <c r="D5" s="135">
        <f>F5-F4</f>
        <v>0</v>
      </c>
      <c r="E5" s="136" t="e">
        <f>D5/$F$6</f>
        <v>#DIV/0!</v>
      </c>
      <c r="F5" s="135">
        <f>FREQUENCY('Grille de saisie'!$B$3:$B$602,Éligibilité!C5)</f>
        <v>0</v>
      </c>
      <c r="G5" s="144" t="e">
        <f>E5+E4</f>
        <v>#DIV/0!</v>
      </c>
    </row>
    <row r="6" spans="1:7">
      <c r="A6" s="132"/>
      <c r="B6" s="146" t="s">
        <v>2</v>
      </c>
      <c r="C6" s="134">
        <v>3</v>
      </c>
      <c r="D6" s="135">
        <f>F6-F5</f>
        <v>0</v>
      </c>
      <c r="E6" s="136" t="e">
        <f t="shared" ref="E6" si="0">D6/$F$6</f>
        <v>#DIV/0!</v>
      </c>
      <c r="F6" s="135">
        <f>FREQUENCY('Grille de saisie'!$B$3:$B$602,Éligibilité!C6)</f>
        <v>0</v>
      </c>
      <c r="G6" s="144" t="e">
        <f>E6+E5+E4</f>
        <v>#DIV/0!</v>
      </c>
    </row>
    <row r="7" spans="1:7">
      <c r="A7" s="137"/>
      <c r="B7" s="138"/>
      <c r="C7" s="139"/>
      <c r="D7" s="140"/>
      <c r="E7" s="141"/>
      <c r="F7" s="140"/>
      <c r="G7" s="319"/>
    </row>
    <row r="8" spans="1:7" s="127" customFormat="1">
      <c r="A8" s="128" t="s">
        <v>522</v>
      </c>
      <c r="B8" s="129"/>
      <c r="C8" s="130"/>
      <c r="D8" s="135"/>
      <c r="E8" s="135"/>
      <c r="F8" s="135"/>
      <c r="G8" s="142"/>
    </row>
    <row r="9" spans="1:7" s="127" customFormat="1">
      <c r="A9" s="348" t="s">
        <v>592</v>
      </c>
      <c r="B9" s="133" t="s">
        <v>175</v>
      </c>
      <c r="C9" s="134">
        <v>1</v>
      </c>
      <c r="D9" s="135">
        <f>F9</f>
        <v>0</v>
      </c>
      <c r="E9" s="136" t="e">
        <f>D9/$F$13</f>
        <v>#DIV/0!</v>
      </c>
      <c r="F9" s="135">
        <f>FREQUENCY('Grille de saisie'!$C$3:$C$602,Éligibilité!C9)</f>
        <v>0</v>
      </c>
      <c r="G9" s="144" t="e">
        <f>E9</f>
        <v>#DIV/0!</v>
      </c>
    </row>
    <row r="10" spans="1:7" s="127" customFormat="1">
      <c r="A10" s="348" t="s">
        <v>593</v>
      </c>
      <c r="B10" s="133" t="s">
        <v>176</v>
      </c>
      <c r="C10" s="134">
        <v>2</v>
      </c>
      <c r="D10" s="135">
        <f>F10-F9</f>
        <v>0</v>
      </c>
      <c r="E10" s="136" t="e">
        <f t="shared" ref="E10:E13" si="1">D10/$F$13</f>
        <v>#DIV/0!</v>
      </c>
      <c r="F10" s="135">
        <f>FREQUENCY('Grille de saisie'!$C$3:$C$602,Éligibilité!C10)</f>
        <v>0</v>
      </c>
      <c r="G10" s="144" t="e">
        <f>E10+E9</f>
        <v>#DIV/0!</v>
      </c>
    </row>
    <row r="11" spans="1:7" s="127" customFormat="1">
      <c r="A11" s="348" t="s">
        <v>594</v>
      </c>
      <c r="B11" s="133" t="s">
        <v>177</v>
      </c>
      <c r="C11" s="134">
        <v>3</v>
      </c>
      <c r="D11" s="135">
        <f>F11-F10</f>
        <v>0</v>
      </c>
      <c r="E11" s="136" t="e">
        <f t="shared" si="1"/>
        <v>#DIV/0!</v>
      </c>
      <c r="F11" s="135">
        <f>FREQUENCY('Grille de saisie'!$C$3:$C$602,Éligibilité!C11)</f>
        <v>0</v>
      </c>
      <c r="G11" s="144" t="e">
        <f>E11+E10+E9</f>
        <v>#DIV/0!</v>
      </c>
    </row>
    <row r="12" spans="1:7" s="127" customFormat="1">
      <c r="A12" s="143"/>
      <c r="B12" s="133" t="s">
        <v>178</v>
      </c>
      <c r="C12" s="134">
        <v>4</v>
      </c>
      <c r="D12" s="135">
        <f>F12-F11</f>
        <v>0</v>
      </c>
      <c r="E12" s="136" t="e">
        <f t="shared" si="1"/>
        <v>#DIV/0!</v>
      </c>
      <c r="F12" s="135">
        <f>FREQUENCY('Grille de saisie'!$C$3:$C$602,Éligibilité!C12)</f>
        <v>0</v>
      </c>
      <c r="G12" s="144" t="e">
        <f>E12+E11+E10+E9</f>
        <v>#DIV/0!</v>
      </c>
    </row>
    <row r="13" spans="1:7" s="127" customFormat="1">
      <c r="A13" s="132"/>
      <c r="B13" s="133" t="s">
        <v>47</v>
      </c>
      <c r="C13" s="134">
        <v>5</v>
      </c>
      <c r="D13" s="135">
        <f>F13-F12</f>
        <v>0</v>
      </c>
      <c r="E13" s="136" t="e">
        <f t="shared" si="1"/>
        <v>#DIV/0!</v>
      </c>
      <c r="F13" s="135">
        <f>FREQUENCY('Grille de saisie'!$C$3:$C$602,Éligibilité!C13)</f>
        <v>0</v>
      </c>
      <c r="G13" s="144" t="e">
        <f>E13+E12+E11+E10+E9</f>
        <v>#DIV/0!</v>
      </c>
    </row>
    <row r="14" spans="1:7" s="127" customFormat="1">
      <c r="A14" s="137"/>
      <c r="B14" s="138"/>
      <c r="C14" s="139"/>
      <c r="D14" s="140"/>
      <c r="E14" s="141"/>
      <c r="F14" s="140"/>
      <c r="G14" s="145"/>
    </row>
    <row r="15" spans="1:7">
      <c r="E15" s="6"/>
    </row>
  </sheetData>
  <sheetProtection password="EF72" sheet="1" objects="1" scenarios="1"/>
  <mergeCells count="7">
    <mergeCell ref="G1:G2"/>
    <mergeCell ref="A1:A2"/>
    <mergeCell ref="B1:B2"/>
    <mergeCell ref="C1:C2"/>
    <mergeCell ref="D1:D2"/>
    <mergeCell ref="E1:E2"/>
    <mergeCell ref="F1:F2"/>
  </mergeCells>
  <pageMargins left="0.78740157480314965" right="0.78740157480314965" top="1.1811023622047245" bottom="0.98425196850393704" header="0.51181102362204722" footer="0.51181102362204722"/>
  <pageSetup scale="61" orientation="portrait" r:id="rId1"/>
  <headerFooter alignWithMargins="0">
    <oddHeader>&amp;L
[Lieu, année]&amp;C&amp;"Arial,Gras"&amp;11Description de la population à l'étude</oddHeader>
    <oddFooter xml:space="preserve">&amp;LSource : Inscrire le nom de l'enquête
</oddFooter>
  </headerFooter>
  <rowBreaks count="1" manualBreakCount="1">
    <brk id="10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Feuil30" enableFormatConditionsCalculation="0">
    <tabColor indexed="12"/>
  </sheetPr>
  <dimension ref="A1:G21"/>
  <sheetViews>
    <sheetView view="pageBreakPreview" zoomScale="90" zoomScaleNormal="90" workbookViewId="0">
      <selection activeCell="B12" sqref="B12"/>
    </sheetView>
  </sheetViews>
  <sheetFormatPr baseColWidth="10" defaultRowHeight="12.75"/>
  <cols>
    <col min="1" max="1" width="34.5703125" style="1" customWidth="1"/>
    <col min="2" max="2" width="39.85546875" style="1" customWidth="1"/>
    <col min="3" max="3" width="5.7109375" style="1" customWidth="1"/>
    <col min="4" max="4" width="13.140625" style="7" customWidth="1"/>
    <col min="5" max="5" width="15" style="7" customWidth="1"/>
    <col min="6" max="6" width="14.85546875" style="7" customWidth="1"/>
    <col min="7" max="7" width="15.42578125" style="7" customWidth="1"/>
    <col min="8" max="16384" width="11.42578125" style="1"/>
  </cols>
  <sheetData>
    <row r="1" spans="1:7" s="4" customFormat="1">
      <c r="A1" s="584" t="s">
        <v>7</v>
      </c>
      <c r="B1" s="584" t="s">
        <v>6</v>
      </c>
      <c r="C1" s="584" t="s">
        <v>20</v>
      </c>
      <c r="D1" s="584" t="s">
        <v>16</v>
      </c>
      <c r="E1" s="584" t="s">
        <v>17</v>
      </c>
      <c r="F1" s="584" t="s">
        <v>18</v>
      </c>
      <c r="G1" s="582" t="s">
        <v>19</v>
      </c>
    </row>
    <row r="2" spans="1:7" s="4" customFormat="1">
      <c r="A2" s="585"/>
      <c r="B2" s="586"/>
      <c r="C2" s="586"/>
      <c r="D2" s="586"/>
      <c r="E2" s="587"/>
      <c r="F2" s="586"/>
      <c r="G2" s="583"/>
    </row>
    <row r="3" spans="1:7">
      <c r="A3" s="128" t="s">
        <v>127</v>
      </c>
      <c r="B3" s="146"/>
      <c r="C3" s="147"/>
      <c r="D3" s="148"/>
      <c r="E3" s="148"/>
      <c r="F3" s="148"/>
      <c r="G3" s="149"/>
    </row>
    <row r="4" spans="1:7">
      <c r="A4" s="280" t="s">
        <v>374</v>
      </c>
      <c r="B4" s="146" t="s">
        <v>71</v>
      </c>
      <c r="C4" s="147" t="s">
        <v>73</v>
      </c>
      <c r="D4" s="148">
        <f>Fréquence!D16+Fréquence!D17</f>
        <v>0</v>
      </c>
      <c r="E4" s="267" t="e">
        <f>D4/F5</f>
        <v>#DIV/0!</v>
      </c>
      <c r="F4" s="148">
        <f>D4</f>
        <v>0</v>
      </c>
      <c r="G4" s="267" t="e">
        <f>E4</f>
        <v>#DIV/0!</v>
      </c>
    </row>
    <row r="5" spans="1:7">
      <c r="A5" s="151"/>
      <c r="B5" s="146" t="s">
        <v>72</v>
      </c>
      <c r="C5" s="147" t="s">
        <v>74</v>
      </c>
      <c r="D5" s="148">
        <f>Fréquence!D18+Fréquence!D19</f>
        <v>0</v>
      </c>
      <c r="E5" s="267" t="e">
        <f>D5/F5</f>
        <v>#DIV/0!</v>
      </c>
      <c r="F5" s="148">
        <f>D5+D4</f>
        <v>0</v>
      </c>
      <c r="G5" s="267" t="e">
        <f>E5+E4</f>
        <v>#DIV/0!</v>
      </c>
    </row>
    <row r="6" spans="1:7">
      <c r="A6" s="151"/>
      <c r="B6" s="2"/>
      <c r="C6" s="147"/>
      <c r="D6" s="148"/>
      <c r="E6" s="267"/>
      <c r="F6" s="148"/>
      <c r="G6" s="267"/>
    </row>
    <row r="7" spans="1:7">
      <c r="A7" s="151"/>
      <c r="B7" s="146"/>
      <c r="C7" s="268"/>
      <c r="D7" s="148"/>
      <c r="E7" s="267"/>
      <c r="F7" s="148"/>
      <c r="G7" s="267"/>
    </row>
    <row r="8" spans="1:7">
      <c r="A8" s="154"/>
      <c r="B8" s="154"/>
      <c r="C8" s="154"/>
      <c r="D8" s="154"/>
      <c r="E8" s="154"/>
      <c r="F8" s="154"/>
      <c r="G8" s="154"/>
    </row>
    <row r="9" spans="1:7">
      <c r="A9" s="159" t="s">
        <v>351</v>
      </c>
      <c r="B9" s="160"/>
      <c r="C9" s="161"/>
      <c r="D9" s="162"/>
      <c r="E9" s="162"/>
      <c r="F9" s="162"/>
      <c r="G9" s="162"/>
    </row>
    <row r="10" spans="1:7">
      <c r="A10" s="280" t="s">
        <v>278</v>
      </c>
      <c r="B10" s="146" t="s">
        <v>376</v>
      </c>
      <c r="C10" s="161">
        <v>0</v>
      </c>
      <c r="D10" s="162">
        <f>F10</f>
        <v>0</v>
      </c>
      <c r="E10" s="163" t="e">
        <f>D10/$F$14</f>
        <v>#DIV/0!</v>
      </c>
      <c r="F10" s="162">
        <f>FREQUENCY('Grille de saisie'!$E$3:$E$602,C10)</f>
        <v>0</v>
      </c>
      <c r="G10" s="163" t="e">
        <f>E10</f>
        <v>#DIV/0!</v>
      </c>
    </row>
    <row r="11" spans="1:7">
      <c r="A11" s="164" t="s">
        <v>634</v>
      </c>
      <c r="B11" s="146" t="s">
        <v>3</v>
      </c>
      <c r="C11" s="161">
        <v>1</v>
      </c>
      <c r="D11" s="162">
        <f>F11-F10</f>
        <v>0</v>
      </c>
      <c r="E11" s="163" t="e">
        <f t="shared" ref="E11:E14" si="0">D11/$F$14</f>
        <v>#DIV/0!</v>
      </c>
      <c r="F11" s="162">
        <f>FREQUENCY('Grille de saisie'!$E$3:$E$602,C11)</f>
        <v>0</v>
      </c>
      <c r="G11" s="163" t="e">
        <f>E11+E10</f>
        <v>#DIV/0!</v>
      </c>
    </row>
    <row r="12" spans="1:7">
      <c r="A12" s="164"/>
      <c r="B12" s="146" t="s">
        <v>4</v>
      </c>
      <c r="C12" s="161">
        <v>2</v>
      </c>
      <c r="D12" s="162">
        <f>F12-F11</f>
        <v>0</v>
      </c>
      <c r="E12" s="163" t="e">
        <f t="shared" si="0"/>
        <v>#DIV/0!</v>
      </c>
      <c r="F12" s="162">
        <f>FREQUENCY('Grille de saisie'!$E$3:$E$602,C12)</f>
        <v>0</v>
      </c>
      <c r="G12" s="163" t="e">
        <f>E12+E11+E10</f>
        <v>#DIV/0!</v>
      </c>
    </row>
    <row r="13" spans="1:7">
      <c r="A13" s="164"/>
      <c r="B13" s="146" t="s">
        <v>5</v>
      </c>
      <c r="C13" s="161">
        <v>3</v>
      </c>
      <c r="D13" s="162">
        <f>F13-F12</f>
        <v>0</v>
      </c>
      <c r="E13" s="163" t="e">
        <f t="shared" si="0"/>
        <v>#DIV/0!</v>
      </c>
      <c r="F13" s="162">
        <f>FREQUENCY('Grille de saisie'!$E$3:$E$602,C13)</f>
        <v>0</v>
      </c>
      <c r="G13" s="163" t="e">
        <f>E13+E12+E11+E10</f>
        <v>#DIV/0!</v>
      </c>
    </row>
    <row r="14" spans="1:7">
      <c r="A14" s="164"/>
      <c r="B14" s="146" t="s">
        <v>375</v>
      </c>
      <c r="C14" s="161">
        <v>8</v>
      </c>
      <c r="D14" s="162">
        <f>F14-F13</f>
        <v>0</v>
      </c>
      <c r="E14" s="163" t="e">
        <f t="shared" si="0"/>
        <v>#DIV/0!</v>
      </c>
      <c r="F14" s="162">
        <f>FREQUENCY('Grille de saisie'!$E$3:$E$602,C14)</f>
        <v>0</v>
      </c>
      <c r="G14" s="163" t="e">
        <f>E14+E13+E12+E11+E10</f>
        <v>#DIV/0!</v>
      </c>
    </row>
    <row r="15" spans="1:7">
      <c r="A15" s="165"/>
      <c r="B15" s="166"/>
      <c r="C15" s="167"/>
      <c r="D15" s="168"/>
      <c r="E15" s="163"/>
      <c r="F15" s="168"/>
      <c r="G15" s="169"/>
    </row>
    <row r="16" spans="1:7">
      <c r="A16" s="128" t="s">
        <v>129</v>
      </c>
      <c r="B16" s="170"/>
      <c r="C16" s="147"/>
      <c r="D16" s="149"/>
      <c r="E16" s="171"/>
      <c r="F16" s="148"/>
      <c r="G16" s="148"/>
    </row>
    <row r="17" spans="1:7">
      <c r="A17" s="172" t="s">
        <v>377</v>
      </c>
      <c r="B17" s="2" t="s">
        <v>75</v>
      </c>
      <c r="C17" s="26" t="s">
        <v>73</v>
      </c>
      <c r="D17" s="148">
        <f>Fréquence!D29+Fréquence!D30</f>
        <v>0</v>
      </c>
      <c r="E17" s="173" t="e">
        <f>D17/F18</f>
        <v>#DIV/0!</v>
      </c>
      <c r="F17" s="148">
        <f>D17</f>
        <v>0</v>
      </c>
      <c r="G17" s="267" t="e">
        <f>E17</f>
        <v>#DIV/0!</v>
      </c>
    </row>
    <row r="18" spans="1:7">
      <c r="A18" s="172" t="s">
        <v>179</v>
      </c>
      <c r="B18" s="3" t="s">
        <v>76</v>
      </c>
      <c r="C18" s="26" t="s">
        <v>74</v>
      </c>
      <c r="D18" s="148">
        <f>Fréquence!D31+Fréquence!D32</f>
        <v>0</v>
      </c>
      <c r="E18" s="173" t="e">
        <f>D18/F18</f>
        <v>#DIV/0!</v>
      </c>
      <c r="F18" s="148">
        <f>D18+D17</f>
        <v>0</v>
      </c>
      <c r="G18" s="267" t="e">
        <f>E18+E17</f>
        <v>#DIV/0!</v>
      </c>
    </row>
    <row r="19" spans="1:7">
      <c r="A19" s="151" t="s">
        <v>378</v>
      </c>
      <c r="B19" s="146"/>
      <c r="C19" s="147"/>
      <c r="D19" s="148"/>
      <c r="E19" s="173"/>
      <c r="F19" s="148"/>
      <c r="G19" s="267"/>
    </row>
    <row r="20" spans="1:7">
      <c r="A20" s="151"/>
      <c r="B20" s="153"/>
      <c r="C20" s="147"/>
      <c r="D20" s="148"/>
      <c r="E20" s="173"/>
      <c r="F20" s="148"/>
      <c r="G20" s="267"/>
    </row>
    <row r="21" spans="1:7">
      <c r="A21" s="154"/>
      <c r="B21" s="282"/>
      <c r="C21" s="156"/>
      <c r="D21" s="157"/>
      <c r="E21" s="350"/>
      <c r="F21" s="157"/>
      <c r="G21" s="158"/>
    </row>
  </sheetData>
  <sheetProtection password="EF72" sheet="1" objects="1" scenarios="1"/>
  <mergeCells count="7">
    <mergeCell ref="E1:E2"/>
    <mergeCell ref="F1:F2"/>
    <mergeCell ref="G1:G2"/>
    <mergeCell ref="A1:A2"/>
    <mergeCell ref="B1:B2"/>
    <mergeCell ref="C1:C2"/>
    <mergeCell ref="D1:D2"/>
  </mergeCells>
  <phoneticPr fontId="9" type="noConversion"/>
  <pageMargins left="0.78740157480314965" right="0.78740157480314965" top="1.1811023622047245" bottom="0.98425196850393704" header="0.51181102362204722" footer="0.51181102362204722"/>
  <pageSetup scale="55" orientation="portrait" r:id="rId1"/>
  <headerFooter alignWithMargins="0">
    <oddHeader>&amp;L
[Lieu, année]&amp;C&amp;"Arial,Gras"&amp;11Réponse obtenue sur la perception de la sécurité</oddHeader>
    <oddFooter xml:space="preserve">&amp;LSource : Inscrire le nom de l'enquête
</oddFooter>
  </headerFooter>
  <rowBreaks count="1" manualBreakCount="1">
    <brk id="30" max="6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 codeName="Feuil31" enableFormatConditionsCalculation="0">
    <tabColor indexed="12"/>
  </sheetPr>
  <dimension ref="A1:G64"/>
  <sheetViews>
    <sheetView view="pageBreakPreview" zoomScale="90" zoomScaleNormal="90" workbookViewId="0">
      <selection activeCell="F46" sqref="F46"/>
    </sheetView>
  </sheetViews>
  <sheetFormatPr baseColWidth="10" defaultRowHeight="12.75"/>
  <cols>
    <col min="1" max="1" width="34.85546875" style="1" customWidth="1"/>
    <col min="2" max="2" width="39.85546875" style="1" customWidth="1"/>
    <col min="3" max="3" width="5.7109375" style="1" customWidth="1"/>
    <col min="4" max="4" width="13.140625" style="7" customWidth="1"/>
    <col min="5" max="5" width="15" style="7" customWidth="1"/>
    <col min="6" max="6" width="14.85546875" style="7" customWidth="1"/>
    <col min="7" max="7" width="15.42578125" style="7" customWidth="1"/>
    <col min="8" max="16384" width="11.42578125" style="1"/>
  </cols>
  <sheetData>
    <row r="1" spans="1:7" s="4" customFormat="1">
      <c r="A1" s="584" t="s">
        <v>7</v>
      </c>
      <c r="B1" s="584" t="s">
        <v>6</v>
      </c>
      <c r="C1" s="584" t="s">
        <v>20</v>
      </c>
      <c r="D1" s="584" t="s">
        <v>16</v>
      </c>
      <c r="E1" s="584" t="s">
        <v>17</v>
      </c>
      <c r="F1" s="584" t="s">
        <v>18</v>
      </c>
      <c r="G1" s="582" t="s">
        <v>19</v>
      </c>
    </row>
    <row r="2" spans="1:7" s="4" customFormat="1">
      <c r="A2" s="585"/>
      <c r="B2" s="586"/>
      <c r="C2" s="586"/>
      <c r="D2" s="586"/>
      <c r="E2" s="587"/>
      <c r="F2" s="586"/>
      <c r="G2" s="583"/>
    </row>
    <row r="3" spans="1:7">
      <c r="A3" s="183" t="s">
        <v>524</v>
      </c>
      <c r="B3" s="150"/>
      <c r="C3" s="268"/>
      <c r="D3" s="184"/>
      <c r="E3" s="148"/>
      <c r="F3" s="184"/>
      <c r="G3" s="149"/>
    </row>
    <row r="4" spans="1:7">
      <c r="A4" s="281" t="s">
        <v>379</v>
      </c>
      <c r="B4" s="1" t="s">
        <v>279</v>
      </c>
      <c r="C4" s="271" t="s">
        <v>73</v>
      </c>
      <c r="D4" s="184">
        <f>Fréquence!D35+Fréquence!D36</f>
        <v>0</v>
      </c>
      <c r="E4" s="267" t="e">
        <f>D4/F5</f>
        <v>#DIV/0!</v>
      </c>
      <c r="F4" s="184">
        <f>D4</f>
        <v>0</v>
      </c>
      <c r="G4" s="267" t="e">
        <f>E4</f>
        <v>#DIV/0!</v>
      </c>
    </row>
    <row r="5" spans="1:7">
      <c r="A5" s="146" t="s">
        <v>25</v>
      </c>
      <c r="B5" s="1" t="s">
        <v>280</v>
      </c>
      <c r="C5" s="271" t="s">
        <v>74</v>
      </c>
      <c r="D5" s="184">
        <f>Fréquence!D37+Fréquence!D38</f>
        <v>0</v>
      </c>
      <c r="E5" s="267" t="e">
        <f>D5/F5</f>
        <v>#DIV/0!</v>
      </c>
      <c r="F5" s="184">
        <f>D5+D4</f>
        <v>0</v>
      </c>
      <c r="G5" s="267" t="e">
        <f>E5+E4</f>
        <v>#DIV/0!</v>
      </c>
    </row>
    <row r="6" spans="1:7">
      <c r="A6" s="281" t="s">
        <v>380</v>
      </c>
      <c r="B6" s="150"/>
      <c r="C6" s="268"/>
      <c r="D6" s="184"/>
      <c r="E6" s="176"/>
      <c r="F6" s="184"/>
      <c r="G6" s="176"/>
    </row>
    <row r="7" spans="1:7">
      <c r="A7" s="281" t="s">
        <v>381</v>
      </c>
      <c r="B7" s="150"/>
      <c r="C7" s="268"/>
      <c r="D7" s="184"/>
      <c r="E7" s="176"/>
      <c r="F7" s="184"/>
      <c r="G7" s="176"/>
    </row>
    <row r="8" spans="1:7">
      <c r="A8" s="185" t="s">
        <v>872</v>
      </c>
      <c r="B8" s="150"/>
      <c r="C8" s="268"/>
      <c r="D8" s="184"/>
      <c r="E8" s="176"/>
      <c r="F8" s="184"/>
      <c r="G8" s="176"/>
    </row>
    <row r="9" spans="1:7">
      <c r="A9" s="187"/>
      <c r="B9" s="178"/>
      <c r="C9" s="268"/>
      <c r="D9" s="184"/>
      <c r="E9" s="176"/>
      <c r="F9" s="184"/>
      <c r="G9" s="176"/>
    </row>
    <row r="10" spans="1:7">
      <c r="A10" s="183" t="s">
        <v>525</v>
      </c>
      <c r="B10" s="170"/>
      <c r="C10" s="188"/>
      <c r="D10" s="149"/>
      <c r="E10" s="189"/>
      <c r="F10" s="149"/>
      <c r="G10" s="149"/>
    </row>
    <row r="11" spans="1:7">
      <c r="A11" s="281" t="s">
        <v>379</v>
      </c>
      <c r="B11" s="1" t="s">
        <v>279</v>
      </c>
      <c r="C11" s="271" t="s">
        <v>73</v>
      </c>
      <c r="D11" s="148">
        <f>Fréquence!D42+Fréquence!D43</f>
        <v>0</v>
      </c>
      <c r="E11" s="213" t="e">
        <f>D11/$F$12</f>
        <v>#DIV/0!</v>
      </c>
      <c r="F11" s="148">
        <f>D11</f>
        <v>0</v>
      </c>
      <c r="G11" s="267" t="e">
        <f>E11</f>
        <v>#DIV/0!</v>
      </c>
    </row>
    <row r="12" spans="1:7">
      <c r="A12" s="146" t="s">
        <v>25</v>
      </c>
      <c r="B12" s="1" t="s">
        <v>280</v>
      </c>
      <c r="C12" s="271" t="s">
        <v>74</v>
      </c>
      <c r="D12" s="148">
        <f>Fréquence!D44+Fréquence!D45</f>
        <v>0</v>
      </c>
      <c r="E12" s="213" t="e">
        <f>D12/$F$12</f>
        <v>#DIV/0!</v>
      </c>
      <c r="F12" s="148">
        <f>D12+D11</f>
        <v>0</v>
      </c>
      <c r="G12" s="267" t="e">
        <f>E12+E11</f>
        <v>#DIV/0!</v>
      </c>
    </row>
    <row r="13" spans="1:7">
      <c r="A13" s="281" t="s">
        <v>380</v>
      </c>
      <c r="B13" s="146"/>
      <c r="C13" s="268"/>
      <c r="D13" s="148"/>
      <c r="E13" s="190"/>
      <c r="F13" s="148"/>
      <c r="G13" s="176"/>
    </row>
    <row r="14" spans="1:7">
      <c r="A14" s="128" t="s">
        <v>382</v>
      </c>
      <c r="B14" s="146"/>
      <c r="C14" s="268"/>
      <c r="D14" s="148"/>
      <c r="E14" s="190"/>
      <c r="F14" s="148"/>
      <c r="G14" s="176"/>
    </row>
    <row r="15" spans="1:7">
      <c r="A15" s="185" t="s">
        <v>873</v>
      </c>
      <c r="B15" s="150"/>
      <c r="C15" s="268"/>
      <c r="D15" s="148"/>
      <c r="E15" s="190"/>
      <c r="F15" s="148"/>
      <c r="G15" s="176"/>
    </row>
    <row r="16" spans="1:7">
      <c r="A16" s="186" t="s">
        <v>180</v>
      </c>
      <c r="B16" s="178"/>
      <c r="C16" s="268"/>
      <c r="D16" s="148"/>
      <c r="E16" s="190"/>
      <c r="F16" s="148"/>
      <c r="G16" s="176"/>
    </row>
    <row r="17" spans="1:7">
      <c r="A17" s="191"/>
      <c r="B17" s="178"/>
      <c r="C17" s="270"/>
      <c r="D17" s="157"/>
      <c r="E17" s="182"/>
      <c r="F17" s="148"/>
      <c r="G17" s="182"/>
    </row>
    <row r="18" spans="1:7">
      <c r="A18" s="174" t="s">
        <v>526</v>
      </c>
      <c r="B18" s="170"/>
      <c r="C18" s="192"/>
      <c r="D18" s="149"/>
      <c r="E18" s="184"/>
      <c r="F18" s="149"/>
      <c r="G18" s="149"/>
    </row>
    <row r="19" spans="1:7">
      <c r="A19" s="281" t="s">
        <v>379</v>
      </c>
      <c r="B19" s="1" t="s">
        <v>279</v>
      </c>
      <c r="C19" s="271" t="s">
        <v>73</v>
      </c>
      <c r="D19" s="148">
        <f>Fréquence!D50+Fréquence!D51</f>
        <v>0</v>
      </c>
      <c r="E19" s="193" t="e">
        <f>D19/$F$20</f>
        <v>#DIV/0!</v>
      </c>
      <c r="F19" s="148">
        <f>D19</f>
        <v>0</v>
      </c>
      <c r="G19" s="267" t="e">
        <f>E19</f>
        <v>#DIV/0!</v>
      </c>
    </row>
    <row r="20" spans="1:7">
      <c r="A20" s="146" t="s">
        <v>25</v>
      </c>
      <c r="B20" s="1" t="s">
        <v>280</v>
      </c>
      <c r="C20" s="271" t="s">
        <v>74</v>
      </c>
      <c r="D20" s="148">
        <f>Fréquence!D52+Fréquence!D53</f>
        <v>0</v>
      </c>
      <c r="E20" s="193" t="e">
        <f>D20/$F$20</f>
        <v>#DIV/0!</v>
      </c>
      <c r="F20" s="148">
        <f>D20+D19</f>
        <v>0</v>
      </c>
      <c r="G20" s="267" t="e">
        <f>E20+E19</f>
        <v>#DIV/0!</v>
      </c>
    </row>
    <row r="21" spans="1:7">
      <c r="A21" s="281" t="s">
        <v>380</v>
      </c>
      <c r="B21" s="146"/>
      <c r="C21" s="268"/>
      <c r="D21" s="148"/>
      <c r="E21" s="193"/>
      <c r="F21" s="148"/>
      <c r="G21" s="267"/>
    </row>
    <row r="22" spans="1:7">
      <c r="A22" s="128" t="s">
        <v>383</v>
      </c>
      <c r="B22" s="146"/>
      <c r="C22" s="268"/>
      <c r="D22" s="148"/>
      <c r="E22" s="193"/>
      <c r="F22" s="148"/>
      <c r="G22" s="267"/>
    </row>
    <row r="23" spans="1:7">
      <c r="A23" s="185" t="s">
        <v>181</v>
      </c>
      <c r="B23" s="150"/>
      <c r="C23" s="268"/>
      <c r="D23" s="148"/>
      <c r="E23" s="193"/>
      <c r="F23" s="148"/>
      <c r="G23" s="267"/>
    </row>
    <row r="24" spans="1:7">
      <c r="A24" s="185" t="s">
        <v>874</v>
      </c>
      <c r="B24" s="177"/>
      <c r="C24" s="268"/>
      <c r="D24" s="194"/>
      <c r="E24" s="193"/>
      <c r="F24" s="148"/>
      <c r="G24" s="267"/>
    </row>
    <row r="25" spans="1:7">
      <c r="A25" s="195"/>
      <c r="B25" s="155"/>
      <c r="C25" s="270"/>
      <c r="D25" s="196"/>
      <c r="E25" s="197"/>
      <c r="F25" s="157"/>
      <c r="G25" s="158"/>
    </row>
    <row r="26" spans="1:7">
      <c r="A26" s="174" t="s">
        <v>528</v>
      </c>
      <c r="B26" s="146"/>
      <c r="C26" s="268"/>
      <c r="D26" s="198"/>
      <c r="E26" s="176"/>
      <c r="F26" s="184"/>
      <c r="G26" s="176"/>
    </row>
    <row r="27" spans="1:7">
      <c r="A27" s="172" t="s">
        <v>385</v>
      </c>
      <c r="B27" s="2" t="s">
        <v>279</v>
      </c>
      <c r="C27" s="271" t="s">
        <v>73</v>
      </c>
      <c r="D27" s="184">
        <f>Fréquence!D58+Fréquence!D59</f>
        <v>0</v>
      </c>
      <c r="E27" s="267" t="e">
        <f>D27/F28</f>
        <v>#DIV/0!</v>
      </c>
      <c r="F27" s="184">
        <f>D27</f>
        <v>0</v>
      </c>
      <c r="G27" s="267" t="e">
        <f>E27</f>
        <v>#DIV/0!</v>
      </c>
    </row>
    <row r="28" spans="1:7">
      <c r="A28" s="172" t="s">
        <v>386</v>
      </c>
      <c r="B28" s="2" t="s">
        <v>280</v>
      </c>
      <c r="C28" s="271" t="s">
        <v>74</v>
      </c>
      <c r="D28" s="184">
        <f>Fréquence!D60+Fréquence!D61</f>
        <v>0</v>
      </c>
      <c r="E28" s="267" t="e">
        <f>D28/F28</f>
        <v>#DIV/0!</v>
      </c>
      <c r="F28" s="184">
        <f>D28+D27</f>
        <v>0</v>
      </c>
      <c r="G28" s="267" t="e">
        <f>E28+E27</f>
        <v>#DIV/0!</v>
      </c>
    </row>
    <row r="29" spans="1:7">
      <c r="A29" s="172" t="s">
        <v>387</v>
      </c>
      <c r="B29" s="153"/>
      <c r="C29" s="268"/>
      <c r="D29" s="184"/>
      <c r="E29" s="267"/>
      <c r="F29" s="184"/>
      <c r="G29" s="267"/>
    </row>
    <row r="30" spans="1:7">
      <c r="A30" s="172" t="s">
        <v>388</v>
      </c>
      <c r="B30" s="153"/>
      <c r="C30" s="268"/>
      <c r="D30" s="184"/>
      <c r="E30" s="267"/>
      <c r="F30" s="184"/>
      <c r="G30" s="267"/>
    </row>
    <row r="31" spans="1:7">
      <c r="A31" s="151" t="s">
        <v>46</v>
      </c>
      <c r="B31" s="281"/>
      <c r="C31" s="268"/>
      <c r="D31" s="184"/>
      <c r="E31" s="267"/>
      <c r="F31" s="184"/>
      <c r="G31" s="267"/>
    </row>
    <row r="32" spans="1:7">
      <c r="A32" s="187"/>
      <c r="B32" s="155"/>
      <c r="C32" s="270"/>
      <c r="D32" s="196"/>
      <c r="E32" s="158"/>
      <c r="F32" s="200"/>
      <c r="G32" s="158"/>
    </row>
    <row r="33" spans="1:7" s="150" customFormat="1">
      <c r="A33" s="174" t="s">
        <v>130</v>
      </c>
      <c r="B33" s="146"/>
      <c r="C33" s="268"/>
      <c r="D33" s="198"/>
      <c r="E33" s="176"/>
      <c r="F33" s="184"/>
      <c r="G33" s="176"/>
    </row>
    <row r="34" spans="1:7" s="150" customFormat="1">
      <c r="A34" s="153" t="s">
        <v>182</v>
      </c>
      <c r="B34" s="178" t="s">
        <v>184</v>
      </c>
      <c r="C34" s="268">
        <v>1</v>
      </c>
      <c r="D34" s="184">
        <f>F34</f>
        <v>0</v>
      </c>
      <c r="E34" s="267" t="e">
        <f>D34/$F$38</f>
        <v>#DIV/0!</v>
      </c>
      <c r="F34" s="184">
        <f>FREQUENCY('Grille de saisie'!$L$3:$L$602,Fréquence!C34)</f>
        <v>0</v>
      </c>
      <c r="G34" s="267" t="e">
        <f>E34</f>
        <v>#DIV/0!</v>
      </c>
    </row>
    <row r="35" spans="1:7" s="150" customFormat="1">
      <c r="A35" s="281" t="s">
        <v>389</v>
      </c>
      <c r="B35" s="153" t="s">
        <v>185</v>
      </c>
      <c r="C35" s="268">
        <v>2</v>
      </c>
      <c r="D35" s="184">
        <f>F35-F34</f>
        <v>0</v>
      </c>
      <c r="E35" s="267" t="e">
        <f t="shared" ref="E35:E38" si="0">D35/$F$38</f>
        <v>#DIV/0!</v>
      </c>
      <c r="F35" s="184">
        <f>FREQUENCY('Grille de saisie'!$L$3:$L$602,Fréquence!C35)</f>
        <v>0</v>
      </c>
      <c r="G35" s="267" t="e">
        <f>E35+E34</f>
        <v>#DIV/0!</v>
      </c>
    </row>
    <row r="36" spans="1:7" s="150" customFormat="1">
      <c r="A36" s="281" t="s">
        <v>390</v>
      </c>
      <c r="B36" s="201" t="s">
        <v>186</v>
      </c>
      <c r="C36" s="268">
        <v>3</v>
      </c>
      <c r="D36" s="184">
        <f>F36-F35</f>
        <v>0</v>
      </c>
      <c r="E36" s="267" t="e">
        <f t="shared" si="0"/>
        <v>#DIV/0!</v>
      </c>
      <c r="F36" s="184">
        <f>FREQUENCY('Grille de saisie'!$L$3:$L$602,Fréquence!C36)</f>
        <v>0</v>
      </c>
      <c r="G36" s="267" t="e">
        <f>E36+E35+E34</f>
        <v>#DIV/0!</v>
      </c>
    </row>
    <row r="37" spans="1:7" s="150" customFormat="1">
      <c r="A37" s="153" t="s">
        <v>183</v>
      </c>
      <c r="B37" s="201" t="s">
        <v>187</v>
      </c>
      <c r="C37" s="268">
        <v>4</v>
      </c>
      <c r="D37" s="184">
        <f>F37-F36</f>
        <v>0</v>
      </c>
      <c r="E37" s="267" t="e">
        <f t="shared" si="0"/>
        <v>#DIV/0!</v>
      </c>
      <c r="F37" s="184">
        <f>FREQUENCY('Grille de saisie'!$L$3:$L$602,Fréquence!C37)</f>
        <v>0</v>
      </c>
      <c r="G37" s="267" t="e">
        <f>E37+E36+E35+E34</f>
        <v>#DIV/0!</v>
      </c>
    </row>
    <row r="38" spans="1:7" s="150" customFormat="1">
      <c r="A38" s="151"/>
      <c r="B38" s="153" t="s">
        <v>15</v>
      </c>
      <c r="C38" s="268">
        <v>5</v>
      </c>
      <c r="D38" s="184">
        <f>F38-F37</f>
        <v>0</v>
      </c>
      <c r="E38" s="267" t="e">
        <f t="shared" si="0"/>
        <v>#DIV/0!</v>
      </c>
      <c r="F38" s="184">
        <f>FREQUENCY('Grille de saisie'!$L$3:$L$602,Fréquence!C38)</f>
        <v>0</v>
      </c>
      <c r="G38" s="267" t="e">
        <f>E38+E37+E36+E35+E34</f>
        <v>#DIV/0!</v>
      </c>
    </row>
    <row r="39" spans="1:7" s="150" customFormat="1">
      <c r="A39" s="187"/>
      <c r="B39" s="155"/>
      <c r="C39" s="377"/>
      <c r="D39" s="196"/>
      <c r="E39" s="158"/>
      <c r="F39" s="200"/>
      <c r="G39" s="158"/>
    </row>
    <row r="40" spans="1:7">
      <c r="A40" s="174" t="s">
        <v>532</v>
      </c>
      <c r="B40" s="146"/>
      <c r="C40" s="192"/>
      <c r="D40" s="148"/>
      <c r="E40" s="211"/>
      <c r="F40" s="148"/>
      <c r="G40" s="176"/>
    </row>
    <row r="41" spans="1:7">
      <c r="A41" s="199" t="s">
        <v>220</v>
      </c>
      <c r="B41" s="27" t="s">
        <v>77</v>
      </c>
      <c r="C41" s="24">
        <v>1</v>
      </c>
      <c r="D41" s="148">
        <f>Fréquence!D93+Fréquence!D94</f>
        <v>0</v>
      </c>
      <c r="E41" s="212" t="e">
        <f>D41/F42</f>
        <v>#DIV/0!</v>
      </c>
      <c r="F41" s="148">
        <f>D41</f>
        <v>0</v>
      </c>
      <c r="G41" s="267" t="e">
        <f>E41</f>
        <v>#DIV/0!</v>
      </c>
    </row>
    <row r="42" spans="1:7">
      <c r="A42" s="128" t="s">
        <v>190</v>
      </c>
      <c r="B42" s="27" t="s">
        <v>78</v>
      </c>
      <c r="C42" s="24">
        <v>2</v>
      </c>
      <c r="D42" s="148">
        <f>Fréquence!D95+Fréquence!D96</f>
        <v>0</v>
      </c>
      <c r="E42" s="212" t="e">
        <f>D42/F42</f>
        <v>#DIV/0!</v>
      </c>
      <c r="F42" s="148">
        <f>D42+D41</f>
        <v>0</v>
      </c>
      <c r="G42" s="267" t="e">
        <f>E42+E41</f>
        <v>#DIV/0!</v>
      </c>
    </row>
    <row r="43" spans="1:7">
      <c r="A43" s="154"/>
      <c r="B43" s="155"/>
      <c r="C43" s="209"/>
      <c r="D43" s="157"/>
      <c r="E43" s="197"/>
      <c r="F43" s="157"/>
      <c r="G43" s="158"/>
    </row>
    <row r="44" spans="1:7">
      <c r="A44" s="128" t="s">
        <v>541</v>
      </c>
      <c r="B44" s="151"/>
      <c r="C44" s="268"/>
      <c r="D44" s="194"/>
      <c r="E44" s="176"/>
      <c r="F44" s="218"/>
      <c r="G44" s="176"/>
    </row>
    <row r="45" spans="1:7">
      <c r="A45" s="172" t="s">
        <v>393</v>
      </c>
      <c r="B45" s="199" t="s">
        <v>35</v>
      </c>
      <c r="C45" s="268">
        <v>1</v>
      </c>
      <c r="D45" s="194">
        <f>F45</f>
        <v>0</v>
      </c>
      <c r="E45" s="267" t="e">
        <f>D45/$F$46</f>
        <v>#DIV/0!</v>
      </c>
      <c r="F45" s="218">
        <f>FREQUENCY('Grille de saisie'!$Y$3:$Y$602,C45)</f>
        <v>0</v>
      </c>
      <c r="G45" s="267" t="e">
        <f>E45</f>
        <v>#DIV/0!</v>
      </c>
    </row>
    <row r="46" spans="1:7">
      <c r="A46" s="199" t="s">
        <v>197</v>
      </c>
      <c r="B46" s="199" t="s">
        <v>36</v>
      </c>
      <c r="C46" s="268">
        <v>2</v>
      </c>
      <c r="D46" s="194">
        <f>F46-F45</f>
        <v>0</v>
      </c>
      <c r="E46" s="267" t="e">
        <f>D46/$F$46</f>
        <v>#DIV/0!</v>
      </c>
      <c r="F46" s="218">
        <f>FREQUENCY('Grille de saisie'!$Y$3:$Y$602,C46)</f>
        <v>0</v>
      </c>
      <c r="G46" s="267" t="e">
        <f>E46+E45</f>
        <v>#DIV/0!</v>
      </c>
    </row>
    <row r="47" spans="1:7">
      <c r="A47" s="199" t="s">
        <v>198</v>
      </c>
      <c r="B47" s="199"/>
      <c r="C47" s="268"/>
      <c r="D47" s="194"/>
      <c r="E47" s="267"/>
      <c r="F47" s="218"/>
      <c r="G47" s="267"/>
    </row>
    <row r="48" spans="1:7">
      <c r="A48" s="204" t="s">
        <v>199</v>
      </c>
      <c r="B48" s="204"/>
      <c r="C48" s="270"/>
      <c r="D48" s="196"/>
      <c r="E48" s="158"/>
      <c r="F48" s="200"/>
      <c r="G48" s="158"/>
    </row>
    <row r="49" spans="1:7">
      <c r="A49" s="128" t="s">
        <v>132</v>
      </c>
      <c r="B49" s="151"/>
      <c r="C49" s="268"/>
      <c r="D49" s="194"/>
      <c r="E49" s="176"/>
      <c r="F49" s="218"/>
      <c r="G49" s="176"/>
    </row>
    <row r="50" spans="1:7">
      <c r="A50" s="199" t="s">
        <v>37</v>
      </c>
      <c r="B50" s="199" t="s">
        <v>35</v>
      </c>
      <c r="C50" s="268">
        <v>1</v>
      </c>
      <c r="D50" s="194">
        <f>F50</f>
        <v>0</v>
      </c>
      <c r="E50" s="267" t="e">
        <f>D50/$F$51</f>
        <v>#DIV/0!</v>
      </c>
      <c r="F50" s="218">
        <f>FREQUENCY('Grille de saisie'!$Z$3:$Z$602,C50)</f>
        <v>0</v>
      </c>
      <c r="G50" s="267" t="e">
        <f>E50</f>
        <v>#DIV/0!</v>
      </c>
    </row>
    <row r="51" spans="1:7">
      <c r="A51" s="199" t="s">
        <v>38</v>
      </c>
      <c r="B51" s="199" t="s">
        <v>36</v>
      </c>
      <c r="C51" s="268">
        <v>2</v>
      </c>
      <c r="D51" s="194">
        <f>F51-F50</f>
        <v>0</v>
      </c>
      <c r="E51" s="267" t="e">
        <f>D51/$F$51</f>
        <v>#DIV/0!</v>
      </c>
      <c r="F51" s="218">
        <f>FREQUENCY('Grille de saisie'!$Z$3:$Z$602,C51)</f>
        <v>0</v>
      </c>
      <c r="G51" s="267" t="e">
        <f>E51+E50</f>
        <v>#DIV/0!</v>
      </c>
    </row>
    <row r="52" spans="1:7">
      <c r="A52" s="199" t="s">
        <v>200</v>
      </c>
      <c r="B52" s="199"/>
      <c r="C52" s="268"/>
      <c r="D52" s="194"/>
      <c r="E52" s="267"/>
      <c r="F52" s="218"/>
      <c r="G52" s="267"/>
    </row>
    <row r="53" spans="1:7">
      <c r="A53" s="204" t="s">
        <v>201</v>
      </c>
      <c r="B53" s="204"/>
      <c r="C53" s="270"/>
      <c r="D53" s="196"/>
      <c r="E53" s="158"/>
      <c r="F53" s="218"/>
      <c r="G53" s="158"/>
    </row>
    <row r="54" spans="1:7">
      <c r="A54" s="288" t="s">
        <v>600</v>
      </c>
      <c r="B54" s="289"/>
      <c r="C54" s="290"/>
      <c r="D54" s="291"/>
      <c r="E54" s="292"/>
      <c r="F54" s="291"/>
      <c r="G54" s="293"/>
    </row>
    <row r="55" spans="1:7">
      <c r="A55" s="301" t="s">
        <v>64</v>
      </c>
      <c r="B55" s="302" t="s">
        <v>63</v>
      </c>
      <c r="C55" s="303">
        <v>1</v>
      </c>
      <c r="D55" s="304">
        <f>FREQUENCY('Grille de saisie'!$AA$3:$AA$602,C55)</f>
        <v>0</v>
      </c>
      <c r="E55" s="305" t="e">
        <f>D55/$F$63</f>
        <v>#DIV/0!</v>
      </c>
      <c r="F55" s="306">
        <f>D55</f>
        <v>0</v>
      </c>
      <c r="G55" s="307" t="e">
        <f>E55</f>
        <v>#DIV/0!</v>
      </c>
    </row>
    <row r="56" spans="1:7">
      <c r="A56" s="301" t="s">
        <v>65</v>
      </c>
      <c r="B56" s="302" t="s">
        <v>66</v>
      </c>
      <c r="C56" s="303">
        <v>1</v>
      </c>
      <c r="D56" s="304">
        <f>FREQUENCY('Grille de saisie'!$AB$3:$AB$602,C56)</f>
        <v>0</v>
      </c>
      <c r="E56" s="305" t="e">
        <f t="shared" ref="E56:E57" si="1">D56/$F$63</f>
        <v>#DIV/0!</v>
      </c>
      <c r="F56" s="306">
        <f>D56+D55</f>
        <v>0</v>
      </c>
      <c r="G56" s="307" t="e">
        <f>E56+E55</f>
        <v>#DIV/0!</v>
      </c>
    </row>
    <row r="57" spans="1:7">
      <c r="A57" s="301"/>
      <c r="B57" s="588" t="s">
        <v>67</v>
      </c>
      <c r="C57" s="304">
        <v>1</v>
      </c>
      <c r="D57" s="304">
        <f>FREQUENCY('Grille de saisie'!$AC$3:$AC$602,C57)</f>
        <v>0</v>
      </c>
      <c r="E57" s="305" t="e">
        <f t="shared" si="1"/>
        <v>#DIV/0!</v>
      </c>
      <c r="F57" s="304">
        <f>D57+D56+D55</f>
        <v>0</v>
      </c>
      <c r="G57" s="308" t="e">
        <f>E57+E56+E55</f>
        <v>#DIV/0!</v>
      </c>
    </row>
    <row r="58" spans="1:7">
      <c r="A58" s="301"/>
      <c r="B58" s="588"/>
      <c r="C58" s="309"/>
      <c r="D58" s="309"/>
      <c r="E58" s="310"/>
      <c r="F58" s="309"/>
      <c r="G58" s="310"/>
    </row>
    <row r="59" spans="1:7">
      <c r="A59" s="301"/>
      <c r="B59" s="311" t="s">
        <v>68</v>
      </c>
      <c r="C59" s="312">
        <v>1</v>
      </c>
      <c r="D59" s="304">
        <f>FREQUENCY('Grille de saisie'!$AD$3:$AD$602,C59)</f>
        <v>0</v>
      </c>
      <c r="E59" s="313" t="e">
        <f>D59/$F$63</f>
        <v>#DIV/0!</v>
      </c>
      <c r="F59" s="306">
        <f>D59+D57+D56+D55</f>
        <v>0</v>
      </c>
      <c r="G59" s="307" t="e">
        <f>E59+E57+E56+E55</f>
        <v>#DIV/0!</v>
      </c>
    </row>
    <row r="60" spans="1:7" ht="25.5">
      <c r="A60" s="301"/>
      <c r="B60" s="314" t="s">
        <v>69</v>
      </c>
      <c r="C60" s="304">
        <v>1</v>
      </c>
      <c r="D60" s="304">
        <f>FREQUENCY('Grille de saisie'!$AE$3:$AE$602,C60)</f>
        <v>0</v>
      </c>
      <c r="E60" s="313" t="e">
        <f>D60/$F$63</f>
        <v>#DIV/0!</v>
      </c>
      <c r="F60" s="304">
        <f>D60+D59+D57+D56+D55</f>
        <v>0</v>
      </c>
      <c r="G60" s="308" t="e">
        <f>E60+E59+E57+E56+E55</f>
        <v>#DIV/0!</v>
      </c>
    </row>
    <row r="61" spans="1:7" ht="25.5">
      <c r="A61" s="301"/>
      <c r="B61" s="311" t="s">
        <v>397</v>
      </c>
      <c r="C61" s="304">
        <v>1</v>
      </c>
      <c r="D61" s="304">
        <f>FREQUENCY('Grille de saisie'!$AF$3:$AF$602,C61)</f>
        <v>0</v>
      </c>
      <c r="E61" s="316" t="e">
        <f>D61/$F$63</f>
        <v>#DIV/0!</v>
      </c>
      <c r="F61" s="304">
        <f>D61+D60+D59+D57+D56+D55</f>
        <v>0</v>
      </c>
      <c r="G61" s="308" t="e">
        <f>E61+E60+E59+E57+E56+E55</f>
        <v>#DIV/0!</v>
      </c>
    </row>
    <row r="62" spans="1:7">
      <c r="A62" s="301"/>
      <c r="B62" s="311" t="s">
        <v>70</v>
      </c>
      <c r="C62" s="312">
        <v>1</v>
      </c>
      <c r="D62" s="304">
        <f>FREQUENCY('Grille de saisie'!$AG$3:$AG$602,C62)</f>
        <v>0</v>
      </c>
      <c r="E62" s="313" t="e">
        <f>D62/$F$63</f>
        <v>#DIV/0!</v>
      </c>
      <c r="F62" s="306">
        <f>D62+D61+D60+D59+D57+D56+D55</f>
        <v>0</v>
      </c>
      <c r="G62" s="307" t="e">
        <f>E62+E61+E60+E59+E57+E56+E55</f>
        <v>#DIV/0!</v>
      </c>
    </row>
    <row r="63" spans="1:7">
      <c r="A63" s="301"/>
      <c r="B63" s="315" t="s">
        <v>62</v>
      </c>
      <c r="C63" s="312">
        <v>1</v>
      </c>
      <c r="D63" s="304">
        <f>FREQUENCY('Grille de saisie'!$AH$3:$AH$602,C63)</f>
        <v>0</v>
      </c>
      <c r="E63" s="313" t="e">
        <f>D63/$F$63</f>
        <v>#DIV/0!</v>
      </c>
      <c r="F63" s="306">
        <f>D63+D62+D61+D60+D59+D57+D56+D55</f>
        <v>0</v>
      </c>
      <c r="G63" s="307" t="e">
        <f>E63+E62+E61+E60+E59+E57+E56+E55</f>
        <v>#DIV/0!</v>
      </c>
    </row>
    <row r="64" spans="1:7">
      <c r="A64" s="294"/>
      <c r="B64" s="295"/>
      <c r="C64" s="296"/>
      <c r="D64" s="297"/>
      <c r="E64" s="298"/>
      <c r="F64" s="299"/>
      <c r="G64" s="300"/>
    </row>
  </sheetData>
  <sheetProtection password="EF72" sheet="1" objects="1" scenarios="1"/>
  <mergeCells count="8">
    <mergeCell ref="G1:G2"/>
    <mergeCell ref="B57:B58"/>
    <mergeCell ref="E1:E2"/>
    <mergeCell ref="F1:F2"/>
    <mergeCell ref="A1:A2"/>
    <mergeCell ref="B1:B2"/>
    <mergeCell ref="C1:C2"/>
    <mergeCell ref="D1:D2"/>
  </mergeCells>
  <phoneticPr fontId="9" type="noConversion"/>
  <pageMargins left="0.78740157480314965" right="0.78740157480314965" top="1.1811023622047245" bottom="0.98425196850393704" header="0.51181102362204722" footer="0.51181102362204722"/>
  <pageSetup scale="64" orientation="portrait" r:id="rId1"/>
  <headerFooter alignWithMargins="0">
    <oddHeader>&amp;L
[Lieu, année]&amp;C&amp;"Arial,Gras"&amp;11Réponse obtenue sur la perception du risque</oddHeader>
    <oddFooter xml:space="preserve">&amp;LSource : Inscrire le nom de l'enquête
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Feuil26" enableFormatConditionsCalculation="0">
    <tabColor indexed="12"/>
  </sheetPr>
  <dimension ref="A1:G47"/>
  <sheetViews>
    <sheetView view="pageBreakPreview" zoomScale="90" zoomScaleNormal="90" workbookViewId="0">
      <pane ySplit="2" topLeftCell="A3" activePane="bottomLeft" state="frozen"/>
      <selection pane="bottomLeft" activeCell="G31" sqref="G31"/>
    </sheetView>
  </sheetViews>
  <sheetFormatPr baseColWidth="10" defaultRowHeight="12.75"/>
  <cols>
    <col min="1" max="1" width="34.5703125" style="1" customWidth="1"/>
    <col min="2" max="2" width="39.85546875" style="1" customWidth="1"/>
    <col min="3" max="3" width="5.7109375" style="1" customWidth="1"/>
    <col min="4" max="4" width="13.140625" style="7" customWidth="1"/>
    <col min="5" max="5" width="15" style="7" customWidth="1"/>
    <col min="6" max="6" width="14.85546875" style="7" customWidth="1"/>
    <col min="7" max="7" width="15.42578125" style="7" customWidth="1"/>
    <col min="8" max="16384" width="11.42578125" style="1"/>
  </cols>
  <sheetData>
    <row r="1" spans="1:7" s="4" customFormat="1">
      <c r="A1" s="584" t="s">
        <v>7</v>
      </c>
      <c r="B1" s="584" t="s">
        <v>6</v>
      </c>
      <c r="C1" s="584" t="s">
        <v>20</v>
      </c>
      <c r="D1" s="584" t="s">
        <v>16</v>
      </c>
      <c r="E1" s="584" t="s">
        <v>17</v>
      </c>
      <c r="F1" s="584" t="s">
        <v>18</v>
      </c>
      <c r="G1" s="582" t="s">
        <v>19</v>
      </c>
    </row>
    <row r="2" spans="1:7" s="4" customFormat="1">
      <c r="A2" s="585"/>
      <c r="B2" s="586"/>
      <c r="C2" s="586"/>
      <c r="D2" s="586"/>
      <c r="E2" s="587"/>
      <c r="F2" s="586"/>
      <c r="G2" s="583"/>
    </row>
    <row r="3" spans="1:7" s="150" customFormat="1">
      <c r="A3" s="128" t="s">
        <v>131</v>
      </c>
      <c r="B3" s="201"/>
      <c r="C3" s="188"/>
      <c r="D3" s="194"/>
      <c r="E3" s="202"/>
      <c r="F3" s="194"/>
      <c r="G3" s="203"/>
    </row>
    <row r="4" spans="1:7" s="150" customFormat="1">
      <c r="A4" s="283" t="s">
        <v>391</v>
      </c>
      <c r="B4" s="180"/>
      <c r="C4" s="205"/>
      <c r="D4" s="196"/>
      <c r="E4" s="206"/>
      <c r="F4" s="196"/>
      <c r="G4" s="207"/>
    </row>
    <row r="5" spans="1:7" s="150" customFormat="1">
      <c r="A5" s="128" t="s">
        <v>529</v>
      </c>
      <c r="B5" s="146"/>
      <c r="C5" s="208"/>
      <c r="D5" s="184"/>
      <c r="E5" s="176"/>
      <c r="F5" s="184"/>
      <c r="G5" s="176"/>
    </row>
    <row r="6" spans="1:7" s="150" customFormat="1">
      <c r="A6" s="199" t="s">
        <v>216</v>
      </c>
      <c r="B6" s="281" t="s">
        <v>77</v>
      </c>
      <c r="C6" s="208" t="s">
        <v>73</v>
      </c>
      <c r="D6" s="184">
        <f>Fréquence!D75+Fréquence!D76</f>
        <v>0</v>
      </c>
      <c r="E6" s="267" t="e">
        <f>D6/F7</f>
        <v>#DIV/0!</v>
      </c>
      <c r="F6" s="184">
        <f>D6</f>
        <v>0</v>
      </c>
      <c r="G6" s="267" t="e">
        <f>E6</f>
        <v>#DIV/0!</v>
      </c>
    </row>
    <row r="7" spans="1:7" s="150" customFormat="1">
      <c r="A7" s="199" t="s">
        <v>188</v>
      </c>
      <c r="B7" s="281" t="s">
        <v>78</v>
      </c>
      <c r="C7" s="208" t="s">
        <v>74</v>
      </c>
      <c r="D7" s="184">
        <f>Fréquence!D77+Fréquence!D78</f>
        <v>0</v>
      </c>
      <c r="E7" s="267" t="e">
        <f>D7/F7</f>
        <v>#DIV/0!</v>
      </c>
      <c r="F7" s="184">
        <f>D7+D6</f>
        <v>0</v>
      </c>
      <c r="G7" s="267" t="e">
        <f>E7+E6</f>
        <v>#DIV/0!</v>
      </c>
    </row>
    <row r="8" spans="1:7" s="150" customFormat="1">
      <c r="A8" s="151"/>
      <c r="B8" s="155"/>
      <c r="C8" s="209"/>
      <c r="D8" s="196"/>
      <c r="E8" s="158"/>
      <c r="F8" s="200"/>
      <c r="G8" s="158"/>
    </row>
    <row r="9" spans="1:7" s="150" customFormat="1">
      <c r="A9" s="174" t="s">
        <v>530</v>
      </c>
      <c r="B9" s="146"/>
      <c r="C9" s="210"/>
      <c r="D9" s="148"/>
      <c r="E9" s="211"/>
      <c r="F9" s="148"/>
      <c r="G9" s="176"/>
    </row>
    <row r="10" spans="1:7" s="150" customFormat="1">
      <c r="A10" s="199" t="s">
        <v>217</v>
      </c>
      <c r="B10" s="281" t="s">
        <v>77</v>
      </c>
      <c r="C10" s="208" t="s">
        <v>73</v>
      </c>
      <c r="D10" s="184">
        <f>Fréquence!D81+Fréquence!D82</f>
        <v>0</v>
      </c>
      <c r="E10" s="267" t="e">
        <f>D10/F11</f>
        <v>#DIV/0!</v>
      </c>
      <c r="F10" s="184">
        <f>D10</f>
        <v>0</v>
      </c>
      <c r="G10" s="267" t="e">
        <f>E10</f>
        <v>#DIV/0!</v>
      </c>
    </row>
    <row r="11" spans="1:7" s="150" customFormat="1">
      <c r="A11" s="199" t="s">
        <v>189</v>
      </c>
      <c r="B11" s="281" t="s">
        <v>78</v>
      </c>
      <c r="C11" s="208" t="s">
        <v>74</v>
      </c>
      <c r="D11" s="184">
        <f>Fréquence!D83+Fréquence!D84</f>
        <v>0</v>
      </c>
      <c r="E11" s="267" t="e">
        <f>D11/F11</f>
        <v>#DIV/0!</v>
      </c>
      <c r="F11" s="184">
        <f>D11+D10</f>
        <v>0</v>
      </c>
      <c r="G11" s="267" t="e">
        <f>E11+E10</f>
        <v>#DIV/0!</v>
      </c>
    </row>
    <row r="12" spans="1:7" s="150" customFormat="1">
      <c r="A12" s="151"/>
      <c r="B12" s="155"/>
      <c r="C12" s="209"/>
      <c r="D12" s="157"/>
      <c r="E12" s="214"/>
      <c r="F12" s="157"/>
      <c r="G12" s="158"/>
    </row>
    <row r="13" spans="1:7" s="150" customFormat="1">
      <c r="A13" s="174" t="s">
        <v>531</v>
      </c>
      <c r="B13" s="146"/>
      <c r="C13" s="215"/>
      <c r="D13" s="194"/>
      <c r="E13" s="176"/>
      <c r="F13" s="194"/>
      <c r="G13" s="176"/>
    </row>
    <row r="14" spans="1:7" s="150" customFormat="1">
      <c r="A14" s="199" t="s">
        <v>218</v>
      </c>
      <c r="B14" s="281" t="s">
        <v>77</v>
      </c>
      <c r="C14" s="208" t="s">
        <v>73</v>
      </c>
      <c r="D14" s="184">
        <f>Fréquence!D87+Fréquence!D88</f>
        <v>0</v>
      </c>
      <c r="E14" s="267" t="e">
        <f>D14/F15</f>
        <v>#DIV/0!</v>
      </c>
      <c r="F14" s="184">
        <f>D14</f>
        <v>0</v>
      </c>
      <c r="G14" s="267" t="e">
        <f>E14</f>
        <v>#DIV/0!</v>
      </c>
    </row>
    <row r="15" spans="1:7" s="150" customFormat="1">
      <c r="A15" s="199" t="s">
        <v>219</v>
      </c>
      <c r="B15" s="281" t="s">
        <v>78</v>
      </c>
      <c r="C15" s="208" t="s">
        <v>74</v>
      </c>
      <c r="D15" s="184">
        <f>Fréquence!D89+Fréquence!D90</f>
        <v>0</v>
      </c>
      <c r="E15" s="267" t="e">
        <f>D15/F15</f>
        <v>#DIV/0!</v>
      </c>
      <c r="F15" s="184">
        <f>D15+D14</f>
        <v>0</v>
      </c>
      <c r="G15" s="267" t="e">
        <f>E15+E14</f>
        <v>#DIV/0!</v>
      </c>
    </row>
    <row r="16" spans="1:7" s="150" customFormat="1">
      <c r="A16" s="151"/>
      <c r="B16" s="155"/>
      <c r="C16" s="209"/>
      <c r="D16" s="216"/>
      <c r="E16" s="158"/>
      <c r="F16" s="200"/>
      <c r="G16" s="158"/>
    </row>
    <row r="17" spans="1:7" s="150" customFormat="1">
      <c r="A17" s="174" t="s">
        <v>532</v>
      </c>
      <c r="B17" s="146"/>
      <c r="C17" s="192"/>
      <c r="D17" s="148"/>
      <c r="E17" s="211"/>
      <c r="F17" s="148"/>
      <c r="G17" s="176"/>
    </row>
    <row r="18" spans="1:7" s="150" customFormat="1">
      <c r="A18" s="199" t="s">
        <v>220</v>
      </c>
      <c r="B18" s="281" t="s">
        <v>77</v>
      </c>
      <c r="C18" s="208" t="s">
        <v>73</v>
      </c>
      <c r="D18" s="184">
        <f>Fréquence!D93+Fréquence!D94</f>
        <v>0</v>
      </c>
      <c r="E18" s="267" t="e">
        <f>D18/F19</f>
        <v>#DIV/0!</v>
      </c>
      <c r="F18" s="184">
        <f>D18</f>
        <v>0</v>
      </c>
      <c r="G18" s="267" t="e">
        <f>E18</f>
        <v>#DIV/0!</v>
      </c>
    </row>
    <row r="19" spans="1:7" s="150" customFormat="1">
      <c r="A19" s="172" t="s">
        <v>190</v>
      </c>
      <c r="B19" s="281" t="s">
        <v>78</v>
      </c>
      <c r="C19" s="208" t="s">
        <v>74</v>
      </c>
      <c r="D19" s="184">
        <f>Fréquence!D95+Fréquence!D96</f>
        <v>0</v>
      </c>
      <c r="E19" s="267" t="e">
        <f>D19/F19</f>
        <v>#DIV/0!</v>
      </c>
      <c r="F19" s="184">
        <f>D19+D18</f>
        <v>0</v>
      </c>
      <c r="G19" s="267" t="e">
        <f>E19+E18</f>
        <v>#DIV/0!</v>
      </c>
    </row>
    <row r="20" spans="1:7" s="150" customFormat="1">
      <c r="A20" s="154"/>
      <c r="B20" s="155"/>
      <c r="C20" s="209"/>
      <c r="D20" s="157"/>
      <c r="E20" s="197"/>
      <c r="F20" s="157"/>
      <c r="G20" s="158"/>
    </row>
    <row r="21" spans="1:7" s="150" customFormat="1">
      <c r="A21" s="174" t="s">
        <v>533</v>
      </c>
      <c r="B21" s="146"/>
      <c r="C21" s="192"/>
      <c r="D21" s="148"/>
      <c r="E21" s="184"/>
      <c r="F21" s="148"/>
      <c r="G21" s="148"/>
    </row>
    <row r="22" spans="1:7" s="150" customFormat="1">
      <c r="A22" s="199" t="s">
        <v>216</v>
      </c>
      <c r="B22" s="281" t="s">
        <v>77</v>
      </c>
      <c r="C22" s="208" t="s">
        <v>73</v>
      </c>
      <c r="D22" s="184">
        <f>Fréquence!D99+Fréquence!D100</f>
        <v>0</v>
      </c>
      <c r="E22" s="267" t="e">
        <f>D22/F23</f>
        <v>#DIV/0!</v>
      </c>
      <c r="F22" s="184">
        <f>D22</f>
        <v>0</v>
      </c>
      <c r="G22" s="267" t="e">
        <f>E22</f>
        <v>#DIV/0!</v>
      </c>
    </row>
    <row r="23" spans="1:7" s="150" customFormat="1">
      <c r="A23" s="199" t="s">
        <v>221</v>
      </c>
      <c r="B23" s="281" t="s">
        <v>78</v>
      </c>
      <c r="C23" s="208" t="s">
        <v>74</v>
      </c>
      <c r="D23" s="184">
        <f>Fréquence!D101+Fréquence!D102</f>
        <v>0</v>
      </c>
      <c r="E23" s="267" t="e">
        <f>D23/F23</f>
        <v>#DIV/0!</v>
      </c>
      <c r="F23" s="184">
        <f>D23+D22</f>
        <v>0</v>
      </c>
      <c r="G23" s="267" t="e">
        <f>E23+E22</f>
        <v>#DIV/0!</v>
      </c>
    </row>
    <row r="24" spans="1:7" s="150" customFormat="1">
      <c r="A24" s="153" t="s">
        <v>190</v>
      </c>
      <c r="B24" s="153"/>
      <c r="C24" s="208"/>
      <c r="D24" s="148"/>
      <c r="E24" s="212"/>
      <c r="F24" s="148"/>
      <c r="G24" s="267"/>
    </row>
    <row r="25" spans="1:7" s="150" customFormat="1">
      <c r="A25" s="154"/>
      <c r="B25" s="155"/>
      <c r="C25" s="209"/>
      <c r="D25" s="157"/>
      <c r="E25" s="197"/>
      <c r="F25" s="157"/>
      <c r="G25" s="158"/>
    </row>
    <row r="26" spans="1:7" s="150" customFormat="1">
      <c r="A26" s="174" t="s">
        <v>534</v>
      </c>
      <c r="B26" s="170"/>
      <c r="C26" s="192"/>
      <c r="D26" s="148"/>
      <c r="E26" s="184"/>
      <c r="F26" s="148"/>
      <c r="G26" s="149"/>
    </row>
    <row r="27" spans="1:7" s="150" customFormat="1">
      <c r="A27" s="199" t="s">
        <v>222</v>
      </c>
      <c r="B27" s="281" t="s">
        <v>77</v>
      </c>
      <c r="C27" s="208" t="s">
        <v>73</v>
      </c>
      <c r="D27" s="184">
        <f>Fréquence!D105+Fréquence!D106</f>
        <v>0</v>
      </c>
      <c r="E27" s="267" t="e">
        <f>D27/F28</f>
        <v>#DIV/0!</v>
      </c>
      <c r="F27" s="184">
        <f>D27</f>
        <v>0</v>
      </c>
      <c r="G27" s="267" t="e">
        <f>E27</f>
        <v>#DIV/0!</v>
      </c>
    </row>
    <row r="28" spans="1:7" s="150" customFormat="1">
      <c r="B28" s="281" t="s">
        <v>78</v>
      </c>
      <c r="C28" s="208" t="s">
        <v>74</v>
      </c>
      <c r="D28" s="184">
        <f>Fréquence!D107+Fréquence!D108</f>
        <v>0</v>
      </c>
      <c r="E28" s="267" t="e">
        <f>D28/F28</f>
        <v>#DIV/0!</v>
      </c>
      <c r="F28" s="184">
        <f>D28+D27</f>
        <v>0</v>
      </c>
      <c r="G28" s="267" t="e">
        <f>E28+E27</f>
        <v>#DIV/0!</v>
      </c>
    </row>
    <row r="29" spans="1:7" s="150" customFormat="1">
      <c r="B29" s="155"/>
      <c r="C29" s="209"/>
      <c r="D29" s="157"/>
      <c r="E29" s="158"/>
      <c r="F29" s="148"/>
      <c r="G29" s="158"/>
    </row>
    <row r="30" spans="1:7" s="150" customFormat="1">
      <c r="A30" s="174" t="s">
        <v>535</v>
      </c>
      <c r="B30" s="170"/>
      <c r="C30" s="192"/>
      <c r="D30" s="148"/>
      <c r="E30" s="184"/>
      <c r="F30" s="149"/>
      <c r="G30" s="149"/>
    </row>
    <row r="31" spans="1:7" s="150" customFormat="1">
      <c r="A31" s="199" t="s">
        <v>223</v>
      </c>
      <c r="B31" s="281" t="s">
        <v>77</v>
      </c>
      <c r="C31" s="208" t="s">
        <v>73</v>
      </c>
      <c r="D31" s="184">
        <f>Fréquence!D111+Fréquence!D112</f>
        <v>0</v>
      </c>
      <c r="E31" s="267" t="e">
        <f>D31/F32</f>
        <v>#DIV/0!</v>
      </c>
      <c r="F31" s="184">
        <f>D31</f>
        <v>0</v>
      </c>
      <c r="G31" s="267" t="e">
        <f>E31</f>
        <v>#DIV/0!</v>
      </c>
    </row>
    <row r="32" spans="1:7" s="150" customFormat="1">
      <c r="A32" s="199" t="s">
        <v>224</v>
      </c>
      <c r="B32" s="281" t="s">
        <v>78</v>
      </c>
      <c r="C32" s="208" t="s">
        <v>74</v>
      </c>
      <c r="D32" s="184">
        <f>Fréquence!D113+Fréquence!D114</f>
        <v>0</v>
      </c>
      <c r="E32" s="267" t="e">
        <f>D32/F32</f>
        <v>#DIV/0!</v>
      </c>
      <c r="F32" s="184">
        <f>D32+D31</f>
        <v>0</v>
      </c>
      <c r="G32" s="267" t="e">
        <f>E32+E31</f>
        <v>#DIV/0!</v>
      </c>
    </row>
    <row r="33" spans="1:7" s="150" customFormat="1">
      <c r="A33" s="199" t="s">
        <v>225</v>
      </c>
      <c r="B33" s="153"/>
      <c r="C33" s="208"/>
      <c r="D33" s="148"/>
      <c r="E33" s="193"/>
      <c r="F33" s="148"/>
      <c r="G33" s="267"/>
    </row>
    <row r="34" spans="1:7" s="150" customFormat="1">
      <c r="A34" s="187"/>
      <c r="B34" s="155"/>
      <c r="C34" s="209"/>
      <c r="D34" s="157"/>
      <c r="E34" s="158"/>
      <c r="F34" s="148"/>
      <c r="G34" s="158"/>
    </row>
    <row r="35" spans="1:7" s="150" customFormat="1">
      <c r="A35" s="174" t="s">
        <v>536</v>
      </c>
      <c r="B35" s="170"/>
      <c r="C35" s="192"/>
      <c r="D35" s="148"/>
      <c r="E35" s="184"/>
      <c r="F35" s="149"/>
      <c r="G35" s="149"/>
    </row>
    <row r="36" spans="1:7" s="150" customFormat="1">
      <c r="A36" s="199" t="s">
        <v>226</v>
      </c>
      <c r="B36" s="281" t="s">
        <v>77</v>
      </c>
      <c r="C36" s="208" t="s">
        <v>73</v>
      </c>
      <c r="D36" s="184">
        <f>Fréquence!D117+Fréquence!D118</f>
        <v>0</v>
      </c>
      <c r="E36" s="267" t="e">
        <f>D36/F37</f>
        <v>#DIV/0!</v>
      </c>
      <c r="F36" s="184">
        <f>D36</f>
        <v>0</v>
      </c>
      <c r="G36" s="267" t="e">
        <f>E36</f>
        <v>#DIV/0!</v>
      </c>
    </row>
    <row r="37" spans="1:7" s="150" customFormat="1">
      <c r="A37" s="151" t="s">
        <v>191</v>
      </c>
      <c r="B37" s="281" t="s">
        <v>78</v>
      </c>
      <c r="C37" s="208" t="s">
        <v>74</v>
      </c>
      <c r="D37" s="184">
        <f>Fréquence!D119+Fréquence!D120</f>
        <v>0</v>
      </c>
      <c r="E37" s="267" t="e">
        <f>D37/F37</f>
        <v>#DIV/0!</v>
      </c>
      <c r="F37" s="184">
        <f>D37+D36</f>
        <v>0</v>
      </c>
      <c r="G37" s="267" t="e">
        <f>E37+E36</f>
        <v>#DIV/0!</v>
      </c>
    </row>
    <row r="38" spans="1:7" s="150" customFormat="1">
      <c r="A38" s="154"/>
      <c r="B38" s="155"/>
      <c r="C38" s="209"/>
      <c r="D38" s="157"/>
      <c r="E38" s="158"/>
      <c r="F38" s="148"/>
      <c r="G38" s="158"/>
    </row>
    <row r="39" spans="1:7" s="150" customFormat="1">
      <c r="A39" s="174" t="s">
        <v>537</v>
      </c>
      <c r="B39" s="170"/>
      <c r="C39" s="217"/>
      <c r="D39" s="149"/>
      <c r="E39" s="184"/>
      <c r="F39" s="149"/>
      <c r="G39" s="149"/>
    </row>
    <row r="40" spans="1:7" s="150" customFormat="1">
      <c r="A40" s="199" t="s">
        <v>227</v>
      </c>
      <c r="B40" s="281" t="s">
        <v>323</v>
      </c>
      <c r="C40" s="208" t="s">
        <v>73</v>
      </c>
      <c r="D40" s="184">
        <f>Fréquence!D123+Fréquence!D124</f>
        <v>0</v>
      </c>
      <c r="E40" s="267" t="e">
        <f>D40/F41</f>
        <v>#DIV/0!</v>
      </c>
      <c r="F40" s="184">
        <f>D40</f>
        <v>0</v>
      </c>
      <c r="G40" s="267" t="e">
        <f>E40</f>
        <v>#DIV/0!</v>
      </c>
    </row>
    <row r="41" spans="1:7" s="150" customFormat="1">
      <c r="A41" s="128"/>
      <c r="B41" s="281" t="s">
        <v>324</v>
      </c>
      <c r="C41" s="208" t="s">
        <v>74</v>
      </c>
      <c r="D41" s="184">
        <f>Fréquence!D125+Fréquence!D126</f>
        <v>0</v>
      </c>
      <c r="E41" s="267" t="e">
        <f>D41/F41</f>
        <v>#DIV/0!</v>
      </c>
      <c r="F41" s="184">
        <f>D41+D40</f>
        <v>0</v>
      </c>
      <c r="G41" s="267" t="e">
        <f>E41+E40</f>
        <v>#DIV/0!</v>
      </c>
    </row>
    <row r="42" spans="1:7" s="150" customFormat="1">
      <c r="A42" s="187"/>
      <c r="B42" s="155"/>
      <c r="C42" s="209"/>
      <c r="D42" s="157"/>
      <c r="E42" s="197"/>
      <c r="F42" s="157"/>
      <c r="G42" s="158"/>
    </row>
    <row r="43" spans="1:7" s="150" customFormat="1">
      <c r="A43" s="174" t="s">
        <v>538</v>
      </c>
      <c r="B43" s="170"/>
      <c r="C43" s="268"/>
      <c r="D43" s="184"/>
      <c r="E43" s="148"/>
      <c r="F43" s="184"/>
      <c r="G43" s="149"/>
    </row>
    <row r="44" spans="1:7" s="150" customFormat="1">
      <c r="A44" s="199" t="s">
        <v>228</v>
      </c>
      <c r="B44" s="281" t="s">
        <v>323</v>
      </c>
      <c r="C44" s="208" t="s">
        <v>73</v>
      </c>
      <c r="D44" s="184">
        <f>Fréquence!D129+Fréquence!D130</f>
        <v>0</v>
      </c>
      <c r="E44" s="267" t="e">
        <f>D44/F45</f>
        <v>#DIV/0!</v>
      </c>
      <c r="F44" s="184">
        <f>D44</f>
        <v>0</v>
      </c>
      <c r="G44" s="267" t="e">
        <f>E44</f>
        <v>#DIV/0!</v>
      </c>
    </row>
    <row r="45" spans="1:7" s="150" customFormat="1">
      <c r="A45" s="199" t="s">
        <v>229</v>
      </c>
      <c r="B45" s="281" t="s">
        <v>324</v>
      </c>
      <c r="C45" s="208" t="s">
        <v>74</v>
      </c>
      <c r="D45" s="184">
        <f>Fréquence!D131+Fréquence!D132</f>
        <v>0</v>
      </c>
      <c r="E45" s="267" t="e">
        <f>D45/F45</f>
        <v>#DIV/0!</v>
      </c>
      <c r="F45" s="184">
        <f>D45+D44</f>
        <v>0</v>
      </c>
      <c r="G45" s="267" t="e">
        <f>E45+E44</f>
        <v>#DIV/0!</v>
      </c>
    </row>
    <row r="46" spans="1:7" s="150" customFormat="1">
      <c r="A46" s="199" t="s">
        <v>190</v>
      </c>
      <c r="B46" s="153"/>
      <c r="C46" s="208"/>
      <c r="D46" s="184"/>
      <c r="E46" s="267"/>
      <c r="F46" s="184"/>
      <c r="G46" s="267"/>
    </row>
    <row r="47" spans="1:7" s="150" customFormat="1">
      <c r="A47" s="154"/>
      <c r="B47" s="155"/>
      <c r="C47" s="209"/>
      <c r="D47" s="196"/>
      <c r="E47" s="158"/>
      <c r="F47" s="200"/>
      <c r="G47" s="158"/>
    </row>
  </sheetData>
  <sheetProtection password="EF72" sheet="1" objects="1" scenarios="1"/>
  <mergeCells count="7">
    <mergeCell ref="F1:F2"/>
    <mergeCell ref="G1:G2"/>
    <mergeCell ref="A1:A2"/>
    <mergeCell ref="B1:B2"/>
    <mergeCell ref="C1:C2"/>
    <mergeCell ref="D1:D2"/>
    <mergeCell ref="E1:E2"/>
  </mergeCells>
  <phoneticPr fontId="9" type="noConversion"/>
  <pageMargins left="0.78740157480314965" right="0.78740157480314965" top="1.1811023622047245" bottom="0.98425196850393704" header="0.51181102362204722" footer="0.51181102362204722"/>
  <pageSetup scale="64" orientation="portrait" r:id="rId1"/>
  <headerFooter alignWithMargins="0">
    <oddHeader>&amp;L
[Lieu, année]&amp;C&amp;"Arial,Gras"&amp;11Réponse obtenue sur la victimation contre les biens</oddHeader>
    <oddFooter xml:space="preserve">&amp;LSource : Inscrire le nom de l'enquête
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Feuil23" enableFormatConditionsCalculation="0">
    <tabColor indexed="12"/>
  </sheetPr>
  <dimension ref="A1:G28"/>
  <sheetViews>
    <sheetView view="pageBreakPreview" zoomScale="90" zoomScaleNormal="90" workbookViewId="0">
      <selection activeCell="E38" sqref="E38"/>
    </sheetView>
  </sheetViews>
  <sheetFormatPr baseColWidth="10" defaultRowHeight="12.75"/>
  <cols>
    <col min="1" max="1" width="34.5703125" style="1" customWidth="1"/>
    <col min="2" max="2" width="39.85546875" style="1" customWidth="1"/>
    <col min="3" max="3" width="5.7109375" style="1" customWidth="1"/>
    <col min="4" max="4" width="13.140625" style="7" customWidth="1"/>
    <col min="5" max="5" width="15" style="7" customWidth="1"/>
    <col min="6" max="6" width="14.85546875" style="7" customWidth="1"/>
    <col min="7" max="7" width="15.42578125" style="7" customWidth="1"/>
    <col min="8" max="16384" width="11.42578125" style="1"/>
  </cols>
  <sheetData>
    <row r="1" spans="1:7" s="4" customFormat="1">
      <c r="A1" s="584" t="s">
        <v>7</v>
      </c>
      <c r="B1" s="584" t="s">
        <v>6</v>
      </c>
      <c r="C1" s="584" t="s">
        <v>20</v>
      </c>
      <c r="D1" s="584" t="s">
        <v>16</v>
      </c>
      <c r="E1" s="584" t="s">
        <v>17</v>
      </c>
      <c r="F1" s="584" t="s">
        <v>18</v>
      </c>
      <c r="G1" s="582" t="s">
        <v>19</v>
      </c>
    </row>
    <row r="2" spans="1:7" s="4" customFormat="1">
      <c r="A2" s="585"/>
      <c r="B2" s="586"/>
      <c r="C2" s="586"/>
      <c r="D2" s="586"/>
      <c r="E2" s="587"/>
      <c r="F2" s="586"/>
      <c r="G2" s="583"/>
    </row>
    <row r="3" spans="1:7" s="150" customFormat="1">
      <c r="A3" s="174" t="s">
        <v>632</v>
      </c>
      <c r="B3" s="170"/>
      <c r="C3" s="192"/>
      <c r="D3" s="198"/>
      <c r="E3" s="148"/>
      <c r="F3" s="184"/>
      <c r="G3" s="149"/>
    </row>
    <row r="4" spans="1:7" s="150" customFormat="1">
      <c r="A4" s="199" t="s">
        <v>230</v>
      </c>
      <c r="B4" s="3" t="s">
        <v>79</v>
      </c>
      <c r="C4" s="26" t="s">
        <v>73</v>
      </c>
      <c r="D4" s="184">
        <f>Fréquence!D135+Fréquence!D136</f>
        <v>0</v>
      </c>
      <c r="E4" s="267" t="e">
        <f>D4/F5</f>
        <v>#DIV/0!</v>
      </c>
      <c r="F4" s="184">
        <f>D4</f>
        <v>0</v>
      </c>
      <c r="G4" s="267" t="e">
        <f>E4</f>
        <v>#DIV/0!</v>
      </c>
    </row>
    <row r="5" spans="1:7" s="150" customFormat="1">
      <c r="A5" s="199" t="s">
        <v>195</v>
      </c>
      <c r="B5" s="2" t="s">
        <v>80</v>
      </c>
      <c r="C5" s="26" t="s">
        <v>74</v>
      </c>
      <c r="D5" s="184">
        <f>Fréquence!D137+Fréquence!D138</f>
        <v>0</v>
      </c>
      <c r="E5" s="267" t="e">
        <f>D5/F5</f>
        <v>#DIV/0!</v>
      </c>
      <c r="F5" s="184">
        <f>D5+D4</f>
        <v>0</v>
      </c>
      <c r="G5" s="267" t="e">
        <f>E5+E4</f>
        <v>#DIV/0!</v>
      </c>
    </row>
    <row r="6" spans="1:7" s="150" customFormat="1">
      <c r="A6" s="154"/>
      <c r="B6" s="204"/>
      <c r="C6" s="209"/>
      <c r="D6" s="196"/>
      <c r="E6" s="158"/>
      <c r="F6" s="200"/>
      <c r="G6" s="158"/>
    </row>
    <row r="7" spans="1:7" s="150" customFormat="1">
      <c r="A7" s="128" t="s">
        <v>633</v>
      </c>
      <c r="B7" s="146"/>
      <c r="C7" s="192"/>
      <c r="D7" s="198"/>
      <c r="E7" s="148"/>
      <c r="F7" s="184"/>
      <c r="G7" s="148"/>
    </row>
    <row r="8" spans="1:7" s="150" customFormat="1">
      <c r="A8" s="199" t="s">
        <v>231</v>
      </c>
      <c r="B8" s="3" t="s">
        <v>79</v>
      </c>
      <c r="C8" s="26" t="s">
        <v>73</v>
      </c>
      <c r="D8" s="184">
        <f>Fréquence!D141+Fréquence!D142</f>
        <v>0</v>
      </c>
      <c r="E8" s="267" t="e">
        <f>D8/F9</f>
        <v>#DIV/0!</v>
      </c>
      <c r="F8" s="184">
        <f>D8</f>
        <v>0</v>
      </c>
      <c r="G8" s="267" t="e">
        <f>E8</f>
        <v>#DIV/0!</v>
      </c>
    </row>
    <row r="9" spans="1:7" s="150" customFormat="1">
      <c r="A9" s="199" t="s">
        <v>196</v>
      </c>
      <c r="B9" s="2" t="s">
        <v>80</v>
      </c>
      <c r="C9" s="26" t="s">
        <v>74</v>
      </c>
      <c r="D9" s="184">
        <f>Fréquence!D143+Fréquence!D144</f>
        <v>0</v>
      </c>
      <c r="E9" s="267" t="e">
        <f>D9/F9</f>
        <v>#DIV/0!</v>
      </c>
      <c r="F9" s="184">
        <f>D9+D8</f>
        <v>0</v>
      </c>
      <c r="G9" s="267" t="e">
        <f>E9+E8</f>
        <v>#DIV/0!</v>
      </c>
    </row>
    <row r="10" spans="1:7" s="150" customFormat="1">
      <c r="A10" s="154"/>
      <c r="B10" s="204"/>
      <c r="C10" s="209"/>
      <c r="D10" s="196"/>
      <c r="E10" s="158"/>
      <c r="F10" s="200"/>
      <c r="G10" s="158"/>
    </row>
    <row r="11" spans="1:7">
      <c r="A11" s="128" t="s">
        <v>445</v>
      </c>
      <c r="B11" s="153"/>
      <c r="C11" s="230"/>
      <c r="D11" s="148"/>
      <c r="E11" s="190"/>
      <c r="F11" s="148"/>
      <c r="G11" s="176"/>
    </row>
    <row r="12" spans="1:7">
      <c r="A12" s="172" t="s">
        <v>26</v>
      </c>
      <c r="B12" s="2" t="s">
        <v>75</v>
      </c>
      <c r="C12" s="26" t="s">
        <v>73</v>
      </c>
      <c r="D12" s="148">
        <f>Fréquence!D340+Fréquence!D341</f>
        <v>0</v>
      </c>
      <c r="E12" s="213" t="e">
        <f>D12/$F$13</f>
        <v>#DIV/0!</v>
      </c>
      <c r="F12" s="148">
        <f>D12</f>
        <v>0</v>
      </c>
      <c r="G12" s="267" t="e">
        <f>E12</f>
        <v>#DIV/0!</v>
      </c>
    </row>
    <row r="13" spans="1:7">
      <c r="A13" s="172" t="s">
        <v>431</v>
      </c>
      <c r="B13" s="3" t="s">
        <v>76</v>
      </c>
      <c r="C13" s="26" t="s">
        <v>74</v>
      </c>
      <c r="D13" s="148">
        <f>Fréquence!D342+Fréquence!D343</f>
        <v>0</v>
      </c>
      <c r="E13" s="213" t="e">
        <f>D13/$F$13</f>
        <v>#DIV/0!</v>
      </c>
      <c r="F13" s="148">
        <f>D13+D12</f>
        <v>0</v>
      </c>
      <c r="G13" s="267" t="e">
        <f>E13+E12</f>
        <v>#DIV/0!</v>
      </c>
    </row>
    <row r="14" spans="1:7">
      <c r="A14" s="172" t="s">
        <v>432</v>
      </c>
      <c r="B14" s="281"/>
      <c r="C14" s="230"/>
      <c r="D14" s="148"/>
      <c r="E14" s="213"/>
      <c r="F14" s="148"/>
      <c r="G14" s="267"/>
    </row>
    <row r="15" spans="1:7">
      <c r="A15" s="199" t="s">
        <v>27</v>
      </c>
      <c r="B15" s="281"/>
      <c r="C15" s="230"/>
      <c r="D15" s="148"/>
      <c r="E15" s="213"/>
      <c r="F15" s="148"/>
      <c r="G15" s="267"/>
    </row>
    <row r="16" spans="1:7">
      <c r="A16" s="154"/>
      <c r="B16" s="155"/>
      <c r="C16" s="228"/>
      <c r="D16" s="157"/>
      <c r="E16" s="206"/>
      <c r="F16" s="157"/>
      <c r="G16" s="182"/>
    </row>
    <row r="17" spans="1:7">
      <c r="A17" s="128" t="s">
        <v>365</v>
      </c>
      <c r="B17" s="199"/>
      <c r="C17" s="568"/>
      <c r="D17" s="148"/>
      <c r="E17" s="190"/>
      <c r="F17" s="148"/>
      <c r="G17" s="176"/>
    </row>
    <row r="18" spans="1:7">
      <c r="A18" s="172" t="s">
        <v>433</v>
      </c>
      <c r="B18" s="172" t="s">
        <v>879</v>
      </c>
      <c r="C18" s="227">
        <v>1</v>
      </c>
      <c r="D18" s="148">
        <f>F18</f>
        <v>0</v>
      </c>
      <c r="E18" s="213" t="e">
        <f>D18/$F$27</f>
        <v>#DIV/0!</v>
      </c>
      <c r="F18" s="148">
        <f>FREQUENCY('Grille de saisie'!$BQ$3:$BQ$602,'Cohésion et paix sociales'!C18)</f>
        <v>0</v>
      </c>
      <c r="G18" s="267" t="e">
        <f>E18</f>
        <v>#DIV/0!</v>
      </c>
    </row>
    <row r="19" spans="1:7">
      <c r="A19" s="199" t="s">
        <v>434</v>
      </c>
      <c r="B19" s="172" t="s">
        <v>880</v>
      </c>
      <c r="C19" s="227">
        <v>2</v>
      </c>
      <c r="D19" s="148">
        <f>F19-F18</f>
        <v>0</v>
      </c>
      <c r="E19" s="213" t="e">
        <f t="shared" ref="E19:E27" si="0">D19/$F$27</f>
        <v>#DIV/0!</v>
      </c>
      <c r="F19" s="148">
        <f>FREQUENCY('Grille de saisie'!$BQ$3:$BQ$602,'Cohésion et paix sociales'!C19)</f>
        <v>0</v>
      </c>
      <c r="G19" s="267" t="e">
        <f>E19+E18</f>
        <v>#DIV/0!</v>
      </c>
    </row>
    <row r="20" spans="1:7">
      <c r="A20" s="151"/>
      <c r="B20" s="172" t="s">
        <v>881</v>
      </c>
      <c r="C20" s="230">
        <v>3</v>
      </c>
      <c r="D20" s="148">
        <f>F20-F19</f>
        <v>0</v>
      </c>
      <c r="E20" s="213" t="e">
        <f t="shared" si="0"/>
        <v>#DIV/0!</v>
      </c>
      <c r="F20" s="148">
        <f>FREQUENCY('Grille de saisie'!$BQ$3:$BQ$602,'Cohésion et paix sociales'!C20)</f>
        <v>0</v>
      </c>
      <c r="G20" s="267" t="e">
        <f>E20+E19+E18</f>
        <v>#DIV/0!</v>
      </c>
    </row>
    <row r="21" spans="1:7">
      <c r="A21" s="151"/>
      <c r="B21" s="172" t="s">
        <v>882</v>
      </c>
      <c r="C21" s="210">
        <v>4</v>
      </c>
      <c r="D21" s="148">
        <f>F21-F20</f>
        <v>0</v>
      </c>
      <c r="E21" s="213" t="e">
        <f t="shared" si="0"/>
        <v>#DIV/0!</v>
      </c>
      <c r="F21" s="148">
        <f>FREQUENCY('Grille de saisie'!$BQ$3:$BQ$602,'Cohésion et paix sociales'!C21)</f>
        <v>0</v>
      </c>
      <c r="G21" s="267" t="e">
        <f>E21+E20+E19+E18</f>
        <v>#DIV/0!</v>
      </c>
    </row>
    <row r="22" spans="1:7">
      <c r="A22" s="151"/>
      <c r="B22" s="172" t="s">
        <v>883</v>
      </c>
      <c r="C22" s="210">
        <v>5</v>
      </c>
      <c r="D22" s="148">
        <f t="shared" ref="D22:D27" si="1">F22-F21</f>
        <v>0</v>
      </c>
      <c r="E22" s="213" t="e">
        <f t="shared" si="0"/>
        <v>#DIV/0!</v>
      </c>
      <c r="F22" s="148">
        <f>FREQUENCY('Grille de saisie'!$BQ$3:$BQ$602,'Cohésion et paix sociales'!C22)</f>
        <v>0</v>
      </c>
      <c r="G22" s="267" t="e">
        <f>E22+E21+E20+E19+E18</f>
        <v>#DIV/0!</v>
      </c>
    </row>
    <row r="23" spans="1:7">
      <c r="A23" s="151"/>
      <c r="B23" s="172" t="s">
        <v>884</v>
      </c>
      <c r="C23" s="210">
        <v>6</v>
      </c>
      <c r="D23" s="148">
        <f t="shared" si="1"/>
        <v>0</v>
      </c>
      <c r="E23" s="213" t="e">
        <f t="shared" si="0"/>
        <v>#DIV/0!</v>
      </c>
      <c r="F23" s="148">
        <f>FREQUENCY('Grille de saisie'!$BQ$3:$BQ$602,'Cohésion et paix sociales'!C23)</f>
        <v>0</v>
      </c>
      <c r="G23" s="267" t="e">
        <f>E23+E22+E21+E20+E19+E18</f>
        <v>#DIV/0!</v>
      </c>
    </row>
    <row r="24" spans="1:7">
      <c r="A24" s="151"/>
      <c r="B24" s="172" t="s">
        <v>435</v>
      </c>
      <c r="C24" s="210">
        <v>7</v>
      </c>
      <c r="D24" s="148">
        <f t="shared" si="1"/>
        <v>0</v>
      </c>
      <c r="E24" s="213" t="e">
        <f t="shared" si="0"/>
        <v>#DIV/0!</v>
      </c>
      <c r="F24" s="148">
        <f>FREQUENCY('Grille de saisie'!$BQ$3:$BQ$602,'Cohésion et paix sociales'!C24)</f>
        <v>0</v>
      </c>
      <c r="G24" s="267" t="e">
        <f>E24+E23+E22+E21+E20+E19+E18</f>
        <v>#DIV/0!</v>
      </c>
    </row>
    <row r="25" spans="1:7">
      <c r="A25" s="151"/>
      <c r="B25" s="172" t="s">
        <v>885</v>
      </c>
      <c r="C25" s="210">
        <v>8</v>
      </c>
      <c r="D25" s="148">
        <f t="shared" si="1"/>
        <v>0</v>
      </c>
      <c r="E25" s="213" t="e">
        <f t="shared" si="0"/>
        <v>#DIV/0!</v>
      </c>
      <c r="F25" s="148">
        <f>FREQUENCY('Grille de saisie'!$BQ$3:$BQ$602,'Cohésion et paix sociales'!C25)</f>
        <v>0</v>
      </c>
      <c r="G25" s="267" t="e">
        <f>E25+E24+E23+E22+E21+E20+E19+E18</f>
        <v>#DIV/0!</v>
      </c>
    </row>
    <row r="26" spans="1:7">
      <c r="A26" s="151"/>
      <c r="B26" s="172" t="s">
        <v>62</v>
      </c>
      <c r="C26" s="210">
        <v>96</v>
      </c>
      <c r="D26" s="148">
        <f t="shared" si="1"/>
        <v>0</v>
      </c>
      <c r="E26" s="213" t="e">
        <f t="shared" si="0"/>
        <v>#DIV/0!</v>
      </c>
      <c r="F26" s="148">
        <f>FREQUENCY('Grille de saisie'!$BQ$3:$BQ$602,'Cohésion et paix sociales'!C26)</f>
        <v>0</v>
      </c>
      <c r="G26" s="267" t="e">
        <f>E26+E25+E24+E23+E22+E21+E20+E19+E18</f>
        <v>#DIV/0!</v>
      </c>
    </row>
    <row r="27" spans="1:7">
      <c r="A27" s="151"/>
      <c r="B27" s="172" t="s">
        <v>375</v>
      </c>
      <c r="C27" s="210">
        <v>98</v>
      </c>
      <c r="D27" s="148">
        <f t="shared" si="1"/>
        <v>0</v>
      </c>
      <c r="E27" s="213" t="e">
        <f t="shared" si="0"/>
        <v>#DIV/0!</v>
      </c>
      <c r="F27" s="148">
        <f>FREQUENCY('Grille de saisie'!$BQ$3:$BQ$602,'Cohésion et paix sociales'!C27)</f>
        <v>0</v>
      </c>
      <c r="G27" s="267" t="e">
        <f>E27+E26+E25+E24+E23+E22+E21+E20+E19+E18</f>
        <v>#DIV/0!</v>
      </c>
    </row>
    <row r="28" spans="1:7">
      <c r="A28" s="154"/>
      <c r="B28" s="204"/>
      <c r="C28" s="426"/>
      <c r="D28" s="157"/>
      <c r="E28" s="197"/>
      <c r="F28" s="157"/>
      <c r="G28" s="158"/>
    </row>
  </sheetData>
  <sheetProtection password="EF72" sheet="1" objects="1" scenarios="1"/>
  <mergeCells count="7">
    <mergeCell ref="F1:F2"/>
    <mergeCell ref="G1:G2"/>
    <mergeCell ref="A1:A2"/>
    <mergeCell ref="B1:B2"/>
    <mergeCell ref="C1:C2"/>
    <mergeCell ref="D1:D2"/>
    <mergeCell ref="E1:E2"/>
  </mergeCells>
  <phoneticPr fontId="9" type="noConversion"/>
  <pageMargins left="0.78740157480314965" right="0.78740157480314965" top="1.1811023622047245" bottom="0.98425196850393704" header="0.51181102362204722" footer="0.51181102362204722"/>
  <pageSetup scale="60" orientation="portrait" r:id="rId1"/>
  <headerFooter alignWithMargins="0">
    <oddHeader>&amp;L
[Lieu, année]&amp;C&amp;"Arial,Gras"&amp;11Réponse obtenue sur la cohésion et la paix sociales</oddHeader>
    <oddFooter xml:space="preserve">&amp;LSource : Inscrire le nom de l'enquête
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Feuil32" enableFormatConditionsCalculation="0">
    <tabColor indexed="12"/>
  </sheetPr>
  <dimension ref="A1:G58"/>
  <sheetViews>
    <sheetView view="pageBreakPreview" zoomScale="90" zoomScaleNormal="90" workbookViewId="0">
      <selection activeCell="A57" sqref="A57"/>
    </sheetView>
  </sheetViews>
  <sheetFormatPr baseColWidth="10" defaultRowHeight="12.75"/>
  <cols>
    <col min="1" max="1" width="34.5703125" style="1" customWidth="1"/>
    <col min="2" max="2" width="39.85546875" style="1" customWidth="1"/>
    <col min="3" max="3" width="5.7109375" style="1" customWidth="1"/>
    <col min="4" max="4" width="13.140625" style="7" customWidth="1"/>
    <col min="5" max="5" width="15" style="7" customWidth="1"/>
    <col min="6" max="6" width="14.85546875" style="7" customWidth="1"/>
    <col min="7" max="7" width="15.42578125" style="7" customWidth="1"/>
    <col min="8" max="16384" width="11.42578125" style="1"/>
  </cols>
  <sheetData>
    <row r="1" spans="1:7" s="4" customFormat="1">
      <c r="A1" s="584" t="s">
        <v>7</v>
      </c>
      <c r="B1" s="584" t="s">
        <v>6</v>
      </c>
      <c r="C1" s="584" t="s">
        <v>20</v>
      </c>
      <c r="D1" s="584" t="s">
        <v>16</v>
      </c>
      <c r="E1" s="584" t="s">
        <v>17</v>
      </c>
      <c r="F1" s="584" t="s">
        <v>18</v>
      </c>
      <c r="G1" s="582" t="s">
        <v>19</v>
      </c>
    </row>
    <row r="2" spans="1:7" s="4" customFormat="1">
      <c r="A2" s="585"/>
      <c r="B2" s="586"/>
      <c r="C2" s="586"/>
      <c r="D2" s="586"/>
      <c r="E2" s="587"/>
      <c r="F2" s="586"/>
      <c r="G2" s="583"/>
    </row>
    <row r="3" spans="1:7" s="4" customFormat="1">
      <c r="A3" s="128" t="s">
        <v>134</v>
      </c>
      <c r="B3" s="151"/>
      <c r="C3" s="268"/>
      <c r="D3" s="194"/>
      <c r="E3" s="176"/>
      <c r="F3" s="218"/>
      <c r="G3" s="176"/>
    </row>
    <row r="4" spans="1:7">
      <c r="A4" s="172" t="s">
        <v>394</v>
      </c>
      <c r="B4" s="199" t="s">
        <v>35</v>
      </c>
      <c r="C4" s="268">
        <v>1</v>
      </c>
      <c r="D4" s="194">
        <f>F4</f>
        <v>0</v>
      </c>
      <c r="E4" s="267" t="e">
        <f>D4/F5</f>
        <v>#DIV/0!</v>
      </c>
      <c r="F4" s="218">
        <f>FREQUENCY('Grille de saisie'!$AJ$3:$AJ$602,C4)</f>
        <v>0</v>
      </c>
      <c r="G4" s="267" t="e">
        <f>E4</f>
        <v>#DIV/0!</v>
      </c>
    </row>
    <row r="5" spans="1:7">
      <c r="A5" s="172" t="s">
        <v>395</v>
      </c>
      <c r="B5" s="199" t="s">
        <v>36</v>
      </c>
      <c r="C5" s="268">
        <v>2</v>
      </c>
      <c r="D5" s="194">
        <f>F5-F4</f>
        <v>0</v>
      </c>
      <c r="E5" s="267" t="e">
        <f>D5/$F$5</f>
        <v>#DIV/0!</v>
      </c>
      <c r="F5" s="218">
        <f>FREQUENCY('Grille de saisie'!$AJ$3:$AJ$602,C5)</f>
        <v>0</v>
      </c>
      <c r="G5" s="267" t="e">
        <f>E5+E4</f>
        <v>#DIV/0!</v>
      </c>
    </row>
    <row r="6" spans="1:7">
      <c r="A6" s="172" t="s">
        <v>396</v>
      </c>
      <c r="B6" s="199"/>
      <c r="C6" s="268"/>
      <c r="D6" s="194"/>
      <c r="E6" s="267"/>
      <c r="F6" s="218"/>
      <c r="G6" s="267"/>
    </row>
    <row r="7" spans="1:7">
      <c r="A7" s="204"/>
      <c r="B7" s="204"/>
      <c r="C7" s="270"/>
      <c r="D7" s="194"/>
      <c r="E7" s="267"/>
      <c r="F7" s="218"/>
      <c r="G7" s="158"/>
    </row>
    <row r="8" spans="1:7">
      <c r="A8" s="220" t="s">
        <v>163</v>
      </c>
      <c r="B8" s="221"/>
      <c r="C8" s="188"/>
      <c r="D8" s="189"/>
      <c r="E8" s="202"/>
      <c r="F8" s="171"/>
      <c r="G8" s="222"/>
    </row>
    <row r="9" spans="1:7">
      <c r="A9" s="349" t="s">
        <v>602</v>
      </c>
      <c r="B9" s="180"/>
      <c r="C9" s="205"/>
      <c r="D9" s="196"/>
      <c r="E9" s="206"/>
      <c r="F9" s="200"/>
      <c r="G9" s="182"/>
    </row>
    <row r="10" spans="1:7">
      <c r="A10" s="128" t="s">
        <v>550</v>
      </c>
      <c r="B10" s="146"/>
      <c r="C10" s="192"/>
      <c r="D10" s="148"/>
      <c r="E10" s="184"/>
      <c r="F10" s="148"/>
      <c r="G10" s="148"/>
    </row>
    <row r="11" spans="1:7">
      <c r="A11" s="172" t="s">
        <v>398</v>
      </c>
      <c r="B11" s="153" t="s">
        <v>35</v>
      </c>
      <c r="C11" s="210">
        <v>1</v>
      </c>
      <c r="D11" s="148">
        <f>F11</f>
        <v>0</v>
      </c>
      <c r="E11" s="212" t="e">
        <f>D11/$F$12</f>
        <v>#DIV/0!</v>
      </c>
      <c r="F11" s="148">
        <f>FREQUENCY('Grille de saisie'!$AL$3:$AL$602,C11)</f>
        <v>0</v>
      </c>
      <c r="G11" s="267" t="e">
        <f>E11</f>
        <v>#DIV/0!</v>
      </c>
    </row>
    <row r="12" spans="1:7">
      <c r="A12" s="172" t="s">
        <v>399</v>
      </c>
      <c r="B12" s="153" t="s">
        <v>36</v>
      </c>
      <c r="C12" s="210">
        <v>2</v>
      </c>
      <c r="D12" s="148">
        <f>F12-F11</f>
        <v>0</v>
      </c>
      <c r="E12" s="212" t="e">
        <f>D12/$F$12</f>
        <v>#DIV/0!</v>
      </c>
      <c r="F12" s="148">
        <f>FREQUENCY('Grille de saisie'!$AL$3:$AL$602,C12)</f>
        <v>0</v>
      </c>
      <c r="G12" s="267" t="e">
        <f>E12+E11</f>
        <v>#DIV/0!</v>
      </c>
    </row>
    <row r="13" spans="1:7">
      <c r="A13" s="199" t="s">
        <v>203</v>
      </c>
      <c r="B13" s="153"/>
      <c r="C13" s="210"/>
      <c r="D13" s="148"/>
      <c r="E13" s="212"/>
      <c r="F13" s="148"/>
      <c r="G13" s="176"/>
    </row>
    <row r="14" spans="1:7">
      <c r="A14" s="154" t="s">
        <v>146</v>
      </c>
      <c r="B14" s="155"/>
      <c r="C14" s="205"/>
      <c r="D14" s="157"/>
      <c r="E14" s="158"/>
      <c r="F14" s="157"/>
      <c r="G14" s="182"/>
    </row>
    <row r="15" spans="1:7">
      <c r="A15" s="128" t="s">
        <v>551</v>
      </c>
      <c r="B15" s="146"/>
      <c r="C15" s="192"/>
      <c r="D15" s="148"/>
      <c r="E15" s="184"/>
      <c r="F15" s="148"/>
      <c r="G15" s="149"/>
    </row>
    <row r="16" spans="1:7">
      <c r="A16" s="172" t="s">
        <v>400</v>
      </c>
      <c r="B16" s="153" t="s">
        <v>35</v>
      </c>
      <c r="C16" s="210">
        <v>1</v>
      </c>
      <c r="D16" s="148">
        <f>F16</f>
        <v>0</v>
      </c>
      <c r="E16" s="212" t="e">
        <f>D16/$F$17</f>
        <v>#DIV/0!</v>
      </c>
      <c r="F16" s="148">
        <f>FREQUENCY('Grille de saisie'!$AM$3:$AM$602,C16)</f>
        <v>0</v>
      </c>
      <c r="G16" s="267" t="e">
        <f>E16</f>
        <v>#DIV/0!</v>
      </c>
    </row>
    <row r="17" spans="1:7">
      <c r="A17" s="172" t="s">
        <v>401</v>
      </c>
      <c r="B17" s="153" t="s">
        <v>36</v>
      </c>
      <c r="C17" s="210">
        <v>2</v>
      </c>
      <c r="D17" s="148">
        <f>F17-F16</f>
        <v>0</v>
      </c>
      <c r="E17" s="212" t="e">
        <f>D17/$F$17</f>
        <v>#DIV/0!</v>
      </c>
      <c r="F17" s="148">
        <f>FREQUENCY('Grille de saisie'!$AM$3:$AM$602,C17)</f>
        <v>0</v>
      </c>
      <c r="G17" s="267" t="e">
        <f>E17+E16</f>
        <v>#DIV/0!</v>
      </c>
    </row>
    <row r="18" spans="1:7">
      <c r="A18" s="199" t="s">
        <v>204</v>
      </c>
      <c r="B18" s="153"/>
      <c r="C18" s="210"/>
      <c r="D18" s="148"/>
      <c r="E18" s="212"/>
      <c r="F18" s="148"/>
      <c r="G18" s="176"/>
    </row>
    <row r="19" spans="1:7">
      <c r="A19" s="199" t="s">
        <v>205</v>
      </c>
      <c r="B19" s="153"/>
      <c r="C19" s="210"/>
      <c r="D19" s="148"/>
      <c r="E19" s="212"/>
      <c r="F19" s="148"/>
      <c r="G19" s="176"/>
    </row>
    <row r="20" spans="1:7">
      <c r="A20" s="154"/>
      <c r="B20" s="155"/>
      <c r="C20" s="205"/>
      <c r="D20" s="157"/>
      <c r="E20" s="158"/>
      <c r="F20" s="157"/>
      <c r="G20" s="182"/>
    </row>
    <row r="21" spans="1:7">
      <c r="A21" s="128" t="s">
        <v>552</v>
      </c>
      <c r="B21" s="146"/>
      <c r="C21" s="192"/>
      <c r="D21" s="148"/>
      <c r="E21" s="184"/>
      <c r="F21" s="148"/>
      <c r="G21" s="149"/>
    </row>
    <row r="22" spans="1:7">
      <c r="A22" s="199" t="s">
        <v>206</v>
      </c>
      <c r="B22" s="146" t="s">
        <v>35</v>
      </c>
      <c r="C22" s="210">
        <v>1</v>
      </c>
      <c r="D22" s="148">
        <f>F22</f>
        <v>0</v>
      </c>
      <c r="E22" s="212" t="e">
        <f>D22/$F$23</f>
        <v>#DIV/0!</v>
      </c>
      <c r="F22" s="148">
        <f>FREQUENCY('Grille de saisie'!$AN$3:$AN$602,C22)</f>
        <v>0</v>
      </c>
      <c r="G22" s="267" t="e">
        <f>E22</f>
        <v>#DIV/0!</v>
      </c>
    </row>
    <row r="23" spans="1:7">
      <c r="A23" s="172" t="s">
        <v>402</v>
      </c>
      <c r="B23" s="146" t="s">
        <v>36</v>
      </c>
      <c r="C23" s="210">
        <v>2</v>
      </c>
      <c r="D23" s="148">
        <f>F23-F22</f>
        <v>0</v>
      </c>
      <c r="E23" s="212" t="e">
        <f>D23/$F$23</f>
        <v>#DIV/0!</v>
      </c>
      <c r="F23" s="148">
        <f>FREQUENCY('Grille de saisie'!$AN$3:$AN$602,C23)</f>
        <v>0</v>
      </c>
      <c r="G23" s="267" t="e">
        <f>E23+E22</f>
        <v>#DIV/0!</v>
      </c>
    </row>
    <row r="24" spans="1:7">
      <c r="A24" s="151" t="s">
        <v>39</v>
      </c>
      <c r="B24" s="153"/>
      <c r="C24" s="192"/>
      <c r="D24" s="148"/>
      <c r="E24" s="212"/>
      <c r="F24" s="148"/>
      <c r="G24" s="267"/>
    </row>
    <row r="25" spans="1:7">
      <c r="A25" s="154"/>
      <c r="B25" s="155"/>
      <c r="C25" s="205"/>
      <c r="D25" s="157"/>
      <c r="E25" s="212"/>
      <c r="F25" s="157"/>
      <c r="G25" s="158"/>
    </row>
    <row r="26" spans="1:7">
      <c r="A26" s="128" t="s">
        <v>555</v>
      </c>
      <c r="B26" s="170"/>
      <c r="C26" s="175"/>
      <c r="D26" s="184"/>
      <c r="E26" s="149"/>
      <c r="F26" s="184"/>
      <c r="G26" s="149"/>
    </row>
    <row r="27" spans="1:7">
      <c r="A27" s="199" t="s">
        <v>207</v>
      </c>
      <c r="B27" s="146" t="s">
        <v>35</v>
      </c>
      <c r="C27" s="268">
        <v>1</v>
      </c>
      <c r="D27" s="184">
        <f>F27</f>
        <v>0</v>
      </c>
      <c r="E27" s="267" t="e">
        <f>D27/$F$28</f>
        <v>#DIV/0!</v>
      </c>
      <c r="F27" s="184">
        <f>FREQUENCY('Grille de saisie'!$AO$3:$AO$602,C27)</f>
        <v>0</v>
      </c>
      <c r="G27" s="267" t="e">
        <f>E27</f>
        <v>#DIV/0!</v>
      </c>
    </row>
    <row r="28" spans="1:7">
      <c r="A28" s="199" t="s">
        <v>208</v>
      </c>
      <c r="B28" s="146" t="s">
        <v>36</v>
      </c>
      <c r="C28" s="268">
        <v>2</v>
      </c>
      <c r="D28" s="194">
        <f>F28-F27</f>
        <v>0</v>
      </c>
      <c r="E28" s="267" t="e">
        <f>D28/$F$28</f>
        <v>#DIV/0!</v>
      </c>
      <c r="F28" s="184">
        <f>FREQUENCY('Grille de saisie'!$AO$3:$AO$602,C28)</f>
        <v>0</v>
      </c>
      <c r="G28" s="267" t="e">
        <f>E28+E27</f>
        <v>#DIV/0!</v>
      </c>
    </row>
    <row r="29" spans="1:7">
      <c r="A29" s="199" t="s">
        <v>209</v>
      </c>
      <c r="B29" s="153"/>
      <c r="C29" s="268"/>
      <c r="D29" s="194"/>
      <c r="E29" s="176"/>
      <c r="F29" s="184"/>
      <c r="G29" s="176"/>
    </row>
    <row r="30" spans="1:7">
      <c r="A30" s="154" t="s">
        <v>210</v>
      </c>
      <c r="B30" s="155"/>
      <c r="C30" s="351"/>
      <c r="D30" s="196"/>
      <c r="E30" s="182"/>
      <c r="F30" s="184"/>
      <c r="G30" s="182"/>
    </row>
    <row r="31" spans="1:7">
      <c r="A31" s="128" t="s">
        <v>557</v>
      </c>
      <c r="B31" s="170"/>
      <c r="C31" s="192"/>
      <c r="D31" s="149"/>
      <c r="E31" s="184"/>
      <c r="F31" s="149"/>
      <c r="G31" s="218"/>
    </row>
    <row r="32" spans="1:7">
      <c r="A32" s="172" t="s">
        <v>214</v>
      </c>
      <c r="B32" s="146" t="s">
        <v>35</v>
      </c>
      <c r="C32" s="210">
        <v>1</v>
      </c>
      <c r="D32" s="148">
        <f>F32</f>
        <v>0</v>
      </c>
      <c r="E32" s="212" t="e">
        <f>D32/$F$33</f>
        <v>#DIV/0!</v>
      </c>
      <c r="F32" s="148">
        <f>FREQUENCY('Grille de saisie'!$AP$3:$AP$602,C32)</f>
        <v>0</v>
      </c>
      <c r="G32" s="173" t="e">
        <f>E32</f>
        <v>#DIV/0!</v>
      </c>
    </row>
    <row r="33" spans="1:7">
      <c r="A33" s="172" t="s">
        <v>603</v>
      </c>
      <c r="B33" s="146" t="s">
        <v>36</v>
      </c>
      <c r="C33" s="210">
        <v>2</v>
      </c>
      <c r="D33" s="148">
        <f>F33-F32</f>
        <v>0</v>
      </c>
      <c r="E33" s="212" t="e">
        <f>D33/$F$33</f>
        <v>#DIV/0!</v>
      </c>
      <c r="F33" s="148">
        <f>FREQUENCY('Grille de saisie'!$AP$3:$AP$602,C33)</f>
        <v>0</v>
      </c>
      <c r="G33" s="173" t="e">
        <f>E33+E32</f>
        <v>#DIV/0!</v>
      </c>
    </row>
    <row r="34" spans="1:7">
      <c r="A34" s="154" t="s">
        <v>44</v>
      </c>
      <c r="B34" s="155"/>
      <c r="C34" s="205"/>
      <c r="D34" s="157"/>
      <c r="E34" s="182"/>
      <c r="F34" s="148"/>
      <c r="G34" s="207"/>
    </row>
    <row r="35" spans="1:7">
      <c r="A35" s="128" t="s">
        <v>560</v>
      </c>
      <c r="B35" s="170"/>
      <c r="C35" s="192"/>
      <c r="D35" s="149"/>
      <c r="E35" s="184"/>
      <c r="F35" s="149"/>
      <c r="G35" s="149"/>
    </row>
    <row r="36" spans="1:7">
      <c r="A36" s="199" t="s">
        <v>211</v>
      </c>
      <c r="B36" s="146" t="s">
        <v>35</v>
      </c>
      <c r="C36" s="210">
        <v>1</v>
      </c>
      <c r="D36" s="148">
        <f>F36</f>
        <v>0</v>
      </c>
      <c r="E36" s="212" t="e">
        <f>D36/$F$37</f>
        <v>#DIV/0!</v>
      </c>
      <c r="F36" s="148">
        <f>FREQUENCY('Grille de saisie'!$AQ$3:$AQ$602,C36)</f>
        <v>0</v>
      </c>
      <c r="G36" s="267" t="e">
        <f>E36</f>
        <v>#DIV/0!</v>
      </c>
    </row>
    <row r="37" spans="1:7">
      <c r="A37" s="199" t="s">
        <v>212</v>
      </c>
      <c r="B37" s="146" t="s">
        <v>36</v>
      </c>
      <c r="C37" s="210">
        <v>2</v>
      </c>
      <c r="D37" s="148">
        <f>F37-F36</f>
        <v>0</v>
      </c>
      <c r="E37" s="212" t="e">
        <f>D37/$F$37</f>
        <v>#DIV/0!</v>
      </c>
      <c r="F37" s="148">
        <f>FREQUENCY('Grille de saisie'!$AQ$3:$AQ$602,C37)</f>
        <v>0</v>
      </c>
      <c r="G37" s="267" t="e">
        <f>E37+E36</f>
        <v>#DIV/0!</v>
      </c>
    </row>
    <row r="38" spans="1:7">
      <c r="A38" s="199" t="s">
        <v>213</v>
      </c>
      <c r="B38" s="153"/>
      <c r="C38" s="210"/>
      <c r="D38" s="148"/>
      <c r="E38" s="211"/>
      <c r="F38" s="148"/>
      <c r="G38" s="176"/>
    </row>
    <row r="39" spans="1:7">
      <c r="A39" s="225"/>
      <c r="B39" s="155"/>
      <c r="C39" s="205"/>
      <c r="D39" s="157"/>
      <c r="E39" s="226"/>
      <c r="F39" s="157"/>
      <c r="G39" s="182"/>
    </row>
    <row r="40" spans="1:7">
      <c r="A40" s="128" t="s">
        <v>561</v>
      </c>
      <c r="B40" s="146"/>
      <c r="C40" s="192"/>
      <c r="D40" s="148"/>
      <c r="E40" s="184"/>
      <c r="F40" s="148"/>
      <c r="G40" s="148"/>
    </row>
    <row r="41" spans="1:7">
      <c r="A41" s="172" t="s">
        <v>604</v>
      </c>
      <c r="B41" s="146" t="s">
        <v>35</v>
      </c>
      <c r="C41" s="210">
        <v>1</v>
      </c>
      <c r="D41" s="148">
        <f>F41</f>
        <v>0</v>
      </c>
      <c r="E41" s="212" t="e">
        <f>D41/$F$42</f>
        <v>#DIV/0!</v>
      </c>
      <c r="F41" s="148">
        <f>FREQUENCY('Grille de saisie'!$AR$3:$AR$602,C41)</f>
        <v>0</v>
      </c>
      <c r="G41" s="267" t="e">
        <f>E41</f>
        <v>#DIV/0!</v>
      </c>
    </row>
    <row r="42" spans="1:7">
      <c r="A42" s="172" t="s">
        <v>605</v>
      </c>
      <c r="B42" s="146" t="s">
        <v>36</v>
      </c>
      <c r="C42" s="210">
        <v>2</v>
      </c>
      <c r="D42" s="148">
        <f>F42-F41</f>
        <v>0</v>
      </c>
      <c r="E42" s="212" t="e">
        <f>D42/$F$42</f>
        <v>#DIV/0!</v>
      </c>
      <c r="F42" s="148">
        <f>FREQUENCY('Grille de saisie'!$AR$3:$AR$602,C42)</f>
        <v>0</v>
      </c>
      <c r="G42" s="267" t="e">
        <f>E42+E41</f>
        <v>#DIV/0!</v>
      </c>
    </row>
    <row r="43" spans="1:7">
      <c r="A43" s="283" t="s">
        <v>299</v>
      </c>
      <c r="B43" s="155"/>
      <c r="C43" s="205"/>
      <c r="D43" s="157"/>
      <c r="E43" s="158"/>
      <c r="F43" s="148"/>
      <c r="G43" s="158"/>
    </row>
    <row r="44" spans="1:7">
      <c r="A44" s="128" t="s">
        <v>563</v>
      </c>
      <c r="B44" s="170"/>
      <c r="C44" s="192"/>
      <c r="D44" s="149"/>
      <c r="E44" s="184"/>
      <c r="F44" s="149"/>
      <c r="G44" s="149"/>
    </row>
    <row r="45" spans="1:7">
      <c r="A45" s="199" t="s">
        <v>214</v>
      </c>
      <c r="B45" s="146" t="s">
        <v>35</v>
      </c>
      <c r="C45" s="210">
        <v>1</v>
      </c>
      <c r="D45" s="148">
        <f>F45</f>
        <v>0</v>
      </c>
      <c r="E45" s="212" t="e">
        <f>D45/$F$46</f>
        <v>#DIV/0!</v>
      </c>
      <c r="F45" s="148">
        <f>FREQUENCY('Grille de saisie'!$AS$3:$AS$602,C45)</f>
        <v>0</v>
      </c>
      <c r="G45" s="267" t="e">
        <f>E45</f>
        <v>#DIV/0!</v>
      </c>
    </row>
    <row r="46" spans="1:7">
      <c r="A46" s="199" t="s">
        <v>215</v>
      </c>
      <c r="B46" s="146" t="s">
        <v>36</v>
      </c>
      <c r="C46" s="210">
        <v>2</v>
      </c>
      <c r="D46" s="148">
        <f>F46-F45</f>
        <v>0</v>
      </c>
      <c r="E46" s="212" t="e">
        <f>D46/$F$46</f>
        <v>#DIV/0!</v>
      </c>
      <c r="F46" s="148">
        <f>FREQUENCY('Grille de saisie'!$AS$3:$AS$602,C46)</f>
        <v>0</v>
      </c>
      <c r="G46" s="267" t="e">
        <f>E46+E45</f>
        <v>#DIV/0!</v>
      </c>
    </row>
    <row r="47" spans="1:7">
      <c r="A47" s="199" t="s">
        <v>44</v>
      </c>
      <c r="B47" s="153"/>
      <c r="C47" s="210"/>
      <c r="D47" s="148"/>
      <c r="E47" s="212"/>
      <c r="F47" s="148"/>
      <c r="G47" s="267"/>
    </row>
    <row r="48" spans="1:7">
      <c r="A48" s="225"/>
      <c r="B48" s="155"/>
      <c r="C48" s="205"/>
      <c r="D48" s="157"/>
      <c r="E48" s="197"/>
      <c r="F48" s="157"/>
      <c r="G48" s="158"/>
    </row>
    <row r="49" spans="1:7">
      <c r="A49" s="128" t="s">
        <v>143</v>
      </c>
      <c r="B49" s="146"/>
      <c r="C49" s="192"/>
      <c r="D49" s="148"/>
      <c r="E49" s="184"/>
      <c r="F49" s="148"/>
      <c r="G49" s="148"/>
    </row>
    <row r="50" spans="1:7">
      <c r="A50" s="172" t="s">
        <v>936</v>
      </c>
      <c r="B50" s="146" t="s">
        <v>35</v>
      </c>
      <c r="C50" s="210">
        <v>1</v>
      </c>
      <c r="D50" s="148">
        <f>F50</f>
        <v>0</v>
      </c>
      <c r="E50" s="211" t="e">
        <f>D50/$F$51</f>
        <v>#DIV/0!</v>
      </c>
      <c r="F50" s="148">
        <f>FREQUENCY('Grille de saisie'!$AT$3:$AT$602,C50)</f>
        <v>0</v>
      </c>
      <c r="G50" s="267" t="e">
        <f>E50</f>
        <v>#DIV/0!</v>
      </c>
    </row>
    <row r="51" spans="1:7">
      <c r="A51" s="172" t="s">
        <v>403</v>
      </c>
      <c r="B51" s="146" t="s">
        <v>36</v>
      </c>
      <c r="C51" s="210">
        <v>2</v>
      </c>
      <c r="D51" s="148">
        <f>F51-F50</f>
        <v>0</v>
      </c>
      <c r="E51" s="211" t="e">
        <f>D51/$F$51</f>
        <v>#DIV/0!</v>
      </c>
      <c r="F51" s="148">
        <f>FREQUENCY('Grille de saisie'!$AT$3:$AT$602,C51)</f>
        <v>0</v>
      </c>
      <c r="G51" s="267" t="e">
        <f>E51+E50</f>
        <v>#DIV/0!</v>
      </c>
    </row>
    <row r="52" spans="1:7">
      <c r="A52" s="199" t="s">
        <v>404</v>
      </c>
      <c r="B52" s="146"/>
      <c r="C52" s="192"/>
      <c r="D52" s="148"/>
      <c r="E52" s="184"/>
      <c r="F52" s="148"/>
      <c r="G52" s="148"/>
    </row>
    <row r="53" spans="1:7">
      <c r="A53" s="225"/>
      <c r="B53" s="187"/>
      <c r="C53" s="205"/>
      <c r="D53" s="157"/>
      <c r="E53" s="196"/>
      <c r="F53" s="157"/>
      <c r="G53" s="157"/>
    </row>
    <row r="54" spans="1:7">
      <c r="A54" s="128" t="s">
        <v>135</v>
      </c>
      <c r="B54" s="170"/>
      <c r="C54" s="192"/>
      <c r="D54" s="149"/>
      <c r="E54" s="184"/>
      <c r="F54" s="149"/>
      <c r="G54" s="149"/>
    </row>
    <row r="55" spans="1:7">
      <c r="A55" s="199" t="s">
        <v>144</v>
      </c>
      <c r="B55" s="146" t="s">
        <v>35</v>
      </c>
      <c r="C55" s="210">
        <v>1</v>
      </c>
      <c r="D55" s="148">
        <f>F55</f>
        <v>0</v>
      </c>
      <c r="E55" s="212" t="e">
        <f>D55/$F$56</f>
        <v>#DIV/0!</v>
      </c>
      <c r="F55" s="148">
        <f>FREQUENCY('Grille de saisie'!$AU$3:$AU$602,C55)</f>
        <v>0</v>
      </c>
      <c r="G55" s="267" t="e">
        <f>E55</f>
        <v>#DIV/0!</v>
      </c>
    </row>
    <row r="56" spans="1:7">
      <c r="A56" s="199" t="s">
        <v>42</v>
      </c>
      <c r="B56" s="146" t="s">
        <v>36</v>
      </c>
      <c r="C56" s="210">
        <v>2</v>
      </c>
      <c r="D56" s="148">
        <f>F56-F55</f>
        <v>0</v>
      </c>
      <c r="E56" s="212" t="e">
        <f>D56/$F$56</f>
        <v>#DIV/0!</v>
      </c>
      <c r="F56" s="148">
        <f>FREQUENCY('Grille de saisie'!$AU$3:$AU$602,C56)</f>
        <v>0</v>
      </c>
      <c r="G56" s="267" t="e">
        <f>E56+E55</f>
        <v>#DIV/0!</v>
      </c>
    </row>
    <row r="57" spans="1:7">
      <c r="A57" s="199" t="s">
        <v>40</v>
      </c>
      <c r="B57" s="153"/>
      <c r="C57" s="210"/>
      <c r="D57" s="148"/>
      <c r="E57" s="212"/>
      <c r="F57" s="148"/>
      <c r="G57" s="267"/>
    </row>
    <row r="58" spans="1:7">
      <c r="A58" s="225"/>
      <c r="B58" s="155"/>
      <c r="C58" s="205"/>
      <c r="D58" s="157"/>
      <c r="E58" s="197"/>
      <c r="F58" s="157"/>
      <c r="G58" s="158"/>
    </row>
  </sheetData>
  <sheetProtection password="EF72" sheet="1" objects="1" scenarios="1"/>
  <mergeCells count="7">
    <mergeCell ref="E1:E2"/>
    <mergeCell ref="F1:F2"/>
    <mergeCell ref="G1:G2"/>
    <mergeCell ref="A1:A2"/>
    <mergeCell ref="B1:B2"/>
    <mergeCell ref="C1:C2"/>
    <mergeCell ref="D1:D2"/>
  </mergeCells>
  <phoneticPr fontId="9" type="noConversion"/>
  <pageMargins left="0.78740157480314965" right="0.78740157480314965" top="1.1811023622047245" bottom="0.98425196850393704" header="0.51181102362204722" footer="0.51181102362204722"/>
  <pageSetup scale="60" orientation="portrait" r:id="rId1"/>
  <headerFooter alignWithMargins="0">
    <oddHeader>&amp;L
[Lieu, année]&amp;C&amp;"Arial,Gras"&amp;11Réponse obtenue sur le comportement d'évitement et de protection</oddHeader>
    <oddFooter xml:space="preserve">&amp;LSource : Inscrire le nom de l'enquête
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Feuil28" enableFormatConditionsCalculation="0">
    <tabColor indexed="12"/>
  </sheetPr>
  <dimension ref="A1:G19"/>
  <sheetViews>
    <sheetView view="pageBreakPreview" zoomScale="90" zoomScaleNormal="90" workbookViewId="0">
      <selection activeCell="A17" sqref="A17"/>
    </sheetView>
  </sheetViews>
  <sheetFormatPr baseColWidth="10" defaultRowHeight="12.75"/>
  <cols>
    <col min="1" max="1" width="34.5703125" style="1" customWidth="1"/>
    <col min="2" max="2" width="39.85546875" style="1" customWidth="1"/>
    <col min="3" max="3" width="5.7109375" style="1" customWidth="1"/>
    <col min="4" max="4" width="13.140625" style="7" customWidth="1"/>
    <col min="5" max="5" width="15" style="7" customWidth="1"/>
    <col min="6" max="6" width="14.85546875" style="7" customWidth="1"/>
    <col min="7" max="7" width="15.42578125" style="7" customWidth="1"/>
    <col min="8" max="16384" width="11.42578125" style="1"/>
  </cols>
  <sheetData>
    <row r="1" spans="1:7" s="4" customFormat="1">
      <c r="A1" s="584" t="s">
        <v>7</v>
      </c>
      <c r="B1" s="584" t="s">
        <v>6</v>
      </c>
      <c r="C1" s="584" t="s">
        <v>20</v>
      </c>
      <c r="D1" s="584" t="s">
        <v>16</v>
      </c>
      <c r="E1" s="584" t="s">
        <v>17</v>
      </c>
      <c r="F1" s="584" t="s">
        <v>18</v>
      </c>
      <c r="G1" s="582" t="s">
        <v>19</v>
      </c>
    </row>
    <row r="2" spans="1:7" s="4" customFormat="1">
      <c r="A2" s="585"/>
      <c r="B2" s="586"/>
      <c r="C2" s="586"/>
      <c r="D2" s="586"/>
      <c r="E2" s="587"/>
      <c r="F2" s="586"/>
      <c r="G2" s="583"/>
    </row>
    <row r="3" spans="1:7">
      <c r="A3" s="128" t="s">
        <v>164</v>
      </c>
      <c r="B3" s="221"/>
      <c r="C3" s="188"/>
      <c r="D3" s="189"/>
      <c r="E3" s="189"/>
      <c r="F3" s="189"/>
      <c r="G3" s="218"/>
    </row>
    <row r="4" spans="1:7">
      <c r="A4" s="283" t="s">
        <v>606</v>
      </c>
      <c r="B4" s="180"/>
      <c r="C4" s="205"/>
      <c r="D4" s="196"/>
      <c r="E4" s="196"/>
      <c r="F4" s="196"/>
      <c r="G4" s="200"/>
    </row>
    <row r="5" spans="1:7">
      <c r="A5" s="128" t="s">
        <v>566</v>
      </c>
      <c r="B5" s="146"/>
      <c r="C5" s="192"/>
      <c r="D5" s="148"/>
      <c r="E5" s="184"/>
      <c r="F5" s="148"/>
      <c r="G5" s="148"/>
    </row>
    <row r="6" spans="1:7">
      <c r="A6" s="199" t="s">
        <v>232</v>
      </c>
      <c r="B6" s="281" t="s">
        <v>460</v>
      </c>
      <c r="C6" s="210" t="s">
        <v>73</v>
      </c>
      <c r="D6" s="148">
        <f>Fréquence!D226+Fréquence!D227</f>
        <v>0</v>
      </c>
      <c r="E6" s="212" t="e">
        <f>D6/F8</f>
        <v>#DIV/0!</v>
      </c>
      <c r="F6" s="148">
        <f>D6</f>
        <v>0</v>
      </c>
      <c r="G6" s="267" t="e">
        <f>E6</f>
        <v>#DIV/0!</v>
      </c>
    </row>
    <row r="7" spans="1:7">
      <c r="A7" s="199" t="s">
        <v>233</v>
      </c>
      <c r="B7" s="281" t="s">
        <v>461</v>
      </c>
      <c r="C7" s="210" t="s">
        <v>74</v>
      </c>
      <c r="D7" s="148">
        <f>Fréquence!D228+Fréquence!D229</f>
        <v>0</v>
      </c>
      <c r="E7" s="212" t="e">
        <f>D7/F8</f>
        <v>#DIV/0!</v>
      </c>
      <c r="F7" s="148">
        <f>D7+D6</f>
        <v>0</v>
      </c>
      <c r="G7" s="267" t="e">
        <f>E7+E6</f>
        <v>#DIV/0!</v>
      </c>
    </row>
    <row r="8" spans="1:7">
      <c r="A8" s="172" t="s">
        <v>405</v>
      </c>
      <c r="B8" s="281" t="s">
        <v>375</v>
      </c>
      <c r="C8" s="192">
        <v>8</v>
      </c>
      <c r="D8" s="148">
        <f>Fréquence!D230</f>
        <v>0</v>
      </c>
      <c r="E8" s="212" t="e">
        <f>D8/F8</f>
        <v>#DIV/0!</v>
      </c>
      <c r="F8" s="148">
        <f>D8+D7+D6</f>
        <v>0</v>
      </c>
      <c r="G8" s="267" t="e">
        <f>E8+E7+E6</f>
        <v>#DIV/0!</v>
      </c>
    </row>
    <row r="9" spans="1:7">
      <c r="A9" s="225"/>
      <c r="B9" s="155"/>
      <c r="C9" s="205"/>
      <c r="D9" s="157"/>
      <c r="E9" s="197"/>
      <c r="F9" s="157"/>
      <c r="G9" s="158"/>
    </row>
    <row r="10" spans="1:7">
      <c r="A10" s="128" t="s">
        <v>567</v>
      </c>
      <c r="B10" s="146"/>
      <c r="C10" s="192"/>
      <c r="D10" s="148"/>
      <c r="E10" s="184"/>
      <c r="F10" s="148"/>
      <c r="G10" s="148"/>
    </row>
    <row r="11" spans="1:7">
      <c r="A11" s="199" t="s">
        <v>234</v>
      </c>
      <c r="B11" s="281" t="s">
        <v>460</v>
      </c>
      <c r="C11" s="210" t="s">
        <v>73</v>
      </c>
      <c r="D11" s="148">
        <f>Fréquence!D233+Fréquence!D234</f>
        <v>0</v>
      </c>
      <c r="E11" s="212" t="e">
        <f>D11/F13</f>
        <v>#DIV/0!</v>
      </c>
      <c r="F11" s="148">
        <f>D11</f>
        <v>0</v>
      </c>
      <c r="G11" s="267" t="e">
        <f>E11</f>
        <v>#DIV/0!</v>
      </c>
    </row>
    <row r="12" spans="1:7">
      <c r="A12" s="172" t="s">
        <v>937</v>
      </c>
      <c r="B12" s="281" t="s">
        <v>461</v>
      </c>
      <c r="C12" s="210" t="s">
        <v>74</v>
      </c>
      <c r="D12" s="148">
        <f>Fréquence!D235+Fréquence!D236</f>
        <v>0</v>
      </c>
      <c r="E12" s="212" t="e">
        <f>D12/F13</f>
        <v>#DIV/0!</v>
      </c>
      <c r="F12" s="148">
        <f>D12+D11</f>
        <v>0</v>
      </c>
      <c r="G12" s="267" t="e">
        <f>E12+E11</f>
        <v>#DIV/0!</v>
      </c>
    </row>
    <row r="13" spans="1:7">
      <c r="A13" s="172" t="s">
        <v>405</v>
      </c>
      <c r="B13" s="281" t="s">
        <v>375</v>
      </c>
      <c r="C13" s="192">
        <v>8</v>
      </c>
      <c r="D13" s="148">
        <f>Fréquence!D237</f>
        <v>0</v>
      </c>
      <c r="E13" s="212" t="e">
        <f>D13/F13</f>
        <v>#DIV/0!</v>
      </c>
      <c r="F13" s="148">
        <f>D13+D12+D11</f>
        <v>0</v>
      </c>
      <c r="G13" s="267" t="e">
        <f>E13+E12+E11</f>
        <v>#DIV/0!</v>
      </c>
    </row>
    <row r="14" spans="1:7">
      <c r="A14" s="225"/>
      <c r="B14" s="155"/>
      <c r="C14" s="205"/>
      <c r="D14" s="157"/>
      <c r="E14" s="158"/>
      <c r="F14" s="157"/>
      <c r="G14" s="158"/>
    </row>
    <row r="15" spans="1:7">
      <c r="A15" s="128" t="s">
        <v>568</v>
      </c>
      <c r="B15" s="146"/>
      <c r="C15" s="192"/>
      <c r="D15" s="148"/>
      <c r="E15" s="184"/>
      <c r="F15" s="148"/>
      <c r="G15" s="148"/>
    </row>
    <row r="16" spans="1:7">
      <c r="A16" s="172" t="s">
        <v>965</v>
      </c>
      <c r="B16" s="281" t="s">
        <v>460</v>
      </c>
      <c r="C16" s="210" t="s">
        <v>73</v>
      </c>
      <c r="D16" s="148">
        <f>Fréquence!D240+Fréquence!D241</f>
        <v>0</v>
      </c>
      <c r="E16" s="212" t="e">
        <f>D16/F18</f>
        <v>#DIV/0!</v>
      </c>
      <c r="F16" s="148">
        <f>D16</f>
        <v>0</v>
      </c>
      <c r="G16" s="267" t="e">
        <f>E16</f>
        <v>#DIV/0!</v>
      </c>
    </row>
    <row r="17" spans="1:7">
      <c r="A17" s="172" t="s">
        <v>938</v>
      </c>
      <c r="B17" s="281" t="s">
        <v>461</v>
      </c>
      <c r="C17" s="210" t="s">
        <v>74</v>
      </c>
      <c r="D17" s="148">
        <f>Fréquence!D242+Fréquence!D243</f>
        <v>0</v>
      </c>
      <c r="E17" s="212" t="e">
        <f>D17/F18</f>
        <v>#DIV/0!</v>
      </c>
      <c r="F17" s="148">
        <f>D17+D16</f>
        <v>0</v>
      </c>
      <c r="G17" s="267" t="e">
        <f>E17+E16</f>
        <v>#DIV/0!</v>
      </c>
    </row>
    <row r="18" spans="1:7">
      <c r="A18" s="172" t="s">
        <v>378</v>
      </c>
      <c r="B18" s="281" t="s">
        <v>375</v>
      </c>
      <c r="C18" s="192">
        <v>8</v>
      </c>
      <c r="D18" s="148">
        <f>Fréquence!D244</f>
        <v>0</v>
      </c>
      <c r="E18" s="212" t="e">
        <f>D18/F18</f>
        <v>#DIV/0!</v>
      </c>
      <c r="F18" s="148">
        <f>D18+D17+D16</f>
        <v>0</v>
      </c>
      <c r="G18" s="267" t="e">
        <f>E18+E17+E16</f>
        <v>#DIV/0!</v>
      </c>
    </row>
    <row r="19" spans="1:7">
      <c r="A19" s="204"/>
      <c r="B19" s="155"/>
      <c r="C19" s="205"/>
      <c r="D19" s="157"/>
      <c r="E19" s="158"/>
      <c r="F19" s="157"/>
      <c r="G19" s="158"/>
    </row>
  </sheetData>
  <sheetProtection password="EF72" sheet="1" objects="1" scenarios="1"/>
  <mergeCells count="7">
    <mergeCell ref="E1:E2"/>
    <mergeCell ref="F1:F2"/>
    <mergeCell ref="G1:G2"/>
    <mergeCell ref="A1:A2"/>
    <mergeCell ref="B1:B2"/>
    <mergeCell ref="C1:C2"/>
    <mergeCell ref="D1:D2"/>
  </mergeCells>
  <phoneticPr fontId="9" type="noConversion"/>
  <pageMargins left="0.78740157480314965" right="0.78740157480314965" top="1.1811023622047245" bottom="0.98425196850393704" header="0.51181102362204722" footer="0.51181102362204722"/>
  <pageSetup scale="64" orientation="portrait" r:id="rId1"/>
  <headerFooter alignWithMargins="0">
    <oddHeader>&amp;L
[Lieu, année]&amp;C&amp;"Arial,Gras"&amp;11Réponse obtenue sur la satisfaction des services municipaux et incendies</oddHeader>
    <oddFooter xml:space="preserve">&amp;LSource : Inscrire le nom de l'enquête
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18</vt:i4>
      </vt:variant>
      <vt:variant>
        <vt:lpstr>Plages nommées</vt:lpstr>
      </vt:variant>
      <vt:variant>
        <vt:i4>16</vt:i4>
      </vt:variant>
    </vt:vector>
  </HeadingPairs>
  <TitlesOfParts>
    <vt:vector size="34" baseType="lpstr">
      <vt:lpstr>Grille de saisie</vt:lpstr>
      <vt:lpstr>Fréquence</vt:lpstr>
      <vt:lpstr>Éligibilité</vt:lpstr>
      <vt:lpstr>Sécurité perçue</vt:lpstr>
      <vt:lpstr>Perception du risque</vt:lpstr>
      <vt:lpstr>Perception désordre incivilités</vt:lpstr>
      <vt:lpstr>Cohésion et paix sociales</vt:lpstr>
      <vt:lpstr>Protection ou évitement</vt:lpstr>
      <vt:lpstr>Services municipaux</vt:lpstr>
      <vt:lpstr>Services policiers</vt:lpstr>
      <vt:lpstr>Participation communautaire</vt:lpstr>
      <vt:lpstr>Victimation</vt:lpstr>
      <vt:lpstr>Accidents</vt:lpstr>
      <vt:lpstr>Caractéristiques répondant</vt:lpstr>
      <vt:lpstr>Croisements sexe</vt:lpstr>
      <vt:lpstr>Croisements âge</vt:lpstr>
      <vt:lpstr>Khi2</vt:lpstr>
      <vt:lpstr>Croisements</vt:lpstr>
      <vt:lpstr>Fréquence!Impression_des_titres</vt:lpstr>
      <vt:lpstr>Accidents!Zone_d_impression</vt:lpstr>
      <vt:lpstr>'Caractéristiques répondant'!Zone_d_impression</vt:lpstr>
      <vt:lpstr>'Cohésion et paix sociales'!Zone_d_impression</vt:lpstr>
      <vt:lpstr>'Croisements âge'!Zone_d_impression</vt:lpstr>
      <vt:lpstr>'Croisements sexe'!Zone_d_impression</vt:lpstr>
      <vt:lpstr>Éligibilité!Zone_d_impression</vt:lpstr>
      <vt:lpstr>Fréquence!Zone_d_impression</vt:lpstr>
      <vt:lpstr>'Participation communautaire'!Zone_d_impression</vt:lpstr>
      <vt:lpstr>'Perception désordre incivilités'!Zone_d_impression</vt:lpstr>
      <vt:lpstr>'Perception du risque'!Zone_d_impression</vt:lpstr>
      <vt:lpstr>'Protection ou évitement'!Zone_d_impression</vt:lpstr>
      <vt:lpstr>'Sécurité perçue'!Zone_d_impression</vt:lpstr>
      <vt:lpstr>'Services municipaux'!Zone_d_impression</vt:lpstr>
      <vt:lpstr>'Services policiers'!Zone_d_impression</vt:lpstr>
      <vt:lpstr>Victimation!Zone_d_impression</vt:lpstr>
    </vt:vector>
  </TitlesOfParts>
  <Company>drsp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tesmel01</dc:creator>
  <cp:lastModifiedBy>boulou01</cp:lastModifiedBy>
  <cp:lastPrinted>2013-04-29T17:52:26Z</cp:lastPrinted>
  <dcterms:created xsi:type="dcterms:W3CDTF">2008-02-25T15:33:12Z</dcterms:created>
  <dcterms:modified xsi:type="dcterms:W3CDTF">2015-12-17T16:15:19Z</dcterms:modified>
</cp:coreProperties>
</file>